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0710" windowHeight="11640" tabRatio="840" activeTab="0"/>
  </bookViews>
  <sheets>
    <sheet name="Your Authority" sheetId="1" r:id="rId1"/>
    <sheet name="Cover" sheetId="2" r:id="rId2"/>
    <sheet name="Schedules" sheetId="3" r:id="rId3"/>
    <sheet name="Mnt Com" sheetId="4" r:id="rId4"/>
    <sheet name="Man Com" sheetId="5" r:id="rId5"/>
    <sheet name="MRA Com" sheetId="6" r:id="rId6"/>
    <sheet name="Debt Com" sheetId="7" r:id="rId7"/>
    <sheet name="Rent Com" sheetId="8" r:id="rId8"/>
    <sheet name="Rebasing" sheetId="9" r:id="rId9"/>
    <sheet name="BCIS-ACA" sheetId="10" r:id="rId10"/>
    <sheet name="SchedData" sheetId="11" r:id="rId11"/>
    <sheet name="ComData" sheetId="12" r:id="rId12"/>
  </sheets>
  <externalReferences>
    <externalReference r:id="rId15"/>
  </externalReferences>
  <definedNames>
    <definedName name="BCIS">#REF!</definedName>
    <definedName name="Burg">#REF!</definedName>
    <definedName name="capsandlimits">#REF!</definedName>
    <definedName name="Crimdam">#REF!</definedName>
    <definedName name="F001CC">#REF!</definedName>
    <definedName name="F001DP">#REF!</definedName>
    <definedName name="F001DS">#REF!</definedName>
    <definedName name="F001MM">#REF!</definedName>
    <definedName name="F001OE">#REF!</definedName>
    <definedName name="F001RI">#REF!</definedName>
    <definedName name="F002CC">#REF!</definedName>
    <definedName name="F002DP">#REF!</definedName>
    <definedName name="F002DS">#REF!</definedName>
    <definedName name="F002MM">#REF!</definedName>
    <definedName name="F002OE">#REF!</definedName>
    <definedName name="F002RI">#REF!</definedName>
    <definedName name="F003CC">#REF!</definedName>
    <definedName name="F003MM">#REF!</definedName>
    <definedName name="F003OE">#REF!</definedName>
    <definedName name="F003RI">#REF!</definedName>
    <definedName name="F004CC">#REF!</definedName>
    <definedName name="F004MM">#REF!</definedName>
    <definedName name="F004OE">#REF!</definedName>
    <definedName name="F004RI">#REF!</definedName>
    <definedName name="F005CC">#REF!</definedName>
    <definedName name="F005MM">#REF!</definedName>
    <definedName name="F005OE">#REF!</definedName>
    <definedName name="F005RI">#REF!</definedName>
    <definedName name="F006CC">#REF!</definedName>
    <definedName name="F006MM">#REF!</definedName>
    <definedName name="F006OE">#REF!</definedName>
    <definedName name="F006RI">#REF!</definedName>
    <definedName name="F007CC">#REF!</definedName>
    <definedName name="F007MM">#REF!</definedName>
    <definedName name="F007RI">#REF!</definedName>
    <definedName name="F008CC">#REF!</definedName>
    <definedName name="F008MM">#REF!</definedName>
    <definedName name="F008RI">#REF!</definedName>
    <definedName name="F009CC">#REF!</definedName>
    <definedName name="F009MM">#REF!</definedName>
    <definedName name="F009RI">#REF!</definedName>
    <definedName name="F010MM">#REF!</definedName>
    <definedName name="F010RI">#REF!</definedName>
    <definedName name="F011MM">#REF!</definedName>
    <definedName name="F011RI">#REF!</definedName>
    <definedName name="F012MM">#REF!</definedName>
    <definedName name="F012RI">#REF!</definedName>
    <definedName name="F013MM">#REF!</definedName>
    <definedName name="F013RI">#REF!</definedName>
    <definedName name="F014MM">#REF!</definedName>
    <definedName name="F014RI">#REF!</definedName>
    <definedName name="F015MM">#REF!</definedName>
    <definedName name="F015RI">#REF!</definedName>
    <definedName name="F016MM">#REF!</definedName>
    <definedName name="F016RI">#REF!</definedName>
    <definedName name="F017MM">#REF!</definedName>
    <definedName name="F017RI">#REF!</definedName>
    <definedName name="F018MM">#REF!</definedName>
    <definedName name="F019MM">#REF!</definedName>
    <definedName name="F020MM">#REF!</definedName>
    <definedName name="F021MM">#REF!</definedName>
    <definedName name="F022MM">#REF!</definedName>
    <definedName name="F023MM">#REF!</definedName>
    <definedName name="F024MM">#REF!</definedName>
    <definedName name="F025MM">#REF!</definedName>
    <definedName name="F026MM">#REF!</definedName>
    <definedName name="F027MM">#REF!</definedName>
    <definedName name="F028MM">#REF!</definedName>
    <definedName name="F029MM">#REF!</definedName>
    <definedName name="F030MM">#REF!</definedName>
    <definedName name="F031MM">#REF!</definedName>
    <definedName name="F032MM">#REF!</definedName>
    <definedName name="F033MM">#REF!</definedName>
    <definedName name="F034MM">#REF!</definedName>
    <definedName name="F035MM">#REF!</definedName>
    <definedName name="F036MM">#REF!</definedName>
    <definedName name="F037MM">#REF!</definedName>
    <definedName name="F038MM">#REF!</definedName>
    <definedName name="F039MM">#REF!</definedName>
    <definedName name="F040MM">#REF!</definedName>
    <definedName name="F041MM">#REF!</definedName>
    <definedName name="F042MM">#REF!</definedName>
    <definedName name="FH39IN">#REF!</definedName>
    <definedName name="GDP0102">#REF!</definedName>
    <definedName name="GDP0203">#REF!</definedName>
    <definedName name="GDP0304">#REF!</definedName>
    <definedName name="GDP0405">#REF!</definedName>
    <definedName name="GDP0506">#REF!</definedName>
    <definedName name="GDP0607">#REF!</definedName>
    <definedName name="GDP0708">#REF!</definedName>
    <definedName name="GDP0809">#REF!</definedName>
    <definedName name="GDP0910">#REF!</definedName>
    <definedName name="GDP1011">#REF!</definedName>
    <definedName name="GDP1112">#REF!</definedName>
    <definedName name="GDP1213">#REF!</definedName>
    <definedName name="GDP1314">#REF!</definedName>
    <definedName name="LA">#REF!</definedName>
    <definedName name="LAnames">'ComData'!$B$14:$B$185</definedName>
    <definedName name="Maintcrimefactor">#REF!</definedName>
    <definedName name="N201011">'[1]GL Rent'!$O$10</definedName>
    <definedName name="name">'Your Authority'!$D$10</definedName>
    <definedName name="P002RI">#REF!</definedName>
    <definedName name="rebasing">'Rebasing'!$G$35</definedName>
    <definedName name="RPI0102">#REF!</definedName>
    <definedName name="RPI0203">#REF!</definedName>
    <definedName name="RPI0304">#REF!</definedName>
    <definedName name="RPI0405">#REF!</definedName>
    <definedName name="RPI0506">#REF!</definedName>
    <definedName name="RPI0607">#REF!</definedName>
    <definedName name="RPI0708">#REF!</definedName>
    <definedName name="RPI0809">#REF!</definedName>
    <definedName name="RPI0910">#REF!</definedName>
    <definedName name="RPI1011">#REF!</definedName>
    <definedName name="RPI1112">#REF!</definedName>
    <definedName name="RPI1213">#REF!</definedName>
    <definedName name="RPI1314">#REF!</definedName>
    <definedName name="VAP">#REF!</definedName>
  </definedNames>
  <calcPr fullCalcOnLoad="1"/>
</workbook>
</file>

<file path=xl/comments10.xml><?xml version="1.0" encoding="utf-8"?>
<comments xmlns="http://schemas.openxmlformats.org/spreadsheetml/2006/main">
  <authors>
    <author>mwillia7</author>
  </authors>
  <commentList>
    <comment ref="E44" authorId="0">
      <text>
        <r>
          <rPr>
            <b/>
            <sz val="8"/>
            <rFont val="Tahoma"/>
            <family val="0"/>
          </rPr>
          <t>mwillia7:</t>
        </r>
        <r>
          <rPr>
            <sz val="8"/>
            <rFont val="Tahoma"/>
            <family val="0"/>
          </rPr>
          <t xml:space="preserve">
figure for Greater London is 1.22, figure for London Postal Districts is 1.25
</t>
        </r>
      </text>
    </comment>
  </commentList>
</comments>
</file>

<file path=xl/sharedStrings.xml><?xml version="1.0" encoding="utf-8"?>
<sst xmlns="http://schemas.openxmlformats.org/spreadsheetml/2006/main" count="1555" uniqueCount="890">
  <si>
    <t>St Albans</t>
  </si>
  <si>
    <t>Stevenage</t>
  </si>
  <si>
    <t>Stockport</t>
  </si>
  <si>
    <t>Stoke-on-Trent</t>
  </si>
  <si>
    <t>Stroud</t>
  </si>
  <si>
    <t>Sutton</t>
  </si>
  <si>
    <t>Swindon</t>
  </si>
  <si>
    <t>Tamworth</t>
  </si>
  <si>
    <t>Tandridge</t>
  </si>
  <si>
    <t>Taunton Deane</t>
  </si>
  <si>
    <t>Tendring</t>
  </si>
  <si>
    <t>Thanet</t>
  </si>
  <si>
    <t>Thurrock</t>
  </si>
  <si>
    <t>Tower Hamlets</t>
  </si>
  <si>
    <t>Uttlesford</t>
  </si>
  <si>
    <t>Waltham Forest</t>
  </si>
  <si>
    <t>Wandsworth</t>
  </si>
  <si>
    <t>Warwick</t>
  </si>
  <si>
    <t>Waveney</t>
  </si>
  <si>
    <t>Waverley</t>
  </si>
  <si>
    <t>Wealden</t>
  </si>
  <si>
    <t>Welwyn Hatfield</t>
  </si>
  <si>
    <t>West Lancashire</t>
  </si>
  <si>
    <t>Westminster</t>
  </si>
  <si>
    <t>Wigan</t>
  </si>
  <si>
    <t>Wiltshire UA</t>
  </si>
  <si>
    <t>Winchester</t>
  </si>
  <si>
    <t>Woking</t>
  </si>
  <si>
    <t>Wokingham</t>
  </si>
  <si>
    <t>Wolverhampton</t>
  </si>
  <si>
    <t>Wycombe</t>
  </si>
  <si>
    <t>The 2012-13 Baseline Model</t>
  </si>
  <si>
    <t>This model calculates the year one rental and cost assumptions for use in the self-financing model.  It is presented in the same format as the annual HRA subsidy determination model with which users will already be familiar.  Not all information contained here is relevant for the self-financing model.</t>
  </si>
  <si>
    <t>Schedules to the 2012-13 HRA baseline model</t>
  </si>
  <si>
    <t>Commentary on Baseline Maintainance Allowances</t>
  </si>
  <si>
    <t>2012/13 per dwelling Baseline Allowance for Maintenance</t>
  </si>
  <si>
    <t>2012-2013 per dwelling Baseline Allowance for Management</t>
  </si>
  <si>
    <t>2012-2013 Baseline Allowance for Management</t>
  </si>
  <si>
    <t>2012/13 Baseline Allowance for Major Repairs</t>
  </si>
  <si>
    <t>2012/13 per dwelling Baseline Allowance for Major Repairs</t>
  </si>
  <si>
    <t>Commentary on the Baseline Major Repairs Allowance</t>
  </si>
  <si>
    <t>Commentary on Baseline Management Allowances</t>
  </si>
  <si>
    <t>The allowance for Debt Management Expenses is included in the self-financing model based on the valuation of the stock</t>
  </si>
  <si>
    <t>GDP Deflator</t>
  </si>
  <si>
    <t>2001-02</t>
  </si>
  <si>
    <t>2002-03</t>
  </si>
  <si>
    <t>2003-04</t>
  </si>
  <si>
    <t>2004-05</t>
  </si>
  <si>
    <t>2005-06</t>
  </si>
  <si>
    <t>2006-07</t>
  </si>
  <si>
    <t>2007-08</t>
  </si>
  <si>
    <t>2008-09</t>
  </si>
  <si>
    <t>2009-10</t>
  </si>
  <si>
    <t>2010-11</t>
  </si>
  <si>
    <t>2011-12</t>
  </si>
  <si>
    <t>2012-13</t>
  </si>
  <si>
    <t>Stock</t>
  </si>
  <si>
    <t>Total</t>
  </si>
  <si>
    <t>Bedroom Factor</t>
  </si>
  <si>
    <t>LA's County Average Manual Earnings 97-99</t>
  </si>
  <si>
    <t>Local Average LA property value Jan 99</t>
  </si>
  <si>
    <t>Formula Rent 2000-01</t>
  </si>
  <si>
    <t>Formula Rent 2001-02</t>
  </si>
  <si>
    <t>Formula Rent 2002-03</t>
  </si>
  <si>
    <t>Formula Rent 2003-04</t>
  </si>
  <si>
    <t>Formula Rent 2004-05</t>
  </si>
  <si>
    <t>Formula Rent 2005-06</t>
  </si>
  <si>
    <t>Formula Rent 2006-07</t>
  </si>
  <si>
    <t>Formula Rent 2007-08</t>
  </si>
  <si>
    <t>Formula Rent 2008-09</t>
  </si>
  <si>
    <t>Formula Rent 2009-10</t>
  </si>
  <si>
    <t>Formula Rent 2010-11</t>
  </si>
  <si>
    <t>Formula Rent 2011-12</t>
  </si>
  <si>
    <t>Formula Rent 2012-13</t>
  </si>
  <si>
    <t>Region</t>
  </si>
  <si>
    <t>f017mm</t>
  </si>
  <si>
    <t>f018mm</t>
  </si>
  <si>
    <t>f019mm</t>
  </si>
  <si>
    <t>f020mm</t>
  </si>
  <si>
    <t>f021mm</t>
  </si>
  <si>
    <t>f022mm</t>
  </si>
  <si>
    <t>f023mm</t>
  </si>
  <si>
    <t>f024mm</t>
  </si>
  <si>
    <t>f025mm</t>
  </si>
  <si>
    <t>f026mm</t>
  </si>
  <si>
    <t>f027mm</t>
  </si>
  <si>
    <t>f028mm</t>
  </si>
  <si>
    <t>f029mm</t>
  </si>
  <si>
    <t>f030mm</t>
  </si>
  <si>
    <t>f031mm</t>
  </si>
  <si>
    <t>Unadjusted MRA</t>
  </si>
  <si>
    <t>BCIS Factor</t>
  </si>
  <si>
    <t>Final Regional Cost Factor</t>
  </si>
  <si>
    <t>W Sussex Non-Fringe</t>
  </si>
  <si>
    <t>West Sussex</t>
  </si>
  <si>
    <t>Rest of England</t>
  </si>
  <si>
    <t>Notts</t>
  </si>
  <si>
    <t>Kent Non-Fringe</t>
  </si>
  <si>
    <t>Kent</t>
  </si>
  <si>
    <t>Suffolk</t>
  </si>
  <si>
    <t>Rest of Outer London</t>
  </si>
  <si>
    <t>Outer London</t>
  </si>
  <si>
    <t>W, SW &amp; NW Outer London</t>
  </si>
  <si>
    <t>S Yorkshire</t>
  </si>
  <si>
    <t>Cumbria</t>
  </si>
  <si>
    <t>Kent &amp; Essex Fringe</t>
  </si>
  <si>
    <t>SCFR adjustment for appropriations in 2011/12</t>
  </si>
  <si>
    <t>SCE R 2011-12 [B]</t>
  </si>
  <si>
    <t>SCE R 2012-13 [C]</t>
  </si>
  <si>
    <t>ALMO SCE 2012-13 [F]</t>
  </si>
  <si>
    <t>ALMO SCE 2011-12 [E]</t>
  </si>
  <si>
    <t>Adjustment for appropriations into the HRA in 2011-12</t>
  </si>
  <si>
    <t>Essex</t>
  </si>
  <si>
    <t>W Mids</t>
  </si>
  <si>
    <t>W Midlands</t>
  </si>
  <si>
    <t>Leics</t>
  </si>
  <si>
    <t>Lancashire</t>
  </si>
  <si>
    <t>Derbyshire</t>
  </si>
  <si>
    <t>Greater Manchester</t>
  </si>
  <si>
    <t>Dorset</t>
  </si>
  <si>
    <t>Essex Non-Fringe</t>
  </si>
  <si>
    <t>E Sussex</t>
  </si>
  <si>
    <t>East Sussex</t>
  </si>
  <si>
    <t>Avon</t>
  </si>
  <si>
    <t>Cambridgeshire</t>
  </si>
  <si>
    <t>Cambs</t>
  </si>
  <si>
    <t>Inner London</t>
  </si>
  <si>
    <t>Staffs</t>
  </si>
  <si>
    <t>Beds &amp; Herts Non-Fringe</t>
  </si>
  <si>
    <t>Beds</t>
  </si>
  <si>
    <t>Leicestershire</t>
  </si>
  <si>
    <t>Gloucs</t>
  </si>
  <si>
    <t>Cheshire</t>
  </si>
  <si>
    <t>N Yorkshire</t>
  </si>
  <si>
    <t>Northants</t>
  </si>
  <si>
    <t>Cornwall</t>
  </si>
  <si>
    <t>Berks, Surrey &amp; W Sussex Fringe</t>
  </si>
  <si>
    <t>Herts &amp; Bucks Fringe</t>
  </si>
  <si>
    <t>Herts</t>
  </si>
  <si>
    <t>Durham</t>
  </si>
  <si>
    <t>Devon</t>
  </si>
  <si>
    <t>Humberside</t>
  </si>
  <si>
    <t>Hamps &amp; Isle of Wight</t>
  </si>
  <si>
    <t>Hampshire</t>
  </si>
  <si>
    <t>Tyne &amp; Wear</t>
  </si>
  <si>
    <t>Norfolk</t>
  </si>
  <si>
    <t>Surrey</t>
  </si>
  <si>
    <t xml:space="preserve">Isles of Scilly </t>
  </si>
  <si>
    <t>W Yorkshire</t>
  </si>
  <si>
    <t>Lincolnshire</t>
  </si>
  <si>
    <t>Bucks Non-Fringe</t>
  </si>
  <si>
    <t>Bucks</t>
  </si>
  <si>
    <t>Warwickshire</t>
  </si>
  <si>
    <t>Warks</t>
  </si>
  <si>
    <t>Northumberland</t>
  </si>
  <si>
    <t>Oxfordshire</t>
  </si>
  <si>
    <t>Berks Non-Fringe</t>
  </si>
  <si>
    <t>Berkshire</t>
  </si>
  <si>
    <t>Hereford &amp; Worcester</t>
  </si>
  <si>
    <t>Somerset</t>
  </si>
  <si>
    <t>Shropshire</t>
  </si>
  <si>
    <t>Cleveland</t>
  </si>
  <si>
    <t>Wiltshire</t>
  </si>
  <si>
    <t>Dear Colleague</t>
  </si>
  <si>
    <t>In the 'Rent Com' worksheet, you are taken through the calculation of Formula, Guideline and Limit rent.</t>
  </si>
  <si>
    <t>In the 'Man Com' worksheet, you are taken through the calculation of the Management Allowance.</t>
  </si>
  <si>
    <t>In the 'Mnt Com' worksheet, you are taken through the calculation of the Maintenance Allowance.</t>
  </si>
  <si>
    <t>In the 'MRA Com' worksheet, you are taken through the calculation of the Major Repairs Allowance.</t>
  </si>
  <si>
    <t>In the 'Debt Com' worksheet, you are taken through the calculation of the;</t>
  </si>
  <si>
    <t>Subsidy Capital Financing Requirement</t>
  </si>
  <si>
    <t>Debt Management Expenses</t>
  </si>
  <si>
    <t>In the 'Rebasing' worksheet, you are taken through the calculation of rebasing applied to allowances.</t>
  </si>
  <si>
    <t>Rebasing</t>
  </si>
  <si>
    <t>MRA</t>
  </si>
  <si>
    <t>Step 8</t>
  </si>
  <si>
    <t>Interest on receipts</t>
  </si>
  <si>
    <t>Average</t>
  </si>
  <si>
    <t>F001DC</t>
  </si>
  <si>
    <t>F002DC</t>
  </si>
  <si>
    <t>F003DC</t>
  </si>
  <si>
    <t>F001MA</t>
  </si>
  <si>
    <t>F003CM</t>
  </si>
  <si>
    <t>National Scaling Factor</t>
  </si>
  <si>
    <t>of the LA's Step 2 costs</t>
  </si>
  <si>
    <t>* H</t>
  </si>
  <si>
    <t>* I</t>
  </si>
  <si>
    <t>of the LAs step 3 pot</t>
  </si>
  <si>
    <t>LAs</t>
  </si>
  <si>
    <t>of its stock</t>
  </si>
  <si>
    <t>SCE R 2011-12</t>
  </si>
  <si>
    <t>SCFR 2011-12</t>
  </si>
  <si>
    <t>Interest on capital receipts</t>
  </si>
  <si>
    <t>RPI</t>
  </si>
  <si>
    <t>VAP</t>
  </si>
  <si>
    <t>Burglary</t>
  </si>
  <si>
    <t>multiplied by it's BCIS factor</t>
  </si>
  <si>
    <t>BCIS Adjustment Factors</t>
  </si>
  <si>
    <t>ACA Adjustment Factors</t>
  </si>
  <si>
    <t>Surveys of Tender Prices</t>
  </si>
  <si>
    <t>PSS Older People</t>
  </si>
  <si>
    <t>County</t>
  </si>
  <si>
    <t>BCIS Region</t>
  </si>
  <si>
    <t>Northern</t>
  </si>
  <si>
    <t>Yorks &amp; Humb</t>
  </si>
  <si>
    <t>East Mids</t>
  </si>
  <si>
    <t>East Anglia</t>
  </si>
  <si>
    <t>SE excl GL</t>
  </si>
  <si>
    <t>Isle of Wight</t>
  </si>
  <si>
    <t>GL</t>
  </si>
  <si>
    <t>South West</t>
  </si>
  <si>
    <t>West Mids</t>
  </si>
  <si>
    <t>North West</t>
  </si>
  <si>
    <t>Merseyside</t>
  </si>
  <si>
    <t>Pricing Adjustment Factors</t>
  </si>
  <si>
    <t>Adjusted Response Repairs pd 2011-12</t>
  </si>
  <si>
    <t>Welcome to the 2012-13 HRA Subsidy Determination.</t>
  </si>
  <si>
    <t>Number of Dwellings at 1 April 2011 excluding shared ownership</t>
  </si>
  <si>
    <t>Number of Dwellings at 1 April 2011 including shared ownership</t>
  </si>
  <si>
    <t>Number of Dwellings at 1 April 2011 excluding shared ownership and PFI dwellings</t>
  </si>
  <si>
    <t>SCFR 2011-12 [A]</t>
  </si>
  <si>
    <t>Subsidy Capital Financing Requirement 2012-13</t>
  </si>
  <si>
    <t>Debt Management Expenses 2012-13</t>
  </si>
  <si>
    <t>2012-2013</t>
  </si>
  <si>
    <t>2012-13 Caps and Limits Adjustment</t>
  </si>
  <si>
    <t>2012-13 Guideline Rent pd pw after Caps and Limits</t>
  </si>
  <si>
    <t>2012-13 Average Guideline rent</t>
  </si>
  <si>
    <t>2011-12 Average Actual rent</t>
  </si>
  <si>
    <t>2012-13 Average Formula Rent</t>
  </si>
  <si>
    <t>Simulated 2011-12 Average Actual rent</t>
  </si>
  <si>
    <t>Average 2011-12 M+M Allowances pd</t>
  </si>
  <si>
    <t xml:space="preserve"> = loss of resources as % of 2011-12 M&amp;M allowances</t>
  </si>
  <si>
    <t>Step 1 Adjusted Response Repairs Pot</t>
  </si>
  <si>
    <t>Step 2 Planned Works Pot</t>
  </si>
  <si>
    <t>Step 3 Relets / Terminations Pot</t>
  </si>
  <si>
    <t>Step 4 Voids Pot</t>
  </si>
  <si>
    <t>each LA's Maintenance Allowance per dwelling from the 2010-2011 HRAS Determination</t>
  </si>
  <si>
    <t>Value of land, houses or other property newly accounted for in HRA in 2009-2010, eg by appropriation F002cc</t>
  </si>
  <si>
    <t>ALMO SCE 2011-12</t>
  </si>
  <si>
    <t>Non-poolable reserved part of HRA capital receipts arising from disposals in 2009-2010 F001cc</t>
  </si>
  <si>
    <t>Equivalent reserved part of certified value of property which ceased to be accounted for in HRA in 2008-2009 (other than by disposal) F003cc</t>
  </si>
  <si>
    <t>Estimated principal outstanding at 1 April 2011 on any loan made to enable the borrower to acquire a HRA dwelling F004cc</t>
  </si>
  <si>
    <t>Average rate of interest on 1 August 2010 on the loans covered in Line 4 F005cc</t>
  </si>
  <si>
    <t>Cap on Formula Rent 2011-12</t>
  </si>
  <si>
    <t>Calculated as F / G</t>
  </si>
  <si>
    <t>Calculated as I / J</t>
  </si>
  <si>
    <t>where D is the national average rent, Apr. 2000</t>
  </si>
  <si>
    <t>where E is the relative county manual earnings</t>
  </si>
  <si>
    <t>LA's amount of violence against the person</t>
  </si>
  <si>
    <t>each LA's Management Allowance per dwelling from the 2010-2011 HRAS Determination</t>
  </si>
  <si>
    <t>where K is calculated as</t>
  </si>
  <si>
    <t>where F is the LA's county manual earnings</t>
  </si>
  <si>
    <t xml:space="preserve">where G is the England average county manual earnings </t>
  </si>
  <si>
    <t>where H is the LA's relative property value</t>
  </si>
  <si>
    <t>where I is the local average LA property value, Jan. 1999</t>
  </si>
  <si>
    <t>where J is the England average LA property value, Jan. 1999</t>
  </si>
  <si>
    <t>where K is the previous year's imputed Guideline Rent</t>
  </si>
  <si>
    <t>where n is the convergence term used to affect the average Guideline Rent increase</t>
  </si>
  <si>
    <t>Local Authority</t>
  </si>
  <si>
    <t>A</t>
  </si>
  <si>
    <t>B</t>
  </si>
  <si>
    <t>Guideline Rent pd 2002-03</t>
  </si>
  <si>
    <t>Guideline Rent pd 2003-04</t>
  </si>
  <si>
    <t>Guideline Rent pd 2004-05</t>
  </si>
  <si>
    <t>Guideline Rent pd 2005-06</t>
  </si>
  <si>
    <t>Guideline Rent pd 2006-07</t>
  </si>
  <si>
    <t>Guideline Rent pd 2007-08</t>
  </si>
  <si>
    <t>Guideline Rent pd 2008-09</t>
  </si>
  <si>
    <t>Guideline Rent pd 2009-10</t>
  </si>
  <si>
    <t>Guideline Rent pd 2010-11</t>
  </si>
  <si>
    <t>n</t>
  </si>
  <si>
    <t>Guideline Rent pd 2011-12</t>
  </si>
  <si>
    <t>2011-12 Maint Allowance</t>
  </si>
  <si>
    <t>2012-13 Maint Allowance pd</t>
  </si>
  <si>
    <t>Energy Performance Pot</t>
  </si>
  <si>
    <t>Self Financing Additional Data</t>
  </si>
  <si>
    <t>2012-13 Man Allowance</t>
  </si>
  <si>
    <t>2012-13 Man Allowance pd</t>
  </si>
  <si>
    <t>Welcome to the 2012-13 HRA Self Financing Baseline Determination</t>
  </si>
  <si>
    <t>Rebasing Calculation</t>
  </si>
  <si>
    <t>C=B-A</t>
  </si>
  <si>
    <t>Cash increase in Guideline rent</t>
  </si>
  <si>
    <t>D</t>
  </si>
  <si>
    <t>E</t>
  </si>
  <si>
    <t>G=F-D</t>
  </si>
  <si>
    <t>Cash Increase in Actual Rent</t>
  </si>
  <si>
    <t>H = 98%*(C - G)</t>
  </si>
  <si>
    <t>Loss of resources (allowing for voids)</t>
  </si>
  <si>
    <t>I</t>
  </si>
  <si>
    <t>J = H / I</t>
  </si>
  <si>
    <t>Rebasing %</t>
  </si>
  <si>
    <t>(rounded to 1 decimal place)</t>
  </si>
  <si>
    <t>2011-12 Average Guideline rent</t>
  </si>
  <si>
    <t>F = (D * 1+RPI+0.5%) +</t>
  </si>
  <si>
    <t>Step 1: Formula Rent</t>
  </si>
  <si>
    <t>The 2000-2001 Formula Rent is</t>
  </si>
  <si>
    <t>A*</t>
  </si>
  <si>
    <t>B*</t>
  </si>
  <si>
    <t>plus</t>
  </si>
  <si>
    <t>where A is C*D*E</t>
  </si>
  <si>
    <t>where B is D*H</t>
  </si>
  <si>
    <t>where C is the LAs bedroom weighting factor, calculated as</t>
  </si>
  <si>
    <t>Each archetype's bedroom weight is multiplied by an authority’s stock</t>
  </si>
  <si>
    <t>of that archetype, then summed across all archetypes</t>
  </si>
  <si>
    <t>and divided by the authority's stock</t>
  </si>
  <si>
    <t>Archetype</t>
  </si>
  <si>
    <t>Bedroom Weighting</t>
  </si>
  <si>
    <t>1 bed</t>
  </si>
  <si>
    <t xml:space="preserve">2 bed </t>
  </si>
  <si>
    <t>3 bed</t>
  </si>
  <si>
    <t>4 bed</t>
  </si>
  <si>
    <t>5 bed</t>
  </si>
  <si>
    <t>6+ bed</t>
  </si>
  <si>
    <t>Bedsits</t>
  </si>
  <si>
    <t>HMOs</t>
  </si>
  <si>
    <t>Bedroom Weighting Factor</t>
  </si>
  <si>
    <t>2000-2001 Formula Rent pd pw</t>
  </si>
  <si>
    <t xml:space="preserve">Step 2: Formula Rent </t>
  </si>
  <si>
    <t>RPI+</t>
  </si>
  <si>
    <t>The formula rent for 2001-2002 is calculated as the previous</t>
  </si>
  <si>
    <t>year's value uprated by</t>
  </si>
  <si>
    <t>The formula rent for each subsequent year is calculated as the previous</t>
  </si>
  <si>
    <t>2001-2002</t>
  </si>
  <si>
    <t>2002-2003</t>
  </si>
  <si>
    <t>2003-2004</t>
  </si>
  <si>
    <t>2004-2005</t>
  </si>
  <si>
    <t>2005-2006</t>
  </si>
  <si>
    <t>2006-2007</t>
  </si>
  <si>
    <t>2007-2008</t>
  </si>
  <si>
    <t>2008-2009</t>
  </si>
  <si>
    <t>2009-2010</t>
  </si>
  <si>
    <t>Formula Rent per Dwelling</t>
  </si>
  <si>
    <t>2010-2011</t>
  </si>
  <si>
    <t>2011-2012</t>
  </si>
  <si>
    <t>Cap on Formula Rent</t>
  </si>
  <si>
    <t>For the purposes of the Caps and Limits constrained rent calculation, the caps on the Formula rent shall be</t>
  </si>
  <si>
    <t>Property Type</t>
  </si>
  <si>
    <t>2 beds</t>
  </si>
  <si>
    <t>3 beds</t>
  </si>
  <si>
    <t>4 beds</t>
  </si>
  <si>
    <t>5 beds</t>
  </si>
  <si>
    <t>6+ beds</t>
  </si>
  <si>
    <t>The Guideline rent per dwelling per week for 2001-02 is given as a preset</t>
  </si>
  <si>
    <t xml:space="preserve">The guideline rent for each subsequent year is calculated as </t>
  </si>
  <si>
    <t xml:space="preserve">An alternative calculation for guideline rent in 2009/10 was introduced for those authorities that chose to  </t>
  </si>
  <si>
    <t>take up the amended determination.</t>
  </si>
  <si>
    <r>
      <t xml:space="preserve">Under this scenario guideline rent for </t>
    </r>
    <r>
      <rPr>
        <u val="single"/>
        <sz val="12"/>
        <rFont val="Arial"/>
        <family val="2"/>
      </rPr>
      <t>2009/10</t>
    </r>
    <r>
      <rPr>
        <sz val="12"/>
        <rFont val="Arial"/>
        <family val="0"/>
      </rPr>
      <t xml:space="preserve"> (only) is calculated as</t>
    </r>
  </si>
  <si>
    <t>Term A1      +       Term B1</t>
  </si>
  <si>
    <t>K*(1+2.4%) + (FR - K*(1+RPI+0.5%)) / n</t>
  </si>
  <si>
    <t>where FR is the Formula Rent for that year</t>
  </si>
  <si>
    <t>where n is the convergence term used to affect the average guideline rent increase</t>
  </si>
  <si>
    <t>Guideline Rent pd pw</t>
  </si>
  <si>
    <t>The Voids Allowance is</t>
  </si>
  <si>
    <t>Step 4: Guideline Rent</t>
  </si>
  <si>
    <t xml:space="preserve">Step 3: Guideline Rent </t>
  </si>
  <si>
    <t>Step 1: Initial estimate</t>
  </si>
  <si>
    <t>Step 2: Adjusting for propotion of flats and houses</t>
  </si>
  <si>
    <t>of the LAs flats</t>
  </si>
  <si>
    <t>of the LAs houses</t>
  </si>
  <si>
    <t>in 2011-12 Det (£696.78+ £1192.40)/52</t>
  </si>
  <si>
    <t>Step 1 Pot zeroed</t>
  </si>
  <si>
    <t>The Guideline Rent for 2011-12 shall be calculated as</t>
  </si>
  <si>
    <t>Guideline Rent pd 2011-12 after Caps and Limits Adjustment * Stock * (1- Voids Allowance)</t>
  </si>
  <si>
    <t xml:space="preserve">Step 5 Limit Rent </t>
  </si>
  <si>
    <t>The Limit rent per dwelling for 2001-02 is given as a preset</t>
  </si>
  <si>
    <t xml:space="preserve">The Limit rent for each subsequent year is calculated as </t>
  </si>
  <si>
    <t>L*(1+RPI+0.5%) + (FR - L*(1+RPI+0.5%)) / n</t>
  </si>
  <si>
    <t xml:space="preserve">An alternative calculation for Limit rent per dwelling in 2009/10 applies to those authorities who chose to  </t>
  </si>
  <si>
    <t>take up the amended offer.</t>
  </si>
  <si>
    <t>Under this scenario Limit rent for 2009/10 only is calculated as</t>
  </si>
  <si>
    <t>L*(1+2.4%) + (FR - L*(1+RPI+0.5%)) / n</t>
  </si>
  <si>
    <t>where L is the previous years imputed Limit rent</t>
  </si>
  <si>
    <t>where FR is the Formula Rent</t>
  </si>
  <si>
    <t>Limit Rent pd pw</t>
  </si>
  <si>
    <t>Including shared ownership and PFI</t>
  </si>
  <si>
    <t>If</t>
  </si>
  <si>
    <t>the LA has a number of dwellings exceeding</t>
  </si>
  <si>
    <t>it shall receive</t>
  </si>
  <si>
    <t>multiplied by (its number of dwellings minus 1400)</t>
  </si>
  <si>
    <t>Else</t>
  </si>
  <si>
    <t>multilplied by its number of dwellings</t>
  </si>
  <si>
    <t>Total Step 1 pot</t>
  </si>
  <si>
    <t>Caps and Limits</t>
  </si>
  <si>
    <t>of its Step 1 costs, the LA shall receive</t>
  </si>
  <si>
    <t>plus A * (B / C)</t>
  </si>
  <si>
    <t>where A is</t>
  </si>
  <si>
    <t>where B is the LA's estimated % of properties with common facilities</t>
  </si>
  <si>
    <t>calculated as (D + E) / Stock</t>
  </si>
  <si>
    <t>where D is</t>
  </si>
  <si>
    <t>where E is</t>
  </si>
  <si>
    <t>where C is England's estimated % of properties with common facilities</t>
  </si>
  <si>
    <t>calculated as a stock weighted average of each LA's B</t>
  </si>
  <si>
    <t>Total Step 2 pot</t>
  </si>
  <si>
    <t>Step 3 Adjusting for proportion of medium and high rise flats</t>
  </si>
  <si>
    <t>of its Step 2 costs, the LA shall receive</t>
  </si>
  <si>
    <t>plus F * G</t>
  </si>
  <si>
    <t xml:space="preserve">where F is </t>
  </si>
  <si>
    <t>where G is the factor for medium rise and high rise flats</t>
  </si>
  <si>
    <t xml:space="preserve">calculated as </t>
  </si>
  <si>
    <t>where H is the % of the LA's stock that is houses, bungalows and low rise flats</t>
  </si>
  <si>
    <t>where I is the % of the LA's stock that is medium or high rise flats</t>
  </si>
  <si>
    <t>Total Step 3 pot</t>
  </si>
  <si>
    <t>Step 4 Adjusting for crime factor and re-lets/terminations</t>
  </si>
  <si>
    <t>of its Step 3 costs, the LA shall receive</t>
  </si>
  <si>
    <t>plus J + K</t>
  </si>
  <si>
    <t>where J is the crime pot</t>
  </si>
  <si>
    <t>calculated as L * M</t>
  </si>
  <si>
    <t xml:space="preserve">where L is </t>
  </si>
  <si>
    <t xml:space="preserve">where M is the LA's relative amount of violence against the person per </t>
  </si>
  <si>
    <t>per 1,000 population against the national average</t>
  </si>
  <si>
    <t>National average</t>
  </si>
  <si>
    <t>where K is the the relets and terminations pot</t>
  </si>
  <si>
    <t>calculated as N * O</t>
  </si>
  <si>
    <t>where N is</t>
  </si>
  <si>
    <t>where O is (P + Q) / ( 2 * Stock), relative to the national average</t>
  </si>
  <si>
    <t>LAs average relets / terminations</t>
  </si>
  <si>
    <t>Total Step 4 pot</t>
  </si>
  <si>
    <t>Step 5 Adjusting for deprivation</t>
  </si>
  <si>
    <t>Step 5 costs are equal to Step 4 costs</t>
  </si>
  <si>
    <t>plus the LA's deprivation add on</t>
  </si>
  <si>
    <t>Calculated as R * S</t>
  </si>
  <si>
    <t>where R is the % of S DCLG will add on</t>
  </si>
  <si>
    <t>calculated as</t>
  </si>
  <si>
    <t xml:space="preserve">if LA is amongst the worst </t>
  </si>
  <si>
    <t>in at least one of the 6 measures of deprivation</t>
  </si>
  <si>
    <t>else</t>
  </si>
  <si>
    <t>where S is T + (U * V)</t>
  </si>
  <si>
    <t xml:space="preserve">where T is </t>
  </si>
  <si>
    <t>multiplied by</t>
  </si>
  <si>
    <t>where U is</t>
  </si>
  <si>
    <t>where V is W / X</t>
  </si>
  <si>
    <t>where W is the extent of deprivation score within the LA according to</t>
  </si>
  <si>
    <t>Commentary on the Formula, Guideline and Limit Rent</t>
  </si>
  <si>
    <t>where X is the maximum extent of deprivation score for all English LAs</t>
  </si>
  <si>
    <t>Total Step 5 pot</t>
  </si>
  <si>
    <t>Step 6 Geographical adjustment</t>
  </si>
  <si>
    <t>The LA shall receive it's Step 5 costs multiplied by its Area Cost Adjustment of</t>
  </si>
  <si>
    <t>Total Step 6 pot</t>
  </si>
  <si>
    <t>Step 7 National Scaling</t>
  </si>
  <si>
    <t>The LA shall receive its Step 6 costs multiplied by the</t>
  </si>
  <si>
    <t>The National Scaling Factor</t>
  </si>
  <si>
    <t>calculated as Y / Z</t>
  </si>
  <si>
    <t>where Z is the sum of all Step 6 costs</t>
  </si>
  <si>
    <t>where Y is AA * Uplift</t>
  </si>
  <si>
    <t xml:space="preserve">where AA is the sumproduct of </t>
  </si>
  <si>
    <t>Archetype (11B2)</t>
  </si>
  <si>
    <t>and</t>
  </si>
  <si>
    <t xml:space="preserve">where the uplift is </t>
  </si>
  <si>
    <t>plus rebasing percentage</t>
  </si>
  <si>
    <t>plus real uplift</t>
  </si>
  <si>
    <t>total uplift</t>
  </si>
  <si>
    <t>Total Step 7 pot</t>
  </si>
  <si>
    <t xml:space="preserve">The LA shall receive </t>
  </si>
  <si>
    <t>for energy performance</t>
  </si>
  <si>
    <t xml:space="preserve">where P the amount of the LA's stock that was relet in 2009-10 </t>
  </si>
  <si>
    <t>where Q is the amount of the LA's stock that was terminated in 2009-10</t>
  </si>
  <si>
    <t>each LA's stock on April 1 2009</t>
  </si>
  <si>
    <t>plus the GDP Deflator 2011-2012</t>
  </si>
  <si>
    <t>in HRA in 2010-2011, eg by appropriation F002cc [D]</t>
  </si>
  <si>
    <t>Excluding shared ownership but including PFI</t>
  </si>
  <si>
    <t>Step 1 Response Repairs</t>
  </si>
  <si>
    <t>The LA shall receive A * B</t>
  </si>
  <si>
    <t>where A is calculated as:</t>
  </si>
  <si>
    <t>Each archetype's adjusted response repairs base weight is multiplied by an authority’s stock</t>
  </si>
  <si>
    <t>of that archetype and then summed across all archetypes</t>
  </si>
  <si>
    <t>Archetype (10B2)</t>
  </si>
  <si>
    <t>Pre 1945 small terrace houses - F001mm</t>
  </si>
  <si>
    <t>Pre 1945 semi-detached houses - F002mm</t>
  </si>
  <si>
    <t>All other pre-1945 houses - F003mm</t>
  </si>
  <si>
    <t>1945 - 64 small terrace houses - F004mm</t>
  </si>
  <si>
    <t>((E - (D * 1+RPI+0.5%)) /N)</t>
  </si>
  <si>
    <t>1945-64 large terr, s-det and det houses - F005mm</t>
  </si>
  <si>
    <t>1965-74 houses - F006mm</t>
  </si>
  <si>
    <t>Post 1974 houses - F007mm</t>
  </si>
  <si>
    <t>All houses - F008mm</t>
  </si>
  <si>
    <t>Pre 1945 low rise (1-2 storey) flats - F009mm</t>
  </si>
  <si>
    <t>Post 1944 low rise (1-2 storey) flats - F010mm</t>
  </si>
  <si>
    <t>Medium rise (3-5 storey) flats - F011mm</t>
  </si>
  <si>
    <t>High rise (6 or more storeys) flats - F012mm</t>
  </si>
  <si>
    <t>Bungalows - F013mm</t>
  </si>
  <si>
    <t>Pre 1945 multi-occupied dwellings - F014mm</t>
  </si>
  <si>
    <t>Post 1944 multi-occupied dwellings - F015mm</t>
  </si>
  <si>
    <t>Total (A)</t>
  </si>
  <si>
    <t>calculated as (C / D) * (E / Stock) + 1</t>
  </si>
  <si>
    <t>where C is the weighted crime rate</t>
  </si>
  <si>
    <t>where G is the amount of criminal damage in LA per 1000 households</t>
  </si>
  <si>
    <t>where H is the amount of burglary in LA per 1000 households</t>
  </si>
  <si>
    <t>where D is the highest weighted crime rate in England</t>
  </si>
  <si>
    <t xml:space="preserve">where E is </t>
  </si>
  <si>
    <t>where I is the LAs amount of stock that is not Medium or High Rise</t>
  </si>
  <si>
    <t xml:space="preserve">where J is the LAs amount of stock that is Medium and High Rise </t>
  </si>
  <si>
    <t>Total Step 1 Pot</t>
  </si>
  <si>
    <t>Step 2 Planned Works</t>
  </si>
  <si>
    <t>Each archetype's planned works base weight is multiplied by an authority’s stock</t>
  </si>
  <si>
    <t>Total Step 2 Pot</t>
  </si>
  <si>
    <t>Step 3 Relets and Terminations</t>
  </si>
  <si>
    <t xml:space="preserve">The LA shall receive K * L </t>
  </si>
  <si>
    <t>Each archetype's base weight for basic works for re-lets and terminations is multiplied</t>
  </si>
  <si>
    <t>by an authority’s stock of that archetype and then summed across all archetypes.</t>
  </si>
  <si>
    <t>Total (K)</t>
  </si>
  <si>
    <t>where L is the (average of M and N)/stock</t>
  </si>
  <si>
    <t>Total Step 3 Pot</t>
  </si>
  <si>
    <t>Step 4 Crime Related Works to Voids</t>
  </si>
  <si>
    <t>The LA shall receive</t>
  </si>
  <si>
    <t>where O is Stock * (C / D) * P</t>
  </si>
  <si>
    <t>where P is the % of the LAs rental income that was lost due to void dwellings</t>
  </si>
  <si>
    <t>Total Step 4 Pot</t>
  </si>
  <si>
    <t xml:space="preserve">Step 5 </t>
  </si>
  <si>
    <t>The Step 5 pot is the sum of the Steps 1 to 4 pots</t>
  </si>
  <si>
    <t>Step 6 Geographical Adjustment</t>
  </si>
  <si>
    <t>Total Step 6 Pot</t>
  </si>
  <si>
    <t>Step 7 Scaling Factor</t>
  </si>
  <si>
    <t>The LA shall receive it's Step 6 costs multiplied by the</t>
  </si>
  <si>
    <t>calculated as Q / R</t>
  </si>
  <si>
    <t>where R is the sum of all Step 6 costs</t>
  </si>
  <si>
    <t>where Q is S * Uplift</t>
  </si>
  <si>
    <t xml:space="preserve">where S is the sumproduct of </t>
  </si>
  <si>
    <t>Total Step 7 Pot</t>
  </si>
  <si>
    <t>where M is the number of dwellings that were relet in 2009-10</t>
  </si>
  <si>
    <t>where N is the number of dwellings that were terminated in 2009-10</t>
  </si>
  <si>
    <t>The LA shall receive it's Step 5 costs multiplied by its BCIS local adjustment factor</t>
  </si>
  <si>
    <t>each LA's stock on April 1 2010</t>
  </si>
  <si>
    <t>Response Repairs</t>
  </si>
  <si>
    <t>Additional Backlog Factor</t>
  </si>
  <si>
    <t>Adjusted Response Repairs</t>
  </si>
  <si>
    <t>ARR multiplied by Stock</t>
  </si>
  <si>
    <t>*G</t>
  </si>
  <si>
    <t>*H</t>
  </si>
  <si>
    <t>*I</t>
  </si>
  <si>
    <t>*J</t>
  </si>
  <si>
    <t>Planned Works Base Weight</t>
  </si>
  <si>
    <t>PWBW * Stock</t>
  </si>
  <si>
    <t>BW * Stock</t>
  </si>
  <si>
    <t>*O</t>
  </si>
  <si>
    <t>Excluding shared ownership and PFI</t>
  </si>
  <si>
    <t>where A is the Unadjusted MRA, calculated as</t>
  </si>
  <si>
    <t>Each archetype's major repairs base weight is multiplied by an authority’s stock</t>
  </si>
  <si>
    <t>MRA Base Weight</t>
  </si>
  <si>
    <t>Pre 1945 small terrace houses - F017mm</t>
  </si>
  <si>
    <t>Pre 1945 semi-detached houses - F018mm</t>
  </si>
  <si>
    <t>All other pre-1945 houses - F019mm</t>
  </si>
  <si>
    <t>1945 - 64 small terrace houses - F020mm</t>
  </si>
  <si>
    <t>1945-64 large terr, s-det and det houses - F021mm</t>
  </si>
  <si>
    <t>1965-74 houses - F022mm</t>
  </si>
  <si>
    <t>Post 1974 houses - F023mm</t>
  </si>
  <si>
    <t>All houses - F024mm</t>
  </si>
  <si>
    <t>Pre 1945 low rise (1-2 storey) flats - F025mm</t>
  </si>
  <si>
    <t>Post 1944 low rise (1-2 storey) flats - F026mm</t>
  </si>
  <si>
    <t>Medium rise (3-5 storey) flats - F027mm</t>
  </si>
  <si>
    <t>High rise (6 or more storeys) flats - F028mm</t>
  </si>
  <si>
    <t>Bungalows - F029mm</t>
  </si>
  <si>
    <t>Pre 1945 multi-occupied dwellings - F030mm</t>
  </si>
  <si>
    <t>Post 1944 multi-occupied dwellings - F031mm</t>
  </si>
  <si>
    <t>where B is the Regional Cost Factor</t>
  </si>
  <si>
    <t>calculated as C*D</t>
  </si>
  <si>
    <t>where C is the BCIS Cost Adjustment Factor</t>
  </si>
  <si>
    <t>where D is Geographical Adjustment Factor</t>
  </si>
  <si>
    <t>calculated as E / F</t>
  </si>
  <si>
    <t>where E is the sum of all Unadjusted MRA</t>
  </si>
  <si>
    <t xml:space="preserve">where F is the sum of each LAs Unadjusted MRA </t>
  </si>
  <si>
    <t xml:space="preserve">Value of land, houses or other property newly accounted for </t>
  </si>
  <si>
    <t xml:space="preserve">Non-poolable reserved part of HRA capital receipts </t>
  </si>
  <si>
    <t xml:space="preserve">Equivalent reserved part of certified value of property which </t>
  </si>
  <si>
    <t>(other than by disposal) F003cc [H]</t>
  </si>
  <si>
    <t>(Set to Zero where Stock is Zero)</t>
  </si>
  <si>
    <t>The English Indices of Deprivation (2007)</t>
  </si>
  <si>
    <t>Commentary on SCFR/DME/Interest</t>
  </si>
  <si>
    <t>arising from disposals in 2009-2010 F001cc [G]</t>
  </si>
  <si>
    <t>ceased to be accounted for in HRA in 2009 -2010</t>
  </si>
  <si>
    <t>Schedule No.</t>
  </si>
  <si>
    <t>Item in Determination</t>
  </si>
  <si>
    <t>Description</t>
  </si>
  <si>
    <t>B, X</t>
  </si>
  <si>
    <t>C</t>
  </si>
  <si>
    <t>F</t>
  </si>
  <si>
    <t>Y</t>
  </si>
  <si>
    <t>G</t>
  </si>
  <si>
    <t>Management Allowance per dwelling</t>
  </si>
  <si>
    <t>Maintenance Allowance per dwelling</t>
  </si>
  <si>
    <t>Major Repairs Allowance per dwelling</t>
  </si>
  <si>
    <t>Guideline Rent per dwelling</t>
  </si>
  <si>
    <t>85.8% of Step 1 Pot</t>
  </si>
  <si>
    <t>C/F Pot</t>
  </si>
  <si>
    <t>14.2% of Step 1 Pot</t>
  </si>
  <si>
    <t>% With Common Facilities</t>
  </si>
  <si>
    <t>89% of Flats</t>
  </si>
  <si>
    <t>13% of Houses</t>
  </si>
  <si>
    <t>Step 2 Pot</t>
  </si>
  <si>
    <t>80% of Step 2 Pot</t>
  </si>
  <si>
    <t>MR/HR Flats Pot</t>
  </si>
  <si>
    <t>20% of Step 2 Pot</t>
  </si>
  <si>
    <t>Factor for MR and HR flats</t>
  </si>
  <si>
    <t>% Houses and LR Flats</t>
  </si>
  <si>
    <t>% MR and HR Flats</t>
  </si>
  <si>
    <t>Step 3 Cost</t>
  </si>
  <si>
    <t>67.6% of Step 3 Pot</t>
  </si>
  <si>
    <t>Term/Relet Pot</t>
  </si>
  <si>
    <t>Crime Pot</t>
  </si>
  <si>
    <t>22.8% of Step 3 Pot</t>
  </si>
  <si>
    <t>Crime Factor</t>
  </si>
  <si>
    <t>Relets / Term Pot</t>
  </si>
  <si>
    <t>Guideline Rent 2012-13 pd per annum</t>
  </si>
  <si>
    <t>Guideline Rent 2012-13</t>
  </si>
  <si>
    <t>Limit Rent  pd 2012-13</t>
  </si>
  <si>
    <t>9.6% of Step 3 Pot</t>
  </si>
  <si>
    <t>Relets / Term Factor</t>
  </si>
  <si>
    <t>Ave. % Relets / Terminations</t>
  </si>
  <si>
    <t>Relets</t>
  </si>
  <si>
    <t>Terminations</t>
  </si>
  <si>
    <t>Step 4 Pot</t>
  </si>
  <si>
    <t>Deprivation Add On</t>
  </si>
  <si>
    <t>% Add On</t>
  </si>
  <si>
    <t>LA Extent / Max Extent</t>
  </si>
  <si>
    <t>Extent Score</t>
  </si>
  <si>
    <t>Step 5 Pot</t>
  </si>
  <si>
    <t>ACA</t>
  </si>
  <si>
    <t>Step 6 Pot</t>
  </si>
  <si>
    <t>Step 7 Pot</t>
  </si>
  <si>
    <t>Reduced Step 7 Pot</t>
  </si>
  <si>
    <t>Man Allowance after TP</t>
  </si>
  <si>
    <t>Step 8 (Energy Performance) Pot</t>
  </si>
  <si>
    <t>FO11MM</t>
  </si>
  <si>
    <t>FO12MM</t>
  </si>
  <si>
    <t>FO13MM</t>
  </si>
  <si>
    <t>FO14MM</t>
  </si>
  <si>
    <t>Crime/Flats Factor</t>
  </si>
  <si>
    <t>Weighted Average</t>
  </si>
  <si>
    <t>Criminal Damage</t>
  </si>
  <si>
    <t>Not MR or HR flats</t>
  </si>
  <si>
    <t>MR+HR flats</t>
  </si>
  <si>
    <t>Basic Works Pot</t>
  </si>
  <si>
    <t>Voids %</t>
  </si>
  <si>
    <t>BCIS</t>
  </si>
  <si>
    <t>Maint Allowance after TP</t>
  </si>
  <si>
    <t>Guideline Rent pd 2001-02 Zeroed</t>
  </si>
  <si>
    <t>Caps and Limits adjustment</t>
  </si>
  <si>
    <t>Limit Rent  pd 2001-02 Zeroed</t>
  </si>
  <si>
    <t>Limit Rent  pd 2002-03</t>
  </si>
  <si>
    <t>Limit Rent  pd 2003-04</t>
  </si>
  <si>
    <t>Limit Rent  pd 2004-05</t>
  </si>
  <si>
    <t>Limit Rent  pd 2005-06</t>
  </si>
  <si>
    <t>Limit Rent  pd 2006-07</t>
  </si>
  <si>
    <t>Limit Rent  pd 2007-08</t>
  </si>
  <si>
    <t>Limit Rent  pd 2008-09</t>
  </si>
  <si>
    <t>Limit Rent  pd 2009-10</t>
  </si>
  <si>
    <t>Limit Rent  pd 2010-11</t>
  </si>
  <si>
    <t>Mortgage interest receipts</t>
  </si>
  <si>
    <t>Schedule Data</t>
  </si>
  <si>
    <t>Commentary Data</t>
  </si>
  <si>
    <t>Sum of Step 6 Costs (Man)</t>
  </si>
  <si>
    <t>Sum of Step 6 Costs (Maint)</t>
  </si>
  <si>
    <t>Geographical Adjustment Factor</t>
  </si>
  <si>
    <t>Man Y</t>
  </si>
  <si>
    <t>Maint Q</t>
  </si>
  <si>
    <t>National Scaling Factor (Man)</t>
  </si>
  <si>
    <t>National Scaling Factor (Maint)</t>
  </si>
  <si>
    <t>Adjusted MRA</t>
  </si>
  <si>
    <t>MANAGEMENT ALLOWANCE</t>
  </si>
  <si>
    <t>MAINTENACE ALLOWANCE</t>
  </si>
  <si>
    <t>FORMULA RENT</t>
  </si>
  <si>
    <t>GUIDELINE RENT</t>
  </si>
  <si>
    <t>LIMIT RENT</t>
  </si>
  <si>
    <t>SCFR, DME, INTEREST</t>
  </si>
  <si>
    <t>cons</t>
  </si>
  <si>
    <t>Forecast LIBID Rate for 2010-11</t>
  </si>
  <si>
    <t>var</t>
  </si>
  <si>
    <t>National Ave</t>
  </si>
  <si>
    <t>National Max</t>
  </si>
  <si>
    <t>ACA 2011-12 Det</t>
  </si>
  <si>
    <t>Top Slice to Fund Guarantee</t>
  </si>
  <si>
    <t>National MRA</t>
  </si>
  <si>
    <t>Guideline Rent 2011-12</t>
  </si>
  <si>
    <t>Limit Rent  pd 2011-12</t>
  </si>
  <si>
    <t>In the 'BCIS-ACA' worksheet, the geographical adjustment factors are given.</t>
  </si>
  <si>
    <t>F001MM</t>
  </si>
  <si>
    <t>F002MM</t>
  </si>
  <si>
    <t>F003MM</t>
  </si>
  <si>
    <t>F004MM</t>
  </si>
  <si>
    <t>F005MM</t>
  </si>
  <si>
    <t>F006MM</t>
  </si>
  <si>
    <t>F007MM</t>
  </si>
  <si>
    <t>F008MM</t>
  </si>
  <si>
    <t>F009MM</t>
  </si>
  <si>
    <t>F010MM</t>
  </si>
  <si>
    <t>F015MM</t>
  </si>
  <si>
    <t>F002RI</t>
  </si>
  <si>
    <t>F003RI</t>
  </si>
  <si>
    <t>F004RI</t>
  </si>
  <si>
    <t>F005RI</t>
  </si>
  <si>
    <t>F006RI</t>
  </si>
  <si>
    <t>F007RI</t>
  </si>
  <si>
    <t>Adur</t>
  </si>
  <si>
    <t>Arun</t>
  </si>
  <si>
    <t>Ashfield</t>
  </si>
  <si>
    <t>Ashford</t>
  </si>
  <si>
    <t>Babergh</t>
  </si>
  <si>
    <t>Barking</t>
  </si>
  <si>
    <t>Barnet</t>
  </si>
  <si>
    <t>Barnsley</t>
  </si>
  <si>
    <t>Barrow</t>
  </si>
  <si>
    <t>Basildon</t>
  </si>
  <si>
    <t>Bassetlaw</t>
  </si>
  <si>
    <t>Birmingham</t>
  </si>
  <si>
    <t>Blackpool</t>
  </si>
  <si>
    <t>Bolsover</t>
  </si>
  <si>
    <t>Bournemouth</t>
  </si>
  <si>
    <t>Brent</t>
  </si>
  <si>
    <t>Brentwood</t>
  </si>
  <si>
    <t>Brighton &amp; Hove</t>
  </si>
  <si>
    <t>Bristol</t>
  </si>
  <si>
    <t>Broxtowe</t>
  </si>
  <si>
    <t>Bury</t>
  </si>
  <si>
    <t>Cambridge</t>
  </si>
  <si>
    <t>Camden</t>
  </si>
  <si>
    <t>Cannock Chase</t>
  </si>
  <si>
    <t>Canterbury</t>
  </si>
  <si>
    <t>Castle Point</t>
  </si>
  <si>
    <t>Central Beds UA</t>
  </si>
  <si>
    <t>Charnwood</t>
  </si>
  <si>
    <t>Cheltenham</t>
  </si>
  <si>
    <t>Cheshir West UA</t>
  </si>
  <si>
    <t>Chesterfield</t>
  </si>
  <si>
    <t>City of London</t>
  </si>
  <si>
    <t>City of York</t>
  </si>
  <si>
    <t>Colchester</t>
  </si>
  <si>
    <t>Corby</t>
  </si>
  <si>
    <t>Cornwall UA</t>
  </si>
  <si>
    <t>Crawley</t>
  </si>
  <si>
    <t>Croydon</t>
  </si>
  <si>
    <t>Dacorum</t>
  </si>
  <si>
    <t>Darlington</t>
  </si>
  <si>
    <t>Dartford</t>
  </si>
  <si>
    <t>Derby</t>
  </si>
  <si>
    <t>Doncaster</t>
  </si>
  <si>
    <t>Dover</t>
  </si>
  <si>
    <t>Dudley</t>
  </si>
  <si>
    <t>Durham UA</t>
  </si>
  <si>
    <t>Ealing</t>
  </si>
  <si>
    <t>East Devon</t>
  </si>
  <si>
    <t>per dwelling</t>
  </si>
  <si>
    <t>2011-12 Man Allowance</t>
  </si>
  <si>
    <t>where B is the crime/flats factor</t>
  </si>
  <si>
    <t>East Riding</t>
  </si>
  <si>
    <t>Eastbourne</t>
  </si>
  <si>
    <t>Enfield</t>
  </si>
  <si>
    <t>Epping Forest</t>
  </si>
  <si>
    <t>Exeter</t>
  </si>
  <si>
    <t>Fareham</t>
  </si>
  <si>
    <t>Gateshead</t>
  </si>
  <si>
    <t>Gloucester</t>
  </si>
  <si>
    <t>Gosport</t>
  </si>
  <si>
    <t>Gravesham</t>
  </si>
  <si>
    <t>Great Yarmouth</t>
  </si>
  <si>
    <t>Greenwich</t>
  </si>
  <si>
    <t>Guildford</t>
  </si>
  <si>
    <t>Hackney</t>
  </si>
  <si>
    <t>Hammersmith</t>
  </si>
  <si>
    <t>Haringey</t>
  </si>
  <si>
    <t>Harlow</t>
  </si>
  <si>
    <t>Harrogate</t>
  </si>
  <si>
    <t>Harrow</t>
  </si>
  <si>
    <t>Havering</t>
  </si>
  <si>
    <t>High Peak</t>
  </si>
  <si>
    <t>Hillingdon</t>
  </si>
  <si>
    <t>Hinckley</t>
  </si>
  <si>
    <t>Hounslow</t>
  </si>
  <si>
    <t>Ipswich</t>
  </si>
  <si>
    <t>increased from last year by RPI+1.0%</t>
  </si>
  <si>
    <t>Isles of Scilly</t>
  </si>
  <si>
    <t>Islington</t>
  </si>
  <si>
    <t>Kensington</t>
  </si>
  <si>
    <t>Kettering</t>
  </si>
  <si>
    <t>Kingston U Hull</t>
  </si>
  <si>
    <t>Kingston u Tham</t>
  </si>
  <si>
    <t>Kirklees</t>
  </si>
  <si>
    <t>Lambeth</t>
  </si>
  <si>
    <t>Lancaster</t>
  </si>
  <si>
    <t>Leeds</t>
  </si>
  <si>
    <t>Leicester</t>
  </si>
  <si>
    <t>Lewes</t>
  </si>
  <si>
    <t>Lewisham</t>
  </si>
  <si>
    <t>Lincoln</t>
  </si>
  <si>
    <t>Luton</t>
  </si>
  <si>
    <t>Manchester</t>
  </si>
  <si>
    <t>Mansfield</t>
  </si>
  <si>
    <t>Medway Towns</t>
  </si>
  <si>
    <t>Melton</t>
  </si>
  <si>
    <t>Mid Devon</t>
  </si>
  <si>
    <t>Mid Suffolk</t>
  </si>
  <si>
    <t>Milton Keynes</t>
  </si>
  <si>
    <t>NE Derbyshire</t>
  </si>
  <si>
    <t>New Forest</t>
  </si>
  <si>
    <t>Newark</t>
  </si>
  <si>
    <t>Newcastle u Tyn</t>
  </si>
  <si>
    <t>Newham</t>
  </si>
  <si>
    <t>North Kesteven</t>
  </si>
  <si>
    <t>North Tyneside</t>
  </si>
  <si>
    <t>North Warwick</t>
  </si>
  <si>
    <t>Northampton</t>
  </si>
  <si>
    <t>Northumbrlnd UA</t>
  </si>
  <si>
    <t>Norwich</t>
  </si>
  <si>
    <t>Nottingham</t>
  </si>
  <si>
    <t>Nuneaton</t>
  </si>
  <si>
    <t>NW Leicester</t>
  </si>
  <si>
    <t>Oadby &amp; Wigston</t>
  </si>
  <si>
    <t>Oldham</t>
  </si>
  <si>
    <t>Oxford City</t>
  </si>
  <si>
    <t>Poole</t>
  </si>
  <si>
    <t>Portsmouth</t>
  </si>
  <si>
    <t>Reading</t>
  </si>
  <si>
    <t>Redbridge</t>
  </si>
  <si>
    <t>Redditch</t>
  </si>
  <si>
    <t>Please select your local authority from the menu below.</t>
  </si>
  <si>
    <t>of the LA's step 1 cost</t>
  </si>
  <si>
    <t>Richmondshire</t>
  </si>
  <si>
    <t>Rochdale</t>
  </si>
  <si>
    <t>Rotherham</t>
  </si>
  <si>
    <t>Rugby</t>
  </si>
  <si>
    <t>Runnymede</t>
  </si>
  <si>
    <t>Salford</t>
  </si>
  <si>
    <t>Sandwell</t>
  </si>
  <si>
    <t>Sedgemoor</t>
  </si>
  <si>
    <t>Selby</t>
  </si>
  <si>
    <t>Sheffield</t>
  </si>
  <si>
    <t>Shepway</t>
  </si>
  <si>
    <t>Shropshire UA</t>
  </si>
  <si>
    <t>Slough</t>
  </si>
  <si>
    <t>Solihull</t>
  </si>
  <si>
    <t>South Cambridge</t>
  </si>
  <si>
    <t>South Derby</t>
  </si>
  <si>
    <t>South Holland</t>
  </si>
  <si>
    <t>South Kesteven</t>
  </si>
  <si>
    <t>South Lakeland</t>
  </si>
  <si>
    <t>Pre set Guideline Rent pd 2011-12 (per annum)</t>
  </si>
  <si>
    <t>South Tyneside</t>
  </si>
  <si>
    <t>Southampton</t>
  </si>
  <si>
    <t>Southend-on-Sea</t>
  </si>
  <si>
    <t>Southwark</t>
  </si>
  <si>
    <t>Guideline Rent pd 2012-13</t>
  </si>
  <si>
    <t>Guideline Rent 2012-13 after Caps and Limits Adjustment</t>
  </si>
  <si>
    <t>Major Repairs Allowance 2012-13</t>
  </si>
  <si>
    <t>Major Repairs Allowance 2012-13 per dwelling</t>
  </si>
  <si>
    <t>SCE R 2012-13</t>
  </si>
  <si>
    <t>ALMO SCE 2012-13</t>
  </si>
  <si>
    <t>SCFR 2012-13</t>
  </si>
  <si>
    <t>Subsidy capital financing requirement 2012-13 the equivalent positive amount if negative, otherwise zero</t>
  </si>
  <si>
    <t>SF001P</t>
  </si>
  <si>
    <t>SF002P</t>
  </si>
  <si>
    <t>SF001O</t>
  </si>
  <si>
    <t>SF002O</t>
  </si>
  <si>
    <t>SF003O</t>
  </si>
  <si>
    <t>SF004O</t>
  </si>
  <si>
    <t>SF005O</t>
  </si>
  <si>
    <t>SF006O</t>
  </si>
  <si>
    <t>SF007O</t>
  </si>
  <si>
    <t>SF008O</t>
  </si>
  <si>
    <t>SF009O</t>
  </si>
  <si>
    <t>SF010O</t>
  </si>
  <si>
    <t>SF011O</t>
  </si>
  <si>
    <t>SF012O</t>
  </si>
  <si>
    <t>SF013O</t>
  </si>
  <si>
    <t>SF014O</t>
  </si>
  <si>
    <t>SF015O</t>
  </si>
  <si>
    <t>SF016O</t>
  </si>
  <si>
    <t>SF017O</t>
  </si>
  <si>
    <t>SF018O</t>
  </si>
  <si>
    <t>SF019O</t>
  </si>
  <si>
    <t>SF020O</t>
  </si>
  <si>
    <t>SF021O</t>
  </si>
  <si>
    <t>SF022O</t>
  </si>
  <si>
    <t>SF023O</t>
  </si>
  <si>
    <t>SF024O</t>
  </si>
  <si>
    <t>SF025O</t>
  </si>
  <si>
    <t>SF026O</t>
  </si>
  <si>
    <t>SF027O</t>
  </si>
  <si>
    <t>SF028O</t>
  </si>
  <si>
    <t>SF029O</t>
  </si>
  <si>
    <t>SF030O</t>
  </si>
  <si>
    <t>SF000CA</t>
  </si>
  <si>
    <t>SF000CF</t>
  </si>
  <si>
    <t>SF001CF</t>
  </si>
  <si>
    <t>SF000SR</t>
  </si>
  <si>
    <t>SF001SR</t>
  </si>
  <si>
    <t>SF002SR</t>
  </si>
  <si>
    <t>SF001DE</t>
  </si>
  <si>
    <t>SF002DE</t>
  </si>
  <si>
    <t>SF003DE</t>
  </si>
  <si>
    <t>SF004DE</t>
  </si>
  <si>
    <t>SF005DE</t>
  </si>
  <si>
    <t>No</t>
  </si>
  <si>
    <t>Yes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</si>
</sst>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0.00000000"/>
    <numFmt numFmtId="168" formatCode="0.0000000"/>
    <numFmt numFmtId="169" formatCode="0.000000"/>
    <numFmt numFmtId="170" formatCode="0.00000"/>
    <numFmt numFmtId="171" formatCode="0.0000"/>
    <numFmt numFmtId="172" formatCode="0.000"/>
    <numFmt numFmtId="173" formatCode="&quot;£&quot;#,##0.00"/>
    <numFmt numFmtId="174" formatCode="#,##0.00_ ;\-#,##0.00\ "/>
    <numFmt numFmtId="175" formatCode="#,##0.000"/>
    <numFmt numFmtId="176" formatCode="#,##0_ ;\-#,##0\ "/>
    <numFmt numFmtId="177" formatCode="#,##0.0_ ;\-#,##0.0\ "/>
    <numFmt numFmtId="178" formatCode="&quot;£&quot;#,##0.0"/>
    <numFmt numFmtId="179" formatCode="0.0%"/>
    <numFmt numFmtId="180" formatCode="_-* #,##0.0_-;\-* #,##0.0_-;_-* &quot;-&quot;??_-;_-@_-"/>
    <numFmt numFmtId="181" formatCode="_-* #,##0_-;\-* #,##0_-;_-* &quot;-&quot;??_-;_-@_-"/>
    <numFmt numFmtId="182" formatCode="#,##0.0000_ ;\-#,##0.0000\ "/>
    <numFmt numFmtId="183" formatCode="_-&quot;£&quot;* #,##0_-;\-&quot;£&quot;* #,##0_-;_-&quot;£&quot;* &quot;-&quot;??_-;_-@_-"/>
    <numFmt numFmtId="184" formatCode="#,##0.0000"/>
    <numFmt numFmtId="185" formatCode="0.00000000000000%"/>
    <numFmt numFmtId="186" formatCode="0.0000000000000%"/>
    <numFmt numFmtId="187" formatCode="0.000000000000%"/>
    <numFmt numFmtId="188" formatCode="0.00000000000%"/>
    <numFmt numFmtId="189" formatCode="0.0000000000%"/>
    <numFmt numFmtId="190" formatCode="0.000000000%"/>
    <numFmt numFmtId="191" formatCode="0.00000000%"/>
    <numFmt numFmtId="192" formatCode="0.0000000%"/>
    <numFmt numFmtId="193" formatCode="0.000000%"/>
    <numFmt numFmtId="194" formatCode="0.00000%"/>
    <numFmt numFmtId="195" formatCode="0.0000%"/>
    <numFmt numFmtId="196" formatCode="0.000%"/>
    <numFmt numFmtId="197" formatCode="#,##0.0"/>
    <numFmt numFmtId="198" formatCode="&quot;£&quot;#,##0.000"/>
    <numFmt numFmtId="199" formatCode="_-* #,##0.000_-;\-* #,##0.000_-;_-* &quot;-&quot;??_-;_-@_-"/>
    <numFmt numFmtId="200" formatCode="_-* #,##0.0000_-;\-* #,##0.0000_-;_-* &quot;-&quot;??_-;_-@_-"/>
    <numFmt numFmtId="201" formatCode="_-* #,##0.00000_-;\-* #,##0.00000_-;_-* &quot;-&quot;??_-;_-@_-"/>
    <numFmt numFmtId="202" formatCode="_-* #,##0.000_-;\-* #,##0.000_-;_-* &quot;-&quot;???_-;_-@_-"/>
    <numFmt numFmtId="203" formatCode="&quot;Yes&quot;;&quot;Yes&quot;;&quot;No&quot;"/>
    <numFmt numFmtId="204" formatCode="&quot;True&quot;;&quot;True&quot;;&quot;False&quot;"/>
    <numFmt numFmtId="205" formatCode="&quot;On&quot;;&quot;On&quot;;&quot;Off&quot;"/>
    <numFmt numFmtId="206" formatCode="[$€-2]\ #,##0.00_);[Red]\([$€-2]\ #,##0.00\)"/>
    <numFmt numFmtId="207" formatCode="&quot;£&quot;#,##0.0000"/>
    <numFmt numFmtId="208" formatCode="&quot;£&quot;#,##0.00000"/>
    <numFmt numFmtId="209" formatCode="&quot;£&quot;#,##0.000000"/>
    <numFmt numFmtId="210" formatCode="&quot;£&quot;#,##0.0000000000000"/>
    <numFmt numFmtId="211" formatCode="0.000000000000000%"/>
    <numFmt numFmtId="212" formatCode="_-* #,##0.0_-;\-* #,##0.0_-;_-* &quot;-&quot;?_-;_-@_-"/>
    <numFmt numFmtId="213" formatCode="mmm\-yyyy"/>
  </numFmts>
  <fonts count="24">
    <font>
      <sz val="10"/>
      <name val="Arial"/>
      <family val="0"/>
    </font>
    <font>
      <b/>
      <sz val="10"/>
      <name val="Arial"/>
      <family val="2"/>
    </font>
    <font>
      <sz val="8"/>
      <name val="Arial"/>
      <family val="0"/>
    </font>
    <font>
      <b/>
      <sz val="12"/>
      <name val="Arial"/>
      <family val="2"/>
    </font>
    <font>
      <b/>
      <sz val="14"/>
      <name val="Arial"/>
      <family val="2"/>
    </font>
    <font>
      <u val="single"/>
      <sz val="10"/>
      <color indexed="12"/>
      <name val="Arial"/>
      <family val="0"/>
    </font>
    <font>
      <sz val="8"/>
      <name val="Tahoma"/>
      <family val="0"/>
    </font>
    <font>
      <b/>
      <sz val="8"/>
      <name val="Tahoma"/>
      <family val="0"/>
    </font>
    <font>
      <sz val="12"/>
      <name val="Arial"/>
      <family val="0"/>
    </font>
    <font>
      <b/>
      <sz val="28"/>
      <name val="Arial"/>
      <family val="2"/>
    </font>
    <font>
      <u val="single"/>
      <sz val="10"/>
      <color indexed="36"/>
      <name val="Arial"/>
      <family val="0"/>
    </font>
    <font>
      <i/>
      <sz val="12"/>
      <name val="Arial"/>
      <family val="2"/>
    </font>
    <font>
      <sz val="14"/>
      <name val="Arial"/>
      <family val="2"/>
    </font>
    <font>
      <b/>
      <sz val="12"/>
      <color indexed="10"/>
      <name val="Arial"/>
      <family val="2"/>
    </font>
    <font>
      <sz val="12"/>
      <color indexed="10"/>
      <name val="Arial"/>
      <family val="2"/>
    </font>
    <font>
      <u val="single"/>
      <sz val="12"/>
      <name val="Arial"/>
      <family val="2"/>
    </font>
    <font>
      <sz val="11"/>
      <name val="Arial"/>
      <family val="0"/>
    </font>
    <font>
      <b/>
      <sz val="11"/>
      <name val="Arial"/>
      <family val="2"/>
    </font>
    <font>
      <b/>
      <sz val="8"/>
      <name val="Arial"/>
      <family val="2"/>
    </font>
    <font>
      <b/>
      <sz val="7"/>
      <name val="Arial"/>
      <family val="2"/>
    </font>
    <font>
      <sz val="10"/>
      <color indexed="41"/>
      <name val="Arial"/>
      <family val="0"/>
    </font>
    <font>
      <sz val="12"/>
      <color indexed="23"/>
      <name val="Arial"/>
      <family val="0"/>
    </font>
    <font>
      <sz val="12"/>
      <color indexed="43"/>
      <name val="Arial"/>
      <family val="0"/>
    </font>
    <font>
      <sz val="8"/>
      <name val="MS Shell Dlg"/>
      <family val="2"/>
    </font>
  </fonts>
  <fills count="9">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s>
  <borders count="44">
    <border>
      <left/>
      <right/>
      <top/>
      <bottom/>
      <diagonal/>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medium"/>
    </border>
    <border>
      <left>
        <color indexed="63"/>
      </left>
      <right style="medium"/>
      <top style="medium"/>
      <bottom style="medium"/>
    </border>
    <border>
      <left style="medium"/>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37">
    <xf numFmtId="0" fontId="0" fillId="0" borderId="0" xfId="0" applyAlignment="1">
      <alignment/>
    </xf>
    <xf numFmtId="0" fontId="3" fillId="2" borderId="1" xfId="0" applyFont="1" applyFill="1" applyBorder="1" applyAlignment="1">
      <alignment/>
    </xf>
    <xf numFmtId="0" fontId="0" fillId="3" borderId="2" xfId="0" applyFont="1" applyFill="1" applyBorder="1" applyAlignment="1">
      <alignment/>
    </xf>
    <xf numFmtId="0" fontId="0" fillId="4" borderId="0" xfId="0" applyFill="1" applyAlignment="1">
      <alignment/>
    </xf>
    <xf numFmtId="0" fontId="0" fillId="3" borderId="2" xfId="0" applyFill="1" applyBorder="1" applyAlignment="1">
      <alignment/>
    </xf>
    <xf numFmtId="0" fontId="0" fillId="3" borderId="3" xfId="0" applyFill="1" applyBorder="1" applyAlignment="1">
      <alignment/>
    </xf>
    <xf numFmtId="10" fontId="0" fillId="3" borderId="4" xfId="21" applyNumberFormat="1" applyFont="1" applyFill="1" applyBorder="1" applyAlignment="1">
      <alignment horizontal="center"/>
    </xf>
    <xf numFmtId="10" fontId="0" fillId="3" borderId="5" xfId="21" applyNumberFormat="1" applyFont="1" applyFill="1" applyBorder="1" applyAlignment="1">
      <alignment horizontal="center"/>
    </xf>
    <xf numFmtId="10" fontId="0" fillId="3" borderId="6" xfId="21" applyNumberFormat="1" applyFont="1" applyFill="1" applyBorder="1" applyAlignment="1">
      <alignment horizontal="center"/>
    </xf>
    <xf numFmtId="164" fontId="0" fillId="3" borderId="7" xfId="0" applyNumberFormat="1" applyFill="1" applyBorder="1" applyAlignment="1">
      <alignment horizontal="center"/>
    </xf>
    <xf numFmtId="0" fontId="0" fillId="2" borderId="8" xfId="0" applyFill="1" applyBorder="1" applyAlignment="1">
      <alignment/>
    </xf>
    <xf numFmtId="0" fontId="0" fillId="2" borderId="9" xfId="0" applyFill="1" applyBorder="1" applyAlignment="1">
      <alignment/>
    </xf>
    <xf numFmtId="164" fontId="0" fillId="3" borderId="2" xfId="0" applyNumberFormat="1"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7" xfId="0" applyFill="1" applyBorder="1" applyAlignment="1">
      <alignment/>
    </xf>
    <xf numFmtId="0" fontId="0" fillId="5" borderId="1" xfId="0" applyFill="1" applyBorder="1" applyAlignment="1">
      <alignment/>
    </xf>
    <xf numFmtId="0" fontId="0" fillId="5" borderId="12" xfId="0" applyFill="1" applyBorder="1" applyAlignment="1">
      <alignment/>
    </xf>
    <xf numFmtId="0" fontId="3" fillId="2" borderId="13" xfId="0" applyFont="1" applyFill="1" applyBorder="1" applyAlignment="1">
      <alignment horizontal="center" vertical="center" wrapText="1"/>
    </xf>
    <xf numFmtId="0" fontId="0" fillId="3" borderId="0" xfId="0" applyFill="1" applyAlignment="1">
      <alignment/>
    </xf>
    <xf numFmtId="0" fontId="0" fillId="4" borderId="0" xfId="0" applyFill="1" applyBorder="1" applyAlignment="1">
      <alignment/>
    </xf>
    <xf numFmtId="164" fontId="0" fillId="4" borderId="0" xfId="0" applyNumberFormat="1" applyFill="1" applyAlignment="1">
      <alignment/>
    </xf>
    <xf numFmtId="0" fontId="4" fillId="2" borderId="14" xfId="0" applyFont="1" applyFill="1" applyBorder="1" applyAlignment="1">
      <alignment/>
    </xf>
    <xf numFmtId="0" fontId="0" fillId="2" borderId="1" xfId="0" applyFill="1" applyBorder="1" applyAlignment="1">
      <alignment/>
    </xf>
    <xf numFmtId="0" fontId="0" fillId="2" borderId="12" xfId="0" applyFill="1" applyBorder="1" applyAlignment="1">
      <alignment/>
    </xf>
    <xf numFmtId="0" fontId="0" fillId="2" borderId="0" xfId="0" applyFill="1" applyBorder="1" applyAlignment="1">
      <alignment/>
    </xf>
    <xf numFmtId="0" fontId="0" fillId="2" borderId="2" xfId="0" applyFill="1" applyBorder="1" applyAlignment="1">
      <alignment/>
    </xf>
    <xf numFmtId="0" fontId="3" fillId="2" borderId="8" xfId="0" applyFont="1" applyFill="1" applyBorder="1" applyAlignment="1">
      <alignment/>
    </xf>
    <xf numFmtId="0" fontId="3" fillId="2" borderId="9" xfId="0" applyFont="1" applyFill="1" applyBorder="1" applyAlignment="1">
      <alignment/>
    </xf>
    <xf numFmtId="0" fontId="0" fillId="2" borderId="15" xfId="0" applyFill="1" applyBorder="1" applyAlignment="1">
      <alignment/>
    </xf>
    <xf numFmtId="0" fontId="0" fillId="2" borderId="3" xfId="0" applyFill="1" applyBorder="1" applyAlignment="1">
      <alignment/>
    </xf>
    <xf numFmtId="0" fontId="4" fillId="3" borderId="14" xfId="0" applyFont="1" applyFill="1" applyBorder="1" applyAlignment="1">
      <alignment horizontal="left" vertical="center"/>
    </xf>
    <xf numFmtId="0" fontId="0" fillId="3" borderId="1" xfId="0" applyFill="1" applyBorder="1" applyAlignment="1">
      <alignment/>
    </xf>
    <xf numFmtId="1" fontId="0" fillId="3" borderId="1" xfId="0" applyNumberFormat="1" applyFill="1" applyBorder="1" applyAlignment="1">
      <alignment/>
    </xf>
    <xf numFmtId="0" fontId="0" fillId="3" borderId="1" xfId="0" applyFill="1" applyBorder="1" applyAlignment="1">
      <alignment horizontal="center"/>
    </xf>
    <xf numFmtId="0" fontId="0" fillId="3" borderId="12" xfId="0" applyFill="1" applyBorder="1" applyAlignment="1">
      <alignment/>
    </xf>
    <xf numFmtId="0" fontId="4" fillId="3" borderId="8" xfId="0" applyFont="1" applyFill="1" applyBorder="1" applyAlignment="1">
      <alignment horizontal="left" vertical="center"/>
    </xf>
    <xf numFmtId="0" fontId="0" fillId="3" borderId="0" xfId="0" applyFill="1" applyBorder="1" applyAlignment="1">
      <alignment/>
    </xf>
    <xf numFmtId="1" fontId="0" fillId="3" borderId="0" xfId="0" applyNumberFormat="1" applyFill="1" applyBorder="1" applyAlignment="1">
      <alignment/>
    </xf>
    <xf numFmtId="0" fontId="0" fillId="3" borderId="0" xfId="0" applyFill="1" applyBorder="1" applyAlignment="1">
      <alignment horizontal="center"/>
    </xf>
    <xf numFmtId="0" fontId="0" fillId="3" borderId="2" xfId="0" applyFill="1" applyBorder="1" applyAlignment="1">
      <alignment/>
    </xf>
    <xf numFmtId="0" fontId="8" fillId="3" borderId="8" xfId="0" applyFont="1" applyFill="1" applyBorder="1" applyAlignment="1">
      <alignment horizontal="left" vertical="center"/>
    </xf>
    <xf numFmtId="0" fontId="8" fillId="3" borderId="0" xfId="0" applyFont="1" applyFill="1" applyBorder="1" applyAlignment="1">
      <alignment/>
    </xf>
    <xf numFmtId="1" fontId="8" fillId="3" borderId="0" xfId="0" applyNumberFormat="1" applyFont="1" applyFill="1" applyBorder="1" applyAlignment="1">
      <alignment/>
    </xf>
    <xf numFmtId="0" fontId="8" fillId="3" borderId="0" xfId="0" applyFont="1" applyFill="1" applyBorder="1" applyAlignment="1">
      <alignment horizontal="center"/>
    </xf>
    <xf numFmtId="0" fontId="8" fillId="3" borderId="2" xfId="0" applyFont="1" applyFill="1" applyBorder="1" applyAlignment="1">
      <alignment/>
    </xf>
    <xf numFmtId="0" fontId="8" fillId="3" borderId="9" xfId="0" applyFont="1" applyFill="1" applyBorder="1" applyAlignment="1">
      <alignment horizontal="left" vertical="center"/>
    </xf>
    <xf numFmtId="0" fontId="8" fillId="3" borderId="15" xfId="0" applyFont="1" applyFill="1" applyBorder="1" applyAlignment="1">
      <alignment/>
    </xf>
    <xf numFmtId="1" fontId="8" fillId="3" borderId="15" xfId="0" applyNumberFormat="1" applyFont="1" applyFill="1" applyBorder="1" applyAlignment="1">
      <alignment/>
    </xf>
    <xf numFmtId="0" fontId="8" fillId="3" borderId="15" xfId="0" applyFont="1" applyFill="1" applyBorder="1" applyAlignment="1">
      <alignment horizontal="center"/>
    </xf>
    <xf numFmtId="0" fontId="8" fillId="3" borderId="3" xfId="0" applyFont="1" applyFill="1" applyBorder="1" applyAlignment="1">
      <alignment/>
    </xf>
    <xf numFmtId="0" fontId="3" fillId="2" borderId="14" xfId="0" applyFont="1" applyFill="1" applyBorder="1" applyAlignment="1">
      <alignment/>
    </xf>
    <xf numFmtId="0" fontId="3" fillId="2" borderId="12" xfId="0" applyFont="1" applyFill="1" applyBorder="1" applyAlignment="1">
      <alignment/>
    </xf>
    <xf numFmtId="0" fontId="3" fillId="2" borderId="0" xfId="0" applyFont="1" applyFill="1" applyBorder="1" applyAlignment="1">
      <alignment/>
    </xf>
    <xf numFmtId="0" fontId="3" fillId="2" borderId="2" xfId="0" applyFont="1" applyFill="1" applyBorder="1" applyAlignment="1">
      <alignment/>
    </xf>
    <xf numFmtId="0" fontId="3" fillId="2" borderId="15" xfId="0" applyFont="1" applyFill="1" applyBorder="1" applyAlignment="1">
      <alignment/>
    </xf>
    <xf numFmtId="0" fontId="3" fillId="2" borderId="3" xfId="0" applyFont="1" applyFill="1" applyBorder="1" applyAlignment="1">
      <alignment/>
    </xf>
    <xf numFmtId="2" fontId="0" fillId="3" borderId="10" xfId="0" applyNumberFormat="1" applyFill="1" applyBorder="1" applyAlignment="1">
      <alignment horizontal="center"/>
    </xf>
    <xf numFmtId="2" fontId="0" fillId="3" borderId="11" xfId="0" applyNumberFormat="1" applyFill="1" applyBorder="1" applyAlignment="1">
      <alignment horizontal="center"/>
    </xf>
    <xf numFmtId="2" fontId="0" fillId="3" borderId="7" xfId="0" applyNumberFormat="1" applyFill="1" applyBorder="1" applyAlignment="1">
      <alignment horizontal="center"/>
    </xf>
    <xf numFmtId="17" fontId="3" fillId="2" borderId="13" xfId="0" applyNumberFormat="1" applyFont="1" applyFill="1" applyBorder="1" applyAlignment="1">
      <alignment horizontal="center" vertical="center" wrapText="1"/>
    </xf>
    <xf numFmtId="0" fontId="4" fillId="2" borderId="1" xfId="0" applyFont="1" applyFill="1" applyBorder="1" applyAlignment="1">
      <alignment/>
    </xf>
    <xf numFmtId="0" fontId="4" fillId="2" borderId="12" xfId="0" applyFont="1" applyFill="1" applyBorder="1" applyAlignment="1">
      <alignment/>
    </xf>
    <xf numFmtId="0" fontId="4" fillId="2" borderId="8" xfId="0" applyFont="1" applyFill="1" applyBorder="1" applyAlignment="1">
      <alignment/>
    </xf>
    <xf numFmtId="0" fontId="4" fillId="2" borderId="0"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5" xfId="0" applyFont="1" applyFill="1" applyBorder="1" applyAlignment="1">
      <alignment/>
    </xf>
    <xf numFmtId="0" fontId="4" fillId="2" borderId="3" xfId="0" applyFont="1" applyFill="1" applyBorder="1" applyAlignment="1">
      <alignment/>
    </xf>
    <xf numFmtId="0" fontId="0" fillId="3" borderId="0" xfId="0" applyFill="1" applyBorder="1" applyAlignment="1">
      <alignment/>
    </xf>
    <xf numFmtId="0" fontId="0" fillId="3" borderId="15" xfId="0" applyFill="1" applyBorder="1" applyAlignment="1">
      <alignment/>
    </xf>
    <xf numFmtId="2" fontId="0" fillId="4" borderId="0" xfId="0" applyNumberFormat="1" applyFill="1" applyAlignment="1">
      <alignment/>
    </xf>
    <xf numFmtId="0" fontId="0" fillId="3" borderId="11" xfId="0" applyFill="1" applyBorder="1" applyAlignment="1">
      <alignment horizontal="center"/>
    </xf>
    <xf numFmtId="176" fontId="0" fillId="3" borderId="13" xfId="17" applyNumberFormat="1" applyFill="1" applyBorder="1" applyAlignment="1">
      <alignment horizontal="center" vertical="center"/>
    </xf>
    <xf numFmtId="174" fontId="0" fillId="3" borderId="13" xfId="17" applyNumberFormat="1" applyFill="1" applyBorder="1" applyAlignment="1">
      <alignment horizontal="center" vertical="center"/>
    </xf>
    <xf numFmtId="173" fontId="0" fillId="4" borderId="0" xfId="0" applyNumberFormat="1" applyFill="1" applyAlignment="1">
      <alignment/>
    </xf>
    <xf numFmtId="173" fontId="0" fillId="3" borderId="0" xfId="0" applyNumberFormat="1" applyFill="1" applyAlignment="1">
      <alignment/>
    </xf>
    <xf numFmtId="0" fontId="4" fillId="5" borderId="14" xfId="0" applyFont="1" applyFill="1" applyBorder="1" applyAlignment="1">
      <alignment/>
    </xf>
    <xf numFmtId="1" fontId="0" fillId="5" borderId="1" xfId="0" applyNumberFormat="1" applyFill="1" applyBorder="1" applyAlignment="1">
      <alignment/>
    </xf>
    <xf numFmtId="0" fontId="0" fillId="5" borderId="8" xfId="0" applyFill="1" applyBorder="1" applyAlignment="1">
      <alignment/>
    </xf>
    <xf numFmtId="0" fontId="0" fillId="5" borderId="0" xfId="0" applyFill="1" applyBorder="1" applyAlignment="1">
      <alignment/>
    </xf>
    <xf numFmtId="1" fontId="0" fillId="5" borderId="0" xfId="0" applyNumberFormat="1" applyFill="1" applyBorder="1" applyAlignment="1">
      <alignment/>
    </xf>
    <xf numFmtId="0" fontId="0" fillId="5" borderId="2" xfId="0" applyFill="1" applyBorder="1" applyAlignment="1">
      <alignment/>
    </xf>
    <xf numFmtId="0" fontId="3" fillId="5" borderId="8" xfId="0" applyFont="1" applyFill="1" applyBorder="1" applyAlignment="1">
      <alignment/>
    </xf>
    <xf numFmtId="0" fontId="3" fillId="5" borderId="9" xfId="0" applyFont="1" applyFill="1" applyBorder="1" applyAlignment="1">
      <alignment/>
    </xf>
    <xf numFmtId="0" fontId="0" fillId="5" borderId="15" xfId="0" applyFill="1" applyBorder="1" applyAlignment="1">
      <alignment/>
    </xf>
    <xf numFmtId="1" fontId="0" fillId="5" borderId="15" xfId="0" applyNumberFormat="1" applyFill="1" applyBorder="1" applyAlignment="1">
      <alignment/>
    </xf>
    <xf numFmtId="0" fontId="0" fillId="5" borderId="3" xfId="0" applyFill="1" applyBorder="1" applyAlignment="1">
      <alignment/>
    </xf>
    <xf numFmtId="0" fontId="0" fillId="3" borderId="14" xfId="0" applyFill="1" applyBorder="1" applyAlignment="1">
      <alignment/>
    </xf>
    <xf numFmtId="0" fontId="0" fillId="3" borderId="1" xfId="0" applyFill="1" applyBorder="1" applyAlignment="1">
      <alignment/>
    </xf>
    <xf numFmtId="0" fontId="0" fillId="3" borderId="12" xfId="0" applyFill="1" applyBorder="1" applyAlignment="1">
      <alignment/>
    </xf>
    <xf numFmtId="0" fontId="3" fillId="3" borderId="8" xfId="0" applyFont="1" applyFill="1" applyBorder="1" applyAlignment="1">
      <alignment horizontal="right" vertical="center" wrapText="1"/>
    </xf>
    <xf numFmtId="0" fontId="8" fillId="3" borderId="0" xfId="0" applyFont="1" applyFill="1" applyBorder="1" applyAlignment="1">
      <alignment horizontal="left" vertical="center"/>
    </xf>
    <xf numFmtId="173" fontId="3" fillId="3" borderId="0" xfId="0" applyNumberFormat="1" applyFont="1" applyFill="1" applyBorder="1" applyAlignment="1">
      <alignment horizontal="center"/>
    </xf>
    <xf numFmtId="0" fontId="8" fillId="3" borderId="8" xfId="0" applyFont="1" applyFill="1" applyBorder="1" applyAlignment="1">
      <alignment/>
    </xf>
    <xf numFmtId="1" fontId="8" fillId="3" borderId="0" xfId="0" applyNumberFormat="1" applyFont="1" applyFill="1" applyBorder="1" applyAlignment="1">
      <alignment horizontal="center"/>
    </xf>
    <xf numFmtId="0" fontId="1" fillId="3" borderId="0" xfId="0" applyFont="1" applyFill="1" applyBorder="1" applyAlignment="1">
      <alignment horizontal="center"/>
    </xf>
    <xf numFmtId="0" fontId="3" fillId="3" borderId="8" xfId="0" applyFont="1" applyFill="1" applyBorder="1" applyAlignment="1">
      <alignment horizontal="right"/>
    </xf>
    <xf numFmtId="1" fontId="8" fillId="3" borderId="0" xfId="0" applyNumberFormat="1" applyFont="1" applyFill="1" applyBorder="1" applyAlignment="1">
      <alignment horizontal="left"/>
    </xf>
    <xf numFmtId="0" fontId="0" fillId="3" borderId="8" xfId="0" applyFill="1" applyBorder="1" applyAlignment="1">
      <alignment/>
    </xf>
    <xf numFmtId="0" fontId="3" fillId="3" borderId="8" xfId="0" applyFont="1" applyFill="1" applyBorder="1" applyAlignment="1">
      <alignment/>
    </xf>
    <xf numFmtId="0" fontId="4" fillId="3" borderId="8" xfId="0" applyFont="1" applyFill="1" applyBorder="1" applyAlignment="1">
      <alignment/>
    </xf>
    <xf numFmtId="179" fontId="3" fillId="3" borderId="0" xfId="0" applyNumberFormat="1" applyFont="1" applyFill="1" applyBorder="1" applyAlignment="1">
      <alignment horizontal="center"/>
    </xf>
    <xf numFmtId="0" fontId="0" fillId="3" borderId="9" xfId="0" applyFill="1" applyBorder="1" applyAlignment="1">
      <alignment/>
    </xf>
    <xf numFmtId="0" fontId="8" fillId="3" borderId="8" xfId="0" applyFont="1" applyFill="1" applyBorder="1" applyAlignment="1">
      <alignment horizontal="right"/>
    </xf>
    <xf numFmtId="0" fontId="0" fillId="3" borderId="8" xfId="0" applyFill="1" applyBorder="1" applyAlignment="1">
      <alignment horizontal="right"/>
    </xf>
    <xf numFmtId="0" fontId="4" fillId="3" borderId="8" xfId="0" applyFont="1" applyFill="1" applyBorder="1" applyAlignment="1">
      <alignment horizontal="right"/>
    </xf>
    <xf numFmtId="0" fontId="1" fillId="2" borderId="14" xfId="0" applyFont="1" applyFill="1" applyBorder="1" applyAlignment="1">
      <alignment/>
    </xf>
    <xf numFmtId="0" fontId="1" fillId="2" borderId="0" xfId="0" applyFont="1" applyFill="1" applyBorder="1" applyAlignment="1">
      <alignment/>
    </xf>
    <xf numFmtId="0" fontId="4" fillId="3" borderId="14" xfId="0" applyFont="1" applyFill="1" applyBorder="1" applyAlignment="1">
      <alignment horizontal="left" vertical="center" wrapText="1"/>
    </xf>
    <xf numFmtId="0" fontId="3" fillId="3" borderId="8" xfId="0" applyFont="1" applyFill="1" applyBorder="1" applyAlignment="1">
      <alignment horizontal="left" vertical="center"/>
    </xf>
    <xf numFmtId="44" fontId="0" fillId="3" borderId="0" xfId="17" applyFill="1" applyBorder="1" applyAlignment="1">
      <alignment horizontal="center" vertical="center"/>
    </xf>
    <xf numFmtId="1" fontId="0" fillId="3" borderId="0" xfId="17" applyNumberFormat="1" applyFill="1" applyBorder="1" applyAlignment="1">
      <alignment vertical="center"/>
    </xf>
    <xf numFmtId="176" fontId="3" fillId="3" borderId="0" xfId="17" applyNumberFormat="1" applyFont="1" applyFill="1" applyBorder="1" applyAlignment="1">
      <alignment horizontal="center" vertical="center"/>
    </xf>
    <xf numFmtId="44" fontId="0" fillId="3" borderId="2" xfId="17" applyFill="1" applyBorder="1" applyAlignment="1">
      <alignment horizontal="center" vertical="center"/>
    </xf>
    <xf numFmtId="1" fontId="0" fillId="3" borderId="15" xfId="0" applyNumberFormat="1" applyFill="1" applyBorder="1" applyAlignment="1">
      <alignment/>
    </xf>
    <xf numFmtId="0" fontId="3" fillId="3" borderId="1" xfId="0" applyFont="1" applyFill="1" applyBorder="1" applyAlignment="1">
      <alignment horizontal="center" vertical="center" wrapText="1"/>
    </xf>
    <xf numFmtId="1" fontId="3" fillId="3" borderId="1" xfId="0" applyNumberFormat="1" applyFont="1" applyFill="1" applyBorder="1" applyAlignment="1">
      <alignment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left" vertical="center"/>
    </xf>
    <xf numFmtId="0" fontId="3" fillId="3" borderId="0" xfId="0" applyFont="1" applyFill="1" applyBorder="1" applyAlignment="1">
      <alignment horizontal="center" vertical="center" wrapText="1"/>
    </xf>
    <xf numFmtId="1" fontId="3" fillId="3" borderId="0" xfId="0" applyNumberFormat="1" applyFont="1" applyFill="1" applyBorder="1" applyAlignment="1">
      <alignment vertical="center" wrapText="1"/>
    </xf>
    <xf numFmtId="0" fontId="3" fillId="3" borderId="2" xfId="0" applyFont="1" applyFill="1" applyBorder="1" applyAlignment="1">
      <alignment horizontal="center" vertical="center" wrapText="1"/>
    </xf>
    <xf numFmtId="0" fontId="8" fillId="3" borderId="0" xfId="0" applyFont="1" applyFill="1" applyBorder="1" applyAlignment="1">
      <alignment horizontal="center" vertical="center" wrapText="1"/>
    </xf>
    <xf numFmtId="1" fontId="8" fillId="3" borderId="0" xfId="0" applyNumberFormat="1" applyFont="1" applyFill="1" applyBorder="1" applyAlignment="1">
      <alignment horizontal="right" vertical="center" wrapText="1"/>
    </xf>
    <xf numFmtId="0" fontId="8" fillId="3" borderId="0" xfId="0" applyFont="1" applyFill="1" applyBorder="1" applyAlignment="1">
      <alignment horizontal="left" vertical="center" wrapText="1"/>
    </xf>
    <xf numFmtId="0" fontId="8" fillId="3" borderId="2" xfId="0" applyFont="1" applyFill="1" applyBorder="1" applyAlignment="1">
      <alignment horizontal="center" vertical="center" wrapText="1"/>
    </xf>
    <xf numFmtId="1" fontId="8" fillId="3" borderId="0" xfId="0" applyNumberFormat="1" applyFont="1" applyFill="1" applyBorder="1" applyAlignment="1">
      <alignment vertical="center" wrapText="1"/>
    </xf>
    <xf numFmtId="0" fontId="11" fillId="3" borderId="8" xfId="0" applyFont="1" applyFill="1" applyBorder="1" applyAlignment="1">
      <alignment horizontal="left" vertical="center"/>
    </xf>
    <xf numFmtId="0" fontId="8" fillId="3" borderId="16" xfId="0" applyFont="1" applyFill="1" applyBorder="1" applyAlignment="1">
      <alignment horizontal="left" vertical="center"/>
    </xf>
    <xf numFmtId="0" fontId="8" fillId="3" borderId="17" xfId="0" applyFont="1" applyFill="1" applyBorder="1" applyAlignment="1">
      <alignment horizontal="center" vertical="center" wrapText="1"/>
    </xf>
    <xf numFmtId="1" fontId="8" fillId="3" borderId="17" xfId="0" applyNumberFormat="1" applyFont="1" applyFill="1" applyBorder="1" applyAlignment="1">
      <alignment vertical="center" wrapText="1"/>
    </xf>
    <xf numFmtId="0" fontId="8" fillId="3" borderId="18"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8" fillId="3" borderId="8" xfId="0" applyFont="1" applyFill="1" applyBorder="1" applyAlignment="1">
      <alignment/>
    </xf>
    <xf numFmtId="1" fontId="8" fillId="3" borderId="0" xfId="0" applyNumberFormat="1" applyFont="1" applyFill="1" applyBorder="1" applyAlignment="1">
      <alignment/>
    </xf>
    <xf numFmtId="1" fontId="8" fillId="3" borderId="2" xfId="0" applyNumberFormat="1" applyFont="1" applyFill="1" applyBorder="1" applyAlignment="1">
      <alignment horizontal="center"/>
    </xf>
    <xf numFmtId="1" fontId="3" fillId="3" borderId="0" xfId="0" applyNumberFormat="1" applyFont="1" applyFill="1" applyBorder="1" applyAlignment="1">
      <alignment horizontal="center"/>
    </xf>
    <xf numFmtId="1" fontId="3" fillId="3" borderId="0" xfId="0" applyNumberFormat="1" applyFont="1" applyFill="1" applyBorder="1" applyAlignment="1">
      <alignment/>
    </xf>
    <xf numFmtId="166" fontId="8" fillId="3" borderId="0" xfId="0" applyNumberFormat="1" applyFont="1" applyFill="1" applyBorder="1" applyAlignment="1">
      <alignment horizontal="center"/>
    </xf>
    <xf numFmtId="0" fontId="8" fillId="3" borderId="16" xfId="0" applyFont="1" applyFill="1" applyBorder="1" applyAlignment="1">
      <alignment/>
    </xf>
    <xf numFmtId="1" fontId="8" fillId="3" borderId="17" xfId="0" applyNumberFormat="1" applyFont="1" applyFill="1" applyBorder="1" applyAlignment="1">
      <alignment horizontal="center"/>
    </xf>
    <xf numFmtId="166" fontId="8" fillId="3" borderId="17" xfId="0" applyNumberFormat="1" applyFont="1" applyFill="1" applyBorder="1" applyAlignment="1">
      <alignment horizontal="center"/>
    </xf>
    <xf numFmtId="1" fontId="8" fillId="3" borderId="18" xfId="0" applyNumberFormat="1" applyFont="1" applyFill="1" applyBorder="1" applyAlignment="1">
      <alignment horizontal="center"/>
    </xf>
    <xf numFmtId="164" fontId="8" fillId="3" borderId="0" xfId="0" applyNumberFormat="1" applyFont="1" applyFill="1" applyBorder="1" applyAlignment="1">
      <alignment/>
    </xf>
    <xf numFmtId="0" fontId="3" fillId="3" borderId="19" xfId="0" applyFont="1" applyFill="1" applyBorder="1" applyAlignment="1">
      <alignment/>
    </xf>
    <xf numFmtId="1" fontId="8" fillId="3" borderId="20" xfId="0" applyNumberFormat="1" applyFont="1" applyFill="1" applyBorder="1" applyAlignment="1">
      <alignment horizontal="center"/>
    </xf>
    <xf numFmtId="164" fontId="8" fillId="3" borderId="20" xfId="0" applyNumberFormat="1" applyFont="1" applyFill="1" applyBorder="1" applyAlignment="1">
      <alignment/>
    </xf>
    <xf numFmtId="1" fontId="8" fillId="3" borderId="21" xfId="0" applyNumberFormat="1" applyFont="1" applyFill="1" applyBorder="1" applyAlignment="1">
      <alignment horizontal="center"/>
    </xf>
    <xf numFmtId="1" fontId="8" fillId="3" borderId="17" xfId="0" applyNumberFormat="1" applyFont="1" applyFill="1" applyBorder="1" applyAlignment="1">
      <alignment/>
    </xf>
    <xf numFmtId="0" fontId="11" fillId="3" borderId="8" xfId="0" applyFont="1" applyFill="1" applyBorder="1" applyAlignment="1">
      <alignment/>
    </xf>
    <xf numFmtId="179" fontId="8" fillId="3" borderId="0" xfId="21" applyNumberFormat="1" applyFont="1" applyFill="1" applyBorder="1" applyAlignment="1">
      <alignment/>
    </xf>
    <xf numFmtId="171" fontId="3" fillId="3" borderId="0" xfId="0" applyNumberFormat="1" applyFont="1" applyFill="1" applyBorder="1" applyAlignment="1">
      <alignment horizontal="center"/>
    </xf>
    <xf numFmtId="7" fontId="3" fillId="3" borderId="0" xfId="17" applyNumberFormat="1" applyFont="1" applyFill="1" applyBorder="1" applyAlignment="1">
      <alignment horizontal="center" vertical="center"/>
    </xf>
    <xf numFmtId="5" fontId="3" fillId="3" borderId="0" xfId="17" applyNumberFormat="1" applyFont="1" applyFill="1" applyBorder="1" applyAlignment="1">
      <alignment horizontal="center" vertical="center"/>
    </xf>
    <xf numFmtId="164" fontId="3" fillId="3" borderId="0" xfId="0" applyNumberFormat="1" applyFont="1" applyFill="1" applyBorder="1" applyAlignment="1">
      <alignment horizontal="center"/>
    </xf>
    <xf numFmtId="0" fontId="4" fillId="6" borderId="22" xfId="0" applyFont="1" applyFill="1" applyBorder="1" applyAlignment="1">
      <alignment/>
    </xf>
    <xf numFmtId="1" fontId="12" fillId="6" borderId="23" xfId="0" applyNumberFormat="1" applyFont="1" applyFill="1" applyBorder="1" applyAlignment="1">
      <alignment horizontal="center"/>
    </xf>
    <xf numFmtId="179" fontId="12" fillId="6" borderId="23" xfId="21" applyNumberFormat="1" applyFont="1" applyFill="1" applyBorder="1" applyAlignment="1">
      <alignment/>
    </xf>
    <xf numFmtId="7" fontId="4" fillId="6" borderId="23" xfId="17" applyNumberFormat="1" applyFont="1" applyFill="1" applyBorder="1" applyAlignment="1">
      <alignment horizontal="center" vertical="center"/>
    </xf>
    <xf numFmtId="1" fontId="12" fillId="6" borderId="24" xfId="0" applyNumberFormat="1" applyFont="1" applyFill="1" applyBorder="1" applyAlignment="1">
      <alignment horizontal="center"/>
    </xf>
    <xf numFmtId="1" fontId="8" fillId="3" borderId="0" xfId="0" applyNumberFormat="1" applyFont="1" applyFill="1" applyBorder="1" applyAlignment="1">
      <alignment horizontal="right"/>
    </xf>
    <xf numFmtId="179" fontId="8" fillId="3" borderId="0" xfId="21" applyNumberFormat="1" applyFont="1" applyFill="1" applyBorder="1" applyAlignment="1">
      <alignment horizontal="left"/>
    </xf>
    <xf numFmtId="0" fontId="8" fillId="3" borderId="0" xfId="0" applyFont="1" applyFill="1" applyBorder="1" applyAlignment="1">
      <alignment/>
    </xf>
    <xf numFmtId="0" fontId="3" fillId="3" borderId="0" xfId="0" applyFont="1" applyFill="1" applyBorder="1" applyAlignment="1">
      <alignment horizontal="left"/>
    </xf>
    <xf numFmtId="10" fontId="8" fillId="3" borderId="0" xfId="0" applyNumberFormat="1" applyFont="1" applyFill="1" applyBorder="1" applyAlignment="1">
      <alignment horizontal="center"/>
    </xf>
    <xf numFmtId="0" fontId="3" fillId="6" borderId="22" xfId="0" applyFont="1" applyFill="1" applyBorder="1" applyAlignment="1">
      <alignment/>
    </xf>
    <xf numFmtId="0" fontId="3" fillId="6" borderId="23" xfId="0" applyFont="1" applyFill="1" applyBorder="1" applyAlignment="1">
      <alignment horizontal="left"/>
    </xf>
    <xf numFmtId="1" fontId="3" fillId="6" borderId="23" xfId="0" applyNumberFormat="1" applyFont="1" applyFill="1" applyBorder="1" applyAlignment="1">
      <alignment horizontal="center"/>
    </xf>
    <xf numFmtId="10" fontId="3" fillId="6" borderId="23" xfId="0" applyNumberFormat="1" applyFont="1" applyFill="1" applyBorder="1" applyAlignment="1">
      <alignment horizontal="center"/>
    </xf>
    <xf numFmtId="1" fontId="3" fillId="6" borderId="23" xfId="0" applyNumberFormat="1" applyFont="1" applyFill="1" applyBorder="1" applyAlignment="1">
      <alignment horizontal="right"/>
    </xf>
    <xf numFmtId="7" fontId="3" fillId="6" borderId="23" xfId="17" applyNumberFormat="1" applyFont="1" applyFill="1" applyBorder="1" applyAlignment="1">
      <alignment horizontal="center" vertical="center"/>
    </xf>
    <xf numFmtId="1" fontId="3" fillId="6" borderId="24" xfId="0" applyNumberFormat="1" applyFont="1" applyFill="1" applyBorder="1" applyAlignment="1">
      <alignment horizontal="center"/>
    </xf>
    <xf numFmtId="0" fontId="3" fillId="3" borderId="0" xfId="0" applyFont="1" applyFill="1" applyBorder="1" applyAlignment="1">
      <alignment horizontal="right"/>
    </xf>
    <xf numFmtId="179" fontId="3" fillId="3" borderId="0" xfId="21" applyNumberFormat="1" applyFont="1" applyFill="1" applyBorder="1" applyAlignment="1">
      <alignment horizontal="center"/>
    </xf>
    <xf numFmtId="1" fontId="8" fillId="3" borderId="15" xfId="0" applyNumberFormat="1" applyFont="1" applyFill="1" applyBorder="1" applyAlignment="1">
      <alignment horizontal="center"/>
    </xf>
    <xf numFmtId="1" fontId="8" fillId="3" borderId="15" xfId="0" applyNumberFormat="1" applyFont="1" applyFill="1" applyBorder="1" applyAlignment="1">
      <alignment/>
    </xf>
    <xf numFmtId="1" fontId="8" fillId="3" borderId="3" xfId="0" applyNumberFormat="1" applyFont="1" applyFill="1" applyBorder="1" applyAlignment="1">
      <alignment horizontal="center"/>
    </xf>
    <xf numFmtId="0" fontId="4" fillId="3" borderId="14" xfId="0" applyFont="1" applyFill="1" applyBorder="1" applyAlignment="1">
      <alignment/>
    </xf>
    <xf numFmtId="1" fontId="8" fillId="3" borderId="1" xfId="0" applyNumberFormat="1" applyFont="1" applyFill="1" applyBorder="1" applyAlignment="1">
      <alignment horizontal="center"/>
    </xf>
    <xf numFmtId="9" fontId="8" fillId="3" borderId="1" xfId="21" applyFont="1" applyFill="1" applyBorder="1" applyAlignment="1">
      <alignment/>
    </xf>
    <xf numFmtId="1" fontId="8" fillId="3" borderId="1" xfId="0" applyNumberFormat="1" applyFont="1" applyFill="1" applyBorder="1" applyAlignment="1">
      <alignment horizontal="left"/>
    </xf>
    <xf numFmtId="1" fontId="8" fillId="3" borderId="12" xfId="0" applyNumberFormat="1" applyFont="1" applyFill="1" applyBorder="1" applyAlignment="1">
      <alignment horizontal="center"/>
    </xf>
    <xf numFmtId="9" fontId="8" fillId="3" borderId="0" xfId="21" applyFont="1" applyFill="1" applyBorder="1" applyAlignment="1">
      <alignment/>
    </xf>
    <xf numFmtId="1" fontId="8" fillId="3" borderId="0" xfId="0" applyNumberFormat="1" applyFont="1" applyFill="1" applyBorder="1" applyAlignment="1">
      <alignment horizontal="center"/>
    </xf>
    <xf numFmtId="2" fontId="8" fillId="3" borderId="0" xfId="0" applyNumberFormat="1" applyFont="1" applyFill="1" applyBorder="1" applyAlignment="1">
      <alignment horizontal="center"/>
    </xf>
    <xf numFmtId="0" fontId="13" fillId="3" borderId="0" xfId="0" applyFont="1" applyFill="1" applyBorder="1" applyAlignment="1">
      <alignment horizontal="left"/>
    </xf>
    <xf numFmtId="1" fontId="14" fillId="3" borderId="0" xfId="0" applyNumberFormat="1" applyFont="1" applyFill="1" applyBorder="1" applyAlignment="1">
      <alignment horizontal="center"/>
    </xf>
    <xf numFmtId="1" fontId="14" fillId="3" borderId="0" xfId="0" applyNumberFormat="1" applyFont="1" applyFill="1" applyBorder="1" applyAlignment="1">
      <alignment/>
    </xf>
    <xf numFmtId="7" fontId="13" fillId="3" borderId="0" xfId="17" applyNumberFormat="1" applyFont="1" applyFill="1" applyBorder="1" applyAlignment="1">
      <alignment horizontal="center" vertical="center"/>
    </xf>
    <xf numFmtId="1" fontId="8" fillId="3" borderId="1" xfId="0" applyNumberFormat="1" applyFont="1" applyFill="1" applyBorder="1" applyAlignment="1">
      <alignment/>
    </xf>
    <xf numFmtId="9" fontId="8" fillId="3" borderId="0" xfId="21" applyFont="1" applyFill="1" applyBorder="1" applyAlignment="1">
      <alignment horizontal="center"/>
    </xf>
    <xf numFmtId="0" fontId="4" fillId="7" borderId="22" xfId="0" applyFont="1" applyFill="1" applyBorder="1" applyAlignment="1">
      <alignment/>
    </xf>
    <xf numFmtId="1" fontId="12" fillId="7" borderId="23" xfId="0" applyNumberFormat="1" applyFont="1" applyFill="1" applyBorder="1" applyAlignment="1">
      <alignment horizontal="center"/>
    </xf>
    <xf numFmtId="0" fontId="12" fillId="7" borderId="23" xfId="0" applyFont="1" applyFill="1" applyBorder="1" applyAlignment="1">
      <alignment/>
    </xf>
    <xf numFmtId="5" fontId="4" fillId="7" borderId="23" xfId="17" applyNumberFormat="1"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2" xfId="0" applyFont="1" applyFill="1" applyBorder="1" applyAlignment="1">
      <alignment horizontal="center"/>
    </xf>
    <xf numFmtId="0" fontId="3" fillId="3" borderId="9" xfId="0" applyFont="1" applyFill="1" applyBorder="1" applyAlignment="1">
      <alignment/>
    </xf>
    <xf numFmtId="1" fontId="3" fillId="3" borderId="0" xfId="0" applyNumberFormat="1" applyFont="1" applyFill="1" applyBorder="1" applyAlignment="1">
      <alignment vertical="center" wrapText="1"/>
    </xf>
    <xf numFmtId="0" fontId="3" fillId="3" borderId="8" xfId="0" applyFont="1" applyFill="1" applyBorder="1" applyAlignment="1">
      <alignment horizontal="left" vertical="center" wrapText="1"/>
    </xf>
    <xf numFmtId="164" fontId="8" fillId="3" borderId="0" xfId="17" applyNumberFormat="1" applyFont="1" applyFill="1" applyBorder="1" applyAlignment="1">
      <alignment/>
    </xf>
    <xf numFmtId="0" fontId="8" fillId="3" borderId="0" xfId="0" applyFont="1" applyFill="1" applyBorder="1" applyAlignment="1">
      <alignment horizontal="center"/>
    </xf>
    <xf numFmtId="1" fontId="8" fillId="6" borderId="23" xfId="0" applyNumberFormat="1" applyFont="1" applyFill="1" applyBorder="1" applyAlignment="1">
      <alignment horizontal="center"/>
    </xf>
    <xf numFmtId="1" fontId="8" fillId="6" borderId="23" xfId="0" applyNumberFormat="1" applyFont="1" applyFill="1" applyBorder="1" applyAlignment="1">
      <alignment/>
    </xf>
    <xf numFmtId="164" fontId="3" fillId="6" borderId="24" xfId="0" applyNumberFormat="1" applyFont="1" applyFill="1" applyBorder="1" applyAlignment="1">
      <alignment horizontal="center"/>
    </xf>
    <xf numFmtId="164" fontId="3" fillId="3" borderId="2" xfId="0" applyNumberFormat="1" applyFont="1" applyFill="1" applyBorder="1" applyAlignment="1">
      <alignment horizontal="center"/>
    </xf>
    <xf numFmtId="179"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9" fontId="3" fillId="3" borderId="2" xfId="0" applyNumberFormat="1" applyFont="1" applyFill="1" applyBorder="1" applyAlignment="1">
      <alignment horizontal="center"/>
    </xf>
    <xf numFmtId="166" fontId="8" fillId="3" borderId="0" xfId="0" applyNumberFormat="1" applyFont="1" applyFill="1" applyBorder="1" applyAlignment="1">
      <alignment/>
    </xf>
    <xf numFmtId="4" fontId="3"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9" fontId="8" fillId="3" borderId="0" xfId="0" applyNumberFormat="1" applyFont="1" applyFill="1" applyBorder="1" applyAlignment="1">
      <alignment/>
    </xf>
    <xf numFmtId="183" fontId="8" fillId="3" borderId="0" xfId="17" applyNumberFormat="1" applyFont="1" applyFill="1" applyBorder="1" applyAlignment="1">
      <alignment/>
    </xf>
    <xf numFmtId="44" fontId="8" fillId="3" borderId="0" xfId="17" applyFont="1" applyFill="1" applyBorder="1" applyAlignment="1">
      <alignment/>
    </xf>
    <xf numFmtId="171" fontId="3" fillId="3" borderId="2" xfId="0" applyNumberFormat="1" applyFont="1" applyFill="1" applyBorder="1" applyAlignment="1">
      <alignment horizontal="center"/>
    </xf>
    <xf numFmtId="172" fontId="8" fillId="3" borderId="0" xfId="0" applyNumberFormat="1" applyFont="1" applyFill="1" applyBorder="1" applyAlignment="1">
      <alignment/>
    </xf>
    <xf numFmtId="172" fontId="0" fillId="3" borderId="0" xfId="0" applyNumberFormat="1" applyFill="1" applyBorder="1" applyAlignment="1">
      <alignment/>
    </xf>
    <xf numFmtId="172" fontId="8" fillId="3" borderId="0" xfId="0" applyNumberFormat="1" applyFont="1" applyFill="1" applyBorder="1" applyAlignment="1">
      <alignment/>
    </xf>
    <xf numFmtId="171" fontId="8" fillId="3" borderId="0" xfId="0" applyNumberFormat="1" applyFont="1" applyFill="1" applyBorder="1" applyAlignment="1">
      <alignment/>
    </xf>
    <xf numFmtId="164" fontId="8" fillId="3" borderId="2" xfId="0" applyNumberFormat="1" applyFont="1" applyFill="1" applyBorder="1" applyAlignment="1">
      <alignment horizontal="center"/>
    </xf>
    <xf numFmtId="0" fontId="3" fillId="7" borderId="22" xfId="0" applyFont="1" applyFill="1" applyBorder="1" applyAlignment="1">
      <alignment/>
    </xf>
    <xf numFmtId="1" fontId="8" fillId="7" borderId="23" xfId="0" applyNumberFormat="1" applyFont="1" applyFill="1" applyBorder="1" applyAlignment="1">
      <alignment horizontal="center"/>
    </xf>
    <xf numFmtId="1" fontId="8" fillId="7" borderId="23" xfId="0" applyNumberFormat="1" applyFont="1" applyFill="1" applyBorder="1" applyAlignment="1">
      <alignment/>
    </xf>
    <xf numFmtId="164" fontId="3" fillId="7" borderId="24" xfId="0" applyNumberFormat="1" applyFont="1" applyFill="1" applyBorder="1" applyAlignment="1">
      <alignment horizontal="center"/>
    </xf>
    <xf numFmtId="173" fontId="3" fillId="7" borderId="24" xfId="0" applyNumberFormat="1" applyFont="1" applyFill="1" applyBorder="1" applyAlignment="1">
      <alignment horizontal="center"/>
    </xf>
    <xf numFmtId="0" fontId="8" fillId="3" borderId="9" xfId="0" applyFont="1" applyFill="1" applyBorder="1" applyAlignment="1">
      <alignment/>
    </xf>
    <xf numFmtId="0" fontId="12" fillId="2" borderId="1" xfId="0" applyFont="1" applyFill="1" applyBorder="1" applyAlignment="1">
      <alignment/>
    </xf>
    <xf numFmtId="0" fontId="12" fillId="2" borderId="8" xfId="0" applyFont="1" applyFill="1" applyBorder="1" applyAlignment="1">
      <alignment/>
    </xf>
    <xf numFmtId="0" fontId="12" fillId="2" borderId="0" xfId="0" applyFont="1" applyFill="1" applyBorder="1" applyAlignment="1">
      <alignment/>
    </xf>
    <xf numFmtId="1" fontId="16" fillId="3" borderId="0" xfId="0" applyNumberFormat="1" applyFont="1" applyFill="1" applyBorder="1" applyAlignment="1">
      <alignment horizontal="center" wrapText="1"/>
    </xf>
    <xf numFmtId="0" fontId="3" fillId="3" borderId="2" xfId="0" applyFont="1" applyFill="1" applyBorder="1" applyAlignment="1">
      <alignment horizontal="center" wrapText="1"/>
    </xf>
    <xf numFmtId="0" fontId="8" fillId="3" borderId="2" xfId="0" applyFont="1" applyFill="1" applyBorder="1" applyAlignment="1">
      <alignment/>
    </xf>
    <xf numFmtId="0" fontId="16" fillId="3" borderId="8" xfId="0" applyFont="1" applyFill="1" applyBorder="1" applyAlignment="1">
      <alignment/>
    </xf>
    <xf numFmtId="164" fontId="8" fillId="3" borderId="0" xfId="0" applyNumberFormat="1" applyFont="1" applyFill="1" applyBorder="1" applyAlignment="1">
      <alignment horizontal="center"/>
    </xf>
    <xf numFmtId="2" fontId="8" fillId="3" borderId="0" xfId="0" applyNumberFormat="1" applyFont="1" applyFill="1" applyBorder="1" applyAlignment="1">
      <alignment/>
    </xf>
    <xf numFmtId="2" fontId="3" fillId="3" borderId="2" xfId="0" applyNumberFormat="1" applyFont="1" applyFill="1" applyBorder="1" applyAlignment="1">
      <alignment horizontal="center"/>
    </xf>
    <xf numFmtId="1" fontId="4" fillId="3" borderId="0" xfId="0" applyNumberFormat="1" applyFont="1" applyFill="1" applyBorder="1" applyAlignment="1">
      <alignment horizontal="center"/>
    </xf>
    <xf numFmtId="1" fontId="16" fillId="3" borderId="0" xfId="0" applyNumberFormat="1" applyFont="1" applyFill="1" applyBorder="1" applyAlignment="1">
      <alignment wrapText="1"/>
    </xf>
    <xf numFmtId="0" fontId="17" fillId="3" borderId="2" xfId="0" applyFont="1" applyFill="1" applyBorder="1" applyAlignment="1">
      <alignment horizontal="center"/>
    </xf>
    <xf numFmtId="0" fontId="11" fillId="3" borderId="8" xfId="0" applyFont="1" applyFill="1" applyBorder="1" applyAlignment="1">
      <alignment horizontal="left"/>
    </xf>
    <xf numFmtId="0" fontId="8" fillId="3" borderId="8" xfId="0" applyFont="1" applyFill="1" applyBorder="1" applyAlignment="1">
      <alignment horizontal="left"/>
    </xf>
    <xf numFmtId="167" fontId="3" fillId="3" borderId="2" xfId="0" applyNumberFormat="1" applyFont="1" applyFill="1" applyBorder="1" applyAlignment="1">
      <alignment horizontal="center"/>
    </xf>
    <xf numFmtId="0" fontId="1" fillId="2" borderId="1" xfId="0" applyFont="1" applyFill="1" applyBorder="1" applyAlignment="1">
      <alignment/>
    </xf>
    <xf numFmtId="0" fontId="1" fillId="2" borderId="12" xfId="0" applyFont="1" applyFill="1" applyBorder="1" applyAlignment="1">
      <alignment/>
    </xf>
    <xf numFmtId="0" fontId="1" fillId="2" borderId="8" xfId="0" applyFont="1" applyFill="1" applyBorder="1" applyAlignment="1">
      <alignment/>
    </xf>
    <xf numFmtId="0" fontId="1" fillId="2" borderId="2" xfId="0" applyFont="1" applyFill="1" applyBorder="1" applyAlignment="1">
      <alignment/>
    </xf>
    <xf numFmtId="0" fontId="1" fillId="2" borderId="9" xfId="0" applyFont="1" applyFill="1" applyBorder="1" applyAlignment="1">
      <alignment/>
    </xf>
    <xf numFmtId="0" fontId="1" fillId="2" borderId="15" xfId="0" applyFont="1" applyFill="1" applyBorder="1" applyAlignment="1">
      <alignment/>
    </xf>
    <xf numFmtId="0" fontId="1" fillId="2" borderId="3" xfId="0" applyFont="1" applyFill="1" applyBorder="1" applyAlignment="1">
      <alignment/>
    </xf>
    <xf numFmtId="0" fontId="4" fillId="3" borderId="8" xfId="0" applyFont="1" applyFill="1" applyBorder="1" applyAlignment="1">
      <alignment horizontal="left" vertical="center" wrapText="1"/>
    </xf>
    <xf numFmtId="0" fontId="1" fillId="3" borderId="2" xfId="0" applyFont="1" applyFill="1" applyBorder="1" applyAlignment="1">
      <alignment/>
    </xf>
    <xf numFmtId="173" fontId="8" fillId="3" borderId="0" xfId="0" applyNumberFormat="1" applyFont="1" applyFill="1" applyBorder="1" applyAlignment="1">
      <alignment horizontal="center"/>
    </xf>
    <xf numFmtId="1" fontId="4" fillId="6" borderId="23" xfId="0" applyNumberFormat="1" applyFont="1" applyFill="1" applyBorder="1" applyAlignment="1">
      <alignment horizontal="center"/>
    </xf>
    <xf numFmtId="1" fontId="4" fillId="6" borderId="23" xfId="0" applyNumberFormat="1" applyFont="1" applyFill="1" applyBorder="1" applyAlignment="1">
      <alignment/>
    </xf>
    <xf numFmtId="164" fontId="4" fillId="6" borderId="24" xfId="0" applyNumberFormat="1" applyFont="1" applyFill="1" applyBorder="1" applyAlignment="1">
      <alignment horizontal="center"/>
    </xf>
    <xf numFmtId="171" fontId="8" fillId="3" borderId="0" xfId="0" applyNumberFormat="1" applyFont="1" applyFill="1" applyBorder="1" applyAlignment="1">
      <alignment horizontal="center"/>
    </xf>
    <xf numFmtId="164" fontId="4" fillId="7" borderId="23" xfId="0" applyNumberFormat="1" applyFont="1" applyFill="1" applyBorder="1" applyAlignment="1">
      <alignment horizontal="center"/>
    </xf>
    <xf numFmtId="173" fontId="4" fillId="7" borderId="23" xfId="0" applyNumberFormat="1" applyFont="1" applyFill="1" applyBorder="1" applyAlignment="1">
      <alignment horizontal="center"/>
    </xf>
    <xf numFmtId="0" fontId="3" fillId="3" borderId="8" xfId="0" applyFont="1" applyFill="1" applyBorder="1" applyAlignment="1">
      <alignment horizontal="center" vertical="center" wrapText="1"/>
    </xf>
    <xf numFmtId="0" fontId="4" fillId="3" borderId="0" xfId="0" applyFont="1" applyFill="1" applyBorder="1" applyAlignment="1">
      <alignment horizontal="left" vertical="center"/>
    </xf>
    <xf numFmtId="1" fontId="8" fillId="3" borderId="8" xfId="0" applyNumberFormat="1" applyFont="1" applyFill="1" applyBorder="1" applyAlignment="1">
      <alignment horizontal="center"/>
    </xf>
    <xf numFmtId="0" fontId="4" fillId="3" borderId="0" xfId="0" applyFont="1" applyFill="1" applyBorder="1" applyAlignment="1">
      <alignment/>
    </xf>
    <xf numFmtId="0" fontId="1" fillId="2" borderId="2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0" fillId="2" borderId="11" xfId="0" applyFill="1" applyBorder="1" applyAlignment="1">
      <alignment horizontal="center"/>
    </xf>
    <xf numFmtId="0" fontId="0" fillId="3" borderId="8" xfId="0" applyFill="1" applyBorder="1" applyAlignment="1">
      <alignment horizontal="center"/>
    </xf>
    <xf numFmtId="1" fontId="0" fillId="3" borderId="26" xfId="0" applyNumberFormat="1" applyFill="1" applyBorder="1" applyAlignment="1">
      <alignment horizontal="left"/>
    </xf>
    <xf numFmtId="1" fontId="0" fillId="3" borderId="27" xfId="0" applyNumberFormat="1" applyFill="1" applyBorder="1" applyAlignment="1">
      <alignment horizontal="left"/>
    </xf>
    <xf numFmtId="0" fontId="0" fillId="3" borderId="8" xfId="0" applyFill="1" applyBorder="1" applyAlignment="1">
      <alignment horizontal="center" vertical="center"/>
    </xf>
    <xf numFmtId="1" fontId="0" fillId="3" borderId="27" xfId="0" applyNumberFormat="1" applyFont="1" applyFill="1" applyBorder="1" applyAlignment="1">
      <alignment horizontal="left"/>
    </xf>
    <xf numFmtId="0" fontId="0" fillId="2" borderId="7" xfId="0" applyFill="1" applyBorder="1" applyAlignment="1">
      <alignment horizontal="center"/>
    </xf>
    <xf numFmtId="0" fontId="0" fillId="3" borderId="9" xfId="0" applyFill="1" applyBorder="1" applyAlignment="1">
      <alignment horizontal="center"/>
    </xf>
    <xf numFmtId="1" fontId="0" fillId="3" borderId="28" xfId="0" applyNumberFormat="1" applyFill="1" applyBorder="1" applyAlignment="1">
      <alignment horizontal="left"/>
    </xf>
    <xf numFmtId="0" fontId="3" fillId="8" borderId="13" xfId="0" applyFont="1" applyFill="1" applyBorder="1" applyAlignment="1">
      <alignment horizontal="center" vertical="center"/>
    </xf>
    <xf numFmtId="0" fontId="0" fillId="2" borderId="10" xfId="0" applyFill="1" applyBorder="1" applyAlignment="1">
      <alignment horizontal="center"/>
    </xf>
    <xf numFmtId="174" fontId="0" fillId="3" borderId="29" xfId="0" applyNumberFormat="1" applyFill="1" applyBorder="1" applyAlignment="1">
      <alignment/>
    </xf>
    <xf numFmtId="0" fontId="1" fillId="2" borderId="13" xfId="0" applyFont="1" applyFill="1" applyBorder="1" applyAlignment="1">
      <alignment wrapText="1"/>
    </xf>
    <xf numFmtId="0" fontId="18" fillId="5" borderId="26" xfId="0" applyFont="1" applyFill="1" applyBorder="1" applyAlignment="1">
      <alignment horizontal="center" vertical="center" wrapText="1"/>
    </xf>
    <xf numFmtId="0" fontId="1" fillId="5" borderId="30" xfId="0" applyFont="1" applyFill="1" applyBorder="1" applyAlignment="1">
      <alignment horizontal="right"/>
    </xf>
    <xf numFmtId="17" fontId="3" fillId="5" borderId="31" xfId="0" applyNumberFormat="1" applyFont="1" applyFill="1" applyBorder="1" applyAlignment="1">
      <alignment horizontal="center" vertical="center" wrapText="1"/>
    </xf>
    <xf numFmtId="0" fontId="2" fillId="5" borderId="14" xfId="0" applyFont="1" applyFill="1" applyBorder="1" applyAlignment="1">
      <alignment vertical="center"/>
    </xf>
    <xf numFmtId="0" fontId="2" fillId="5" borderId="1" xfId="0" applyFont="1" applyFill="1" applyBorder="1" applyAlignment="1">
      <alignment vertical="center"/>
    </xf>
    <xf numFmtId="0" fontId="18" fillId="5" borderId="12" xfId="0" applyFont="1" applyFill="1" applyBorder="1" applyAlignment="1">
      <alignment horizontal="right" vertical="center"/>
    </xf>
    <xf numFmtId="0" fontId="18" fillId="5" borderId="14" xfId="0" applyFont="1" applyFill="1" applyBorder="1" applyAlignment="1">
      <alignment horizontal="center"/>
    </xf>
    <xf numFmtId="0" fontId="18" fillId="5" borderId="32" xfId="0" applyFont="1" applyFill="1" applyBorder="1" applyAlignment="1">
      <alignment horizontal="right"/>
    </xf>
    <xf numFmtId="0" fontId="18" fillId="5" borderId="1" xfId="0" applyFont="1" applyFill="1" applyBorder="1" applyAlignment="1">
      <alignment horizontal="right"/>
    </xf>
    <xf numFmtId="0" fontId="2" fillId="5" borderId="8" xfId="0" applyFont="1" applyFill="1" applyBorder="1" applyAlignment="1">
      <alignment vertical="center"/>
    </xf>
    <xf numFmtId="0" fontId="2" fillId="5" borderId="0" xfId="0" applyFont="1" applyFill="1" applyBorder="1" applyAlignment="1">
      <alignment vertical="center"/>
    </xf>
    <xf numFmtId="0" fontId="18" fillId="5" borderId="2" xfId="0" applyFont="1" applyFill="1" applyBorder="1" applyAlignment="1">
      <alignment horizontal="right" vertical="center"/>
    </xf>
    <xf numFmtId="0" fontId="18" fillId="5" borderId="8" xfId="0" applyFont="1" applyFill="1" applyBorder="1" applyAlignment="1">
      <alignment horizontal="center"/>
    </xf>
    <xf numFmtId="0" fontId="18" fillId="5" borderId="33" xfId="0" applyFont="1" applyFill="1" applyBorder="1" applyAlignment="1">
      <alignment horizontal="right"/>
    </xf>
    <xf numFmtId="0" fontId="18" fillId="5" borderId="0" xfId="0" applyFont="1" applyFill="1" applyBorder="1" applyAlignment="1">
      <alignment horizontal="right"/>
    </xf>
    <xf numFmtId="0" fontId="2" fillId="5" borderId="9" xfId="0" applyFont="1" applyFill="1" applyBorder="1" applyAlignment="1">
      <alignment vertical="center"/>
    </xf>
    <xf numFmtId="0" fontId="2" fillId="5" borderId="15" xfId="0" applyFont="1" applyFill="1" applyBorder="1" applyAlignment="1">
      <alignment vertical="center"/>
    </xf>
    <xf numFmtId="0" fontId="18" fillId="5" borderId="3" xfId="0" applyFont="1" applyFill="1" applyBorder="1" applyAlignment="1">
      <alignment horizontal="right" vertical="center"/>
    </xf>
    <xf numFmtId="0" fontId="18" fillId="5" borderId="34" xfId="0" applyFont="1" applyFill="1" applyBorder="1" applyAlignment="1">
      <alignment horizontal="right"/>
    </xf>
    <xf numFmtId="0" fontId="18" fillId="5" borderId="15" xfId="0" applyFont="1" applyFill="1" applyBorder="1" applyAlignment="1">
      <alignment horizontal="right"/>
    </xf>
    <xf numFmtId="0" fontId="1" fillId="7" borderId="13" xfId="0" applyFont="1" applyFill="1" applyBorder="1" applyAlignment="1">
      <alignment horizontal="center" vertical="center" wrapText="1"/>
    </xf>
    <xf numFmtId="0" fontId="18" fillId="5" borderId="13" xfId="0" applyFont="1" applyFill="1" applyBorder="1" applyAlignment="1">
      <alignment horizontal="center" vertical="center"/>
    </xf>
    <xf numFmtId="0" fontId="18" fillId="5" borderId="13" xfId="0" applyFont="1" applyFill="1" applyBorder="1" applyAlignment="1">
      <alignment horizontal="center" wrapText="1"/>
    </xf>
    <xf numFmtId="0" fontId="18" fillId="5" borderId="13" xfId="0" applyFont="1" applyFill="1" applyBorder="1" applyAlignment="1">
      <alignment horizontal="center" vertical="center" wrapText="1"/>
    </xf>
    <xf numFmtId="0" fontId="18" fillId="5" borderId="9" xfId="0" applyFont="1" applyFill="1" applyBorder="1" applyAlignment="1">
      <alignment horizontal="center"/>
    </xf>
    <xf numFmtId="9" fontId="0" fillId="3" borderId="13" xfId="0" applyNumberFormat="1" applyFill="1" applyBorder="1" applyAlignment="1">
      <alignment horizontal="center"/>
    </xf>
    <xf numFmtId="2" fontId="0" fillId="3" borderId="13" xfId="0" applyNumberFormat="1" applyFill="1" applyBorder="1" applyAlignment="1">
      <alignment horizontal="center"/>
    </xf>
    <xf numFmtId="10" fontId="0" fillId="3" borderId="13" xfId="0" applyNumberFormat="1" applyFill="1" applyBorder="1" applyAlignment="1">
      <alignment horizontal="center"/>
    </xf>
    <xf numFmtId="171" fontId="0" fillId="3" borderId="13" xfId="0" applyNumberFormat="1" applyFill="1" applyBorder="1" applyAlignment="1">
      <alignment horizontal="center"/>
    </xf>
    <xf numFmtId="173" fontId="0" fillId="3" borderId="35" xfId="0" applyNumberFormat="1" applyFill="1" applyBorder="1" applyAlignment="1">
      <alignment horizontal="center"/>
    </xf>
    <xf numFmtId="0" fontId="18" fillId="5" borderId="26" xfId="0" applyFont="1" applyFill="1" applyBorder="1" applyAlignment="1">
      <alignment horizontal="center"/>
    </xf>
    <xf numFmtId="0" fontId="18" fillId="5" borderId="27" xfId="0" applyFont="1" applyFill="1" applyBorder="1" applyAlignment="1">
      <alignment horizontal="center"/>
    </xf>
    <xf numFmtId="0" fontId="18" fillId="5" borderId="28" xfId="0" applyFont="1" applyFill="1" applyBorder="1" applyAlignment="1">
      <alignment horizontal="center"/>
    </xf>
    <xf numFmtId="179" fontId="0" fillId="3" borderId="12" xfId="21" applyNumberFormat="1" applyFill="1" applyBorder="1" applyAlignment="1">
      <alignment horizontal="center"/>
    </xf>
    <xf numFmtId="179" fontId="0" fillId="3" borderId="2" xfId="21" applyNumberFormat="1" applyFill="1" applyBorder="1" applyAlignment="1">
      <alignment horizontal="center"/>
    </xf>
    <xf numFmtId="179" fontId="0" fillId="3" borderId="3" xfId="21" applyNumberFormat="1" applyFill="1" applyBorder="1" applyAlignment="1">
      <alignment horizontal="center"/>
    </xf>
    <xf numFmtId="0" fontId="1" fillId="2" borderId="13" xfId="0" applyFont="1" applyFill="1" applyBorder="1" applyAlignment="1">
      <alignment wrapText="1"/>
    </xf>
    <xf numFmtId="164" fontId="1" fillId="2" borderId="13" xfId="0" applyNumberFormat="1" applyFont="1" applyFill="1" applyBorder="1" applyAlignment="1">
      <alignment wrapText="1"/>
    </xf>
    <xf numFmtId="9" fontId="1" fillId="2" borderId="13" xfId="0" applyNumberFormat="1" applyFont="1" applyFill="1" applyBorder="1" applyAlignment="1">
      <alignment wrapText="1"/>
    </xf>
    <xf numFmtId="1" fontId="1" fillId="2" borderId="13" xfId="0" applyNumberFormat="1" applyFont="1" applyFill="1" applyBorder="1" applyAlignment="1">
      <alignment wrapText="1"/>
    </xf>
    <xf numFmtId="2" fontId="1" fillId="2" borderId="13" xfId="0" applyNumberFormat="1" applyFont="1" applyFill="1" applyBorder="1" applyAlignment="1">
      <alignment wrapText="1"/>
    </xf>
    <xf numFmtId="10" fontId="1" fillId="2" borderId="13" xfId="0" applyNumberFormat="1" applyFont="1" applyFill="1" applyBorder="1" applyAlignment="1">
      <alignment wrapText="1"/>
    </xf>
    <xf numFmtId="3" fontId="1" fillId="2" borderId="13" xfId="0" applyNumberFormat="1" applyFont="1" applyFill="1" applyBorder="1" applyAlignment="1">
      <alignment wrapText="1"/>
    </xf>
    <xf numFmtId="0" fontId="1" fillId="2" borderId="25" xfId="0" applyFont="1" applyFill="1" applyBorder="1" applyAlignment="1">
      <alignment wrapText="1"/>
    </xf>
    <xf numFmtId="0" fontId="1" fillId="2" borderId="31" xfId="0" applyFont="1" applyFill="1" applyBorder="1" applyAlignment="1">
      <alignment wrapText="1"/>
    </xf>
    <xf numFmtId="0" fontId="3" fillId="7" borderId="23" xfId="0" applyFont="1" applyFill="1" applyBorder="1" applyAlignment="1">
      <alignment horizontal="left"/>
    </xf>
    <xf numFmtId="1" fontId="3" fillId="7" borderId="23" xfId="0" applyNumberFormat="1" applyFont="1" applyFill="1" applyBorder="1" applyAlignment="1">
      <alignment horizontal="center"/>
    </xf>
    <xf numFmtId="1" fontId="3" fillId="7" borderId="23" xfId="0" applyNumberFormat="1" applyFont="1" applyFill="1" applyBorder="1" applyAlignment="1">
      <alignment horizontal="right"/>
    </xf>
    <xf numFmtId="7" fontId="3" fillId="7" borderId="23" xfId="17" applyNumberFormat="1" applyFont="1" applyFill="1" applyBorder="1" applyAlignment="1">
      <alignment horizontal="center" vertical="center"/>
    </xf>
    <xf numFmtId="1" fontId="3" fillId="7" borderId="24" xfId="0" applyNumberFormat="1" applyFont="1" applyFill="1" applyBorder="1" applyAlignment="1">
      <alignment horizontal="center"/>
    </xf>
    <xf numFmtId="0" fontId="4" fillId="7" borderId="16" xfId="0" applyFont="1" applyFill="1" applyBorder="1" applyAlignment="1">
      <alignment/>
    </xf>
    <xf numFmtId="0" fontId="0" fillId="7" borderId="17" xfId="0" applyFill="1" applyBorder="1" applyAlignment="1">
      <alignment/>
    </xf>
    <xf numFmtId="1" fontId="8" fillId="7" borderId="17" xfId="0" applyNumberFormat="1" applyFont="1" applyFill="1" applyBorder="1" applyAlignment="1">
      <alignment horizontal="center"/>
    </xf>
    <xf numFmtId="1" fontId="8" fillId="7" borderId="17" xfId="0" applyNumberFormat="1" applyFont="1" applyFill="1" applyBorder="1" applyAlignment="1">
      <alignment/>
    </xf>
    <xf numFmtId="164" fontId="4" fillId="7" borderId="17" xfId="0" applyNumberFormat="1" applyFont="1" applyFill="1" applyBorder="1" applyAlignment="1">
      <alignment horizontal="center"/>
    </xf>
    <xf numFmtId="0" fontId="12" fillId="7" borderId="8" xfId="0" applyFont="1" applyFill="1" applyBorder="1" applyAlignment="1">
      <alignment/>
    </xf>
    <xf numFmtId="1" fontId="8" fillId="7" borderId="0" xfId="0" applyNumberFormat="1" applyFont="1" applyFill="1" applyBorder="1" applyAlignment="1">
      <alignment horizontal="center"/>
    </xf>
    <xf numFmtId="1" fontId="8" fillId="7" borderId="0" xfId="0" applyNumberFormat="1" applyFont="1" applyFill="1" applyBorder="1" applyAlignment="1">
      <alignment/>
    </xf>
    <xf numFmtId="0" fontId="12" fillId="7" borderId="9" xfId="0" applyFont="1" applyFill="1" applyBorder="1" applyAlignment="1">
      <alignment/>
    </xf>
    <xf numFmtId="1" fontId="8" fillId="7" borderId="15" xfId="0" applyNumberFormat="1" applyFont="1" applyFill="1" applyBorder="1" applyAlignment="1">
      <alignment horizontal="center"/>
    </xf>
    <xf numFmtId="1" fontId="8" fillId="7" borderId="15" xfId="0" applyNumberFormat="1" applyFont="1" applyFill="1" applyBorder="1" applyAlignment="1">
      <alignment/>
    </xf>
    <xf numFmtId="181" fontId="3" fillId="3" borderId="1" xfId="15" applyNumberFormat="1" applyFont="1" applyFill="1" applyBorder="1" applyAlignment="1">
      <alignment/>
    </xf>
    <xf numFmtId="2" fontId="3" fillId="3" borderId="0" xfId="0" applyNumberFormat="1" applyFont="1" applyFill="1" applyBorder="1" applyAlignment="1">
      <alignment horizontal="center"/>
    </xf>
    <xf numFmtId="181" fontId="3" fillId="3" borderId="0" xfId="15" applyNumberFormat="1" applyFont="1" applyFill="1" applyBorder="1" applyAlignment="1">
      <alignment horizontal="center" vertical="center" wrapText="1"/>
    </xf>
    <xf numFmtId="164" fontId="8" fillId="6" borderId="23" xfId="0" applyNumberFormat="1" applyFont="1" applyFill="1" applyBorder="1" applyAlignment="1">
      <alignment horizontal="center"/>
    </xf>
    <xf numFmtId="164" fontId="8" fillId="3" borderId="2" xfId="17" applyNumberFormat="1" applyFont="1" applyFill="1" applyBorder="1" applyAlignment="1">
      <alignment/>
    </xf>
    <xf numFmtId="179" fontId="8" fillId="3" borderId="2" xfId="21" applyNumberFormat="1" applyFont="1" applyFill="1" applyBorder="1" applyAlignment="1">
      <alignment/>
    </xf>
    <xf numFmtId="10" fontId="8" fillId="3" borderId="2" xfId="21" applyNumberFormat="1" applyFont="1" applyFill="1" applyBorder="1" applyAlignment="1">
      <alignment/>
    </xf>
    <xf numFmtId="3" fontId="8" fillId="3" borderId="2" xfId="21" applyNumberFormat="1" applyFont="1" applyFill="1" applyBorder="1" applyAlignment="1">
      <alignment/>
    </xf>
    <xf numFmtId="179" fontId="0" fillId="3" borderId="2" xfId="21" applyNumberFormat="1" applyFill="1" applyBorder="1" applyAlignment="1">
      <alignment/>
    </xf>
    <xf numFmtId="4" fontId="0" fillId="3" borderId="13" xfId="0" applyNumberFormat="1" applyFill="1" applyBorder="1" applyAlignment="1">
      <alignment horizontal="center"/>
    </xf>
    <xf numFmtId="179" fontId="0" fillId="3" borderId="13" xfId="21" applyNumberFormat="1" applyFill="1" applyBorder="1" applyAlignment="1">
      <alignment horizontal="center"/>
    </xf>
    <xf numFmtId="173" fontId="0" fillId="3" borderId="11" xfId="0" applyNumberFormat="1" applyFill="1" applyBorder="1" applyAlignment="1">
      <alignment horizontal="center"/>
    </xf>
    <xf numFmtId="3" fontId="8" fillId="3" borderId="0" xfId="0" applyNumberFormat="1" applyFont="1" applyFill="1" applyBorder="1" applyAlignment="1">
      <alignment horizontal="center"/>
    </xf>
    <xf numFmtId="3" fontId="3" fillId="3" borderId="0" xfId="0" applyNumberFormat="1" applyFont="1" applyFill="1" applyBorder="1" applyAlignment="1">
      <alignment horizontal="center"/>
    </xf>
    <xf numFmtId="0" fontId="20" fillId="4" borderId="0" xfId="0" applyFont="1" applyFill="1" applyAlignment="1" applyProtection="1">
      <alignment/>
      <protection/>
    </xf>
    <xf numFmtId="0" fontId="8" fillId="3" borderId="0" xfId="0" applyNumberFormat="1" applyFont="1" applyFill="1" applyBorder="1" applyAlignment="1">
      <alignment horizontal="center"/>
    </xf>
    <xf numFmtId="164" fontId="0" fillId="7" borderId="18" xfId="0" applyNumberFormat="1" applyFill="1" applyBorder="1" applyAlignment="1">
      <alignment/>
    </xf>
    <xf numFmtId="2" fontId="8" fillId="3" borderId="2" xfId="0" applyNumberFormat="1" applyFont="1" applyFill="1" applyBorder="1" applyAlignment="1">
      <alignment horizontal="center"/>
    </xf>
    <xf numFmtId="0" fontId="21" fillId="3" borderId="0" xfId="21" applyNumberFormat="1" applyFont="1" applyFill="1" applyBorder="1" applyAlignment="1">
      <alignment horizontal="left"/>
    </xf>
    <xf numFmtId="173" fontId="21" fillId="3" borderId="0" xfId="21" applyNumberFormat="1" applyFont="1" applyFill="1" applyBorder="1" applyAlignment="1">
      <alignment horizontal="left"/>
    </xf>
    <xf numFmtId="43" fontId="0" fillId="4" borderId="0" xfId="0" applyNumberFormat="1" applyFill="1" applyAlignment="1">
      <alignment/>
    </xf>
    <xf numFmtId="9" fontId="8" fillId="3" borderId="2" xfId="21" applyFont="1" applyFill="1" applyBorder="1" applyAlignment="1">
      <alignment/>
    </xf>
    <xf numFmtId="0" fontId="20" fillId="4" borderId="0" xfId="0" applyFont="1" applyFill="1" applyAlignment="1">
      <alignment/>
    </xf>
    <xf numFmtId="0" fontId="0" fillId="3" borderId="10" xfId="0" applyNumberFormat="1" applyFill="1" applyBorder="1" applyAlignment="1">
      <alignment horizontal="center"/>
    </xf>
    <xf numFmtId="0" fontId="0" fillId="3" borderId="11" xfId="0" applyNumberFormat="1" applyFill="1" applyBorder="1" applyAlignment="1">
      <alignment horizontal="center"/>
    </xf>
    <xf numFmtId="172" fontId="3" fillId="3" borderId="0" xfId="0" applyNumberFormat="1" applyFont="1" applyFill="1" applyBorder="1" applyAlignment="1">
      <alignment horizontal="center"/>
    </xf>
    <xf numFmtId="173" fontId="3" fillId="6" borderId="24" xfId="0" applyNumberFormat="1" applyFont="1" applyFill="1" applyBorder="1" applyAlignment="1">
      <alignment horizontal="center"/>
    </xf>
    <xf numFmtId="164" fontId="4" fillId="7" borderId="24" xfId="0" applyNumberFormat="1" applyFont="1" applyFill="1" applyBorder="1" applyAlignment="1">
      <alignment horizontal="center"/>
    </xf>
    <xf numFmtId="164" fontId="8" fillId="3" borderId="2" xfId="0" applyNumberFormat="1" applyFont="1" applyFill="1" applyBorder="1" applyAlignment="1">
      <alignment/>
    </xf>
    <xf numFmtId="0" fontId="8" fillId="7" borderId="3" xfId="0" applyFont="1" applyFill="1" applyBorder="1" applyAlignment="1">
      <alignment/>
    </xf>
    <xf numFmtId="164" fontId="4" fillId="7" borderId="2" xfId="0" applyNumberFormat="1" applyFont="1" applyFill="1" applyBorder="1" applyAlignment="1">
      <alignment/>
    </xf>
    <xf numFmtId="0" fontId="12" fillId="3" borderId="2" xfId="0" applyFont="1" applyFill="1" applyBorder="1" applyAlignment="1">
      <alignment/>
    </xf>
    <xf numFmtId="164" fontId="4" fillId="6" borderId="24" xfId="0" applyNumberFormat="1" applyFont="1" applyFill="1" applyBorder="1" applyAlignment="1">
      <alignment horizontal="center"/>
    </xf>
    <xf numFmtId="173" fontId="4" fillId="7" borderId="24" xfId="0" applyNumberFormat="1" applyFont="1" applyFill="1" applyBorder="1" applyAlignment="1">
      <alignment horizontal="center"/>
    </xf>
    <xf numFmtId="171" fontId="8" fillId="3" borderId="2" xfId="0" applyNumberFormat="1" applyFont="1" applyFill="1" applyBorder="1" applyAlignment="1">
      <alignment horizontal="center"/>
    </xf>
    <xf numFmtId="184" fontId="8" fillId="3" borderId="2" xfId="0" applyNumberFormat="1" applyFont="1" applyFill="1" applyBorder="1" applyAlignment="1">
      <alignment horizontal="center"/>
    </xf>
    <xf numFmtId="2" fontId="8" fillId="3" borderId="2" xfId="0" applyNumberFormat="1" applyFont="1" applyFill="1" applyBorder="1" applyAlignment="1">
      <alignment horizontal="center"/>
    </xf>
    <xf numFmtId="10" fontId="8" fillId="3" borderId="2" xfId="0" applyNumberFormat="1" applyFont="1" applyFill="1" applyBorder="1" applyAlignment="1">
      <alignment horizontal="center"/>
    </xf>
    <xf numFmtId="1" fontId="8" fillId="3" borderId="2" xfId="0" applyNumberFormat="1" applyFont="1" applyFill="1" applyBorder="1" applyAlignment="1">
      <alignment horizontal="left"/>
    </xf>
    <xf numFmtId="1" fontId="8" fillId="3" borderId="2" xfId="0" applyNumberFormat="1" applyFont="1" applyFill="1" applyBorder="1" applyAlignment="1">
      <alignment horizontal="center"/>
    </xf>
    <xf numFmtId="179" fontId="8" fillId="3" borderId="2" xfId="0" applyNumberFormat="1" applyFont="1" applyFill="1" applyBorder="1" applyAlignment="1">
      <alignment horizontal="center"/>
    </xf>
    <xf numFmtId="0" fontId="8" fillId="3" borderId="2" xfId="0" applyFont="1" applyFill="1" applyBorder="1" applyAlignment="1">
      <alignment horizontal="center"/>
    </xf>
    <xf numFmtId="196" fontId="0" fillId="3" borderId="13" xfId="0" applyNumberFormat="1" applyFill="1" applyBorder="1" applyAlignment="1">
      <alignment horizontal="center"/>
    </xf>
    <xf numFmtId="186" fontId="0" fillId="4" borderId="0" xfId="0" applyNumberFormat="1" applyFill="1" applyAlignment="1">
      <alignment/>
    </xf>
    <xf numFmtId="199" fontId="0" fillId="4" borderId="0" xfId="0" applyNumberFormat="1" applyFill="1" applyAlignment="1">
      <alignment/>
    </xf>
    <xf numFmtId="211" fontId="0" fillId="4" borderId="0" xfId="0" applyNumberFormat="1" applyFill="1" applyAlignment="1">
      <alignment/>
    </xf>
    <xf numFmtId="2" fontId="8" fillId="3" borderId="0" xfId="17" applyNumberFormat="1" applyFont="1" applyFill="1" applyBorder="1" applyAlignment="1">
      <alignment horizontal="center"/>
    </xf>
    <xf numFmtId="2" fontId="8" fillId="3" borderId="0" xfId="0" applyNumberFormat="1" applyFont="1" applyFill="1" applyBorder="1" applyAlignment="1">
      <alignment horizontal="center"/>
    </xf>
    <xf numFmtId="4" fontId="8" fillId="3" borderId="2" xfId="0" applyNumberFormat="1" applyFont="1" applyFill="1" applyBorder="1" applyAlignment="1">
      <alignment horizontal="center"/>
    </xf>
    <xf numFmtId="3" fontId="8" fillId="3" borderId="2" xfId="0" applyNumberFormat="1" applyFont="1" applyFill="1" applyBorder="1" applyAlignment="1">
      <alignment horizontal="center"/>
    </xf>
    <xf numFmtId="9" fontId="8" fillId="3" borderId="2" xfId="0" applyNumberFormat="1" applyFont="1" applyFill="1" applyBorder="1" applyAlignment="1">
      <alignment horizontal="center"/>
    </xf>
    <xf numFmtId="173" fontId="8" fillId="3" borderId="0" xfId="0" applyNumberFormat="1" applyFont="1" applyFill="1" applyBorder="1" applyAlignment="1">
      <alignment horizontal="center"/>
    </xf>
    <xf numFmtId="2" fontId="8" fillId="3" borderId="0" xfId="0" applyNumberFormat="1" applyFont="1" applyFill="1" applyBorder="1" applyAlignment="1">
      <alignment horizontal="right"/>
    </xf>
    <xf numFmtId="1" fontId="0" fillId="3" borderId="11" xfId="0" applyNumberFormat="1" applyFill="1" applyBorder="1" applyAlignment="1">
      <alignment horizontal="center"/>
    </xf>
    <xf numFmtId="173" fontId="0" fillId="3" borderId="11" xfId="0" applyNumberFormat="1" applyFill="1" applyBorder="1" applyAlignment="1">
      <alignment horizontal="center" vertical="center"/>
    </xf>
    <xf numFmtId="1" fontId="0" fillId="3" borderId="0" xfId="0" applyNumberFormat="1" applyFill="1" applyAlignment="1">
      <alignment/>
    </xf>
    <xf numFmtId="0" fontId="1" fillId="7" borderId="25" xfId="0" applyFont="1" applyFill="1" applyBorder="1" applyAlignment="1">
      <alignment horizontal="center" vertical="center" wrapText="1"/>
    </xf>
    <xf numFmtId="0" fontId="0" fillId="7" borderId="30" xfId="0" applyFill="1" applyBorder="1" applyAlignment="1">
      <alignment horizontal="center" vertical="center" wrapText="1"/>
    </xf>
    <xf numFmtId="0" fontId="0" fillId="7" borderId="36" xfId="0"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10" xfId="0" applyFont="1" applyFill="1" applyBorder="1" applyAlignment="1">
      <alignment horizontal="center"/>
    </xf>
    <xf numFmtId="0" fontId="18" fillId="5" borderId="7" xfId="0" applyFont="1" applyFill="1" applyBorder="1" applyAlignment="1">
      <alignment horizontal="center"/>
    </xf>
    <xf numFmtId="0" fontId="19" fillId="5" borderId="10"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8" fillId="5" borderId="10" xfId="0" applyFont="1" applyFill="1" applyBorder="1" applyAlignment="1">
      <alignment horizontal="center" wrapText="1"/>
    </xf>
    <xf numFmtId="0" fontId="18" fillId="5" borderId="25" xfId="0" applyFont="1" applyFill="1" applyBorder="1" applyAlignment="1">
      <alignment horizontal="left" vertical="center" wrapText="1"/>
    </xf>
    <xf numFmtId="0" fontId="0" fillId="5" borderId="30" xfId="0" applyFill="1" applyBorder="1" applyAlignment="1">
      <alignment horizontal="left" vertical="center" wrapText="1"/>
    </xf>
    <xf numFmtId="0" fontId="0" fillId="5" borderId="36" xfId="0" applyFill="1" applyBorder="1" applyAlignment="1">
      <alignment horizontal="left" vertical="center" wrapText="1"/>
    </xf>
    <xf numFmtId="0" fontId="1" fillId="2" borderId="30" xfId="0" applyFont="1" applyFill="1" applyBorder="1" applyAlignment="1">
      <alignment wrapText="1"/>
    </xf>
    <xf numFmtId="0" fontId="0" fillId="4" borderId="0" xfId="0" applyFill="1" applyAlignment="1">
      <alignment/>
    </xf>
    <xf numFmtId="0" fontId="0" fillId="5" borderId="25" xfId="0" applyFont="1" applyFill="1" applyBorder="1" applyAlignment="1">
      <alignment/>
    </xf>
    <xf numFmtId="0" fontId="0" fillId="5" borderId="30" xfId="0" applyFont="1" applyFill="1" applyBorder="1" applyAlignment="1">
      <alignment/>
    </xf>
    <xf numFmtId="10" fontId="0" fillId="3" borderId="13" xfId="0" applyNumberFormat="1" applyFill="1" applyBorder="1" applyAlignment="1">
      <alignment/>
    </xf>
    <xf numFmtId="1" fontId="0" fillId="3" borderId="10" xfId="0" applyNumberFormat="1" applyFill="1" applyBorder="1" applyAlignment="1">
      <alignment/>
    </xf>
    <xf numFmtId="0" fontId="2" fillId="5" borderId="14" xfId="0" applyFont="1" applyFill="1" applyBorder="1" applyAlignment="1">
      <alignment/>
    </xf>
    <xf numFmtId="0" fontId="2" fillId="5" borderId="1" xfId="0" applyFont="1" applyFill="1" applyBorder="1" applyAlignment="1">
      <alignment/>
    </xf>
    <xf numFmtId="1" fontId="0" fillId="3" borderId="4" xfId="0" applyNumberFormat="1" applyFill="1" applyBorder="1" applyAlignment="1">
      <alignment/>
    </xf>
    <xf numFmtId="1" fontId="0" fillId="3" borderId="11" xfId="0" applyNumberFormat="1" applyFill="1" applyBorder="1" applyAlignment="1">
      <alignment/>
    </xf>
    <xf numFmtId="0" fontId="2" fillId="5" borderId="8" xfId="0" applyFont="1" applyFill="1" applyBorder="1" applyAlignment="1">
      <alignment/>
    </xf>
    <xf numFmtId="0" fontId="2" fillId="5" borderId="0" xfId="0" applyFont="1" applyFill="1" applyBorder="1" applyAlignment="1">
      <alignment/>
    </xf>
    <xf numFmtId="1" fontId="0" fillId="3" borderId="5" xfId="0" applyNumberFormat="1" applyFill="1" applyBorder="1" applyAlignment="1">
      <alignment/>
    </xf>
    <xf numFmtId="168" fontId="0" fillId="3" borderId="7" xfId="0" applyNumberFormat="1" applyFill="1" applyBorder="1" applyAlignment="1">
      <alignment/>
    </xf>
    <xf numFmtId="0" fontId="2" fillId="5" borderId="9" xfId="0" applyFont="1" applyFill="1" applyBorder="1" applyAlignment="1">
      <alignment/>
    </xf>
    <xf numFmtId="0" fontId="2" fillId="5" borderId="15" xfId="0" applyFont="1" applyFill="1" applyBorder="1" applyAlignment="1">
      <alignment/>
    </xf>
    <xf numFmtId="169" fontId="0" fillId="3" borderId="6" xfId="0" applyNumberFormat="1" applyFill="1" applyBorder="1" applyAlignment="1">
      <alignment/>
    </xf>
    <xf numFmtId="1" fontId="0" fillId="3" borderId="7" xfId="0" applyNumberFormat="1" applyFill="1" applyBorder="1" applyAlignment="1">
      <alignment/>
    </xf>
    <xf numFmtId="43" fontId="0" fillId="4" borderId="0" xfId="0" applyNumberFormat="1" applyFill="1" applyAlignment="1">
      <alignment/>
    </xf>
    <xf numFmtId="164" fontId="0" fillId="3" borderId="37" xfId="0" applyNumberFormat="1" applyFill="1" applyBorder="1" applyAlignment="1">
      <alignment/>
    </xf>
    <xf numFmtId="164" fontId="0" fillId="3" borderId="13" xfId="0" applyNumberFormat="1" applyFill="1" applyBorder="1" applyAlignment="1">
      <alignment/>
    </xf>
    <xf numFmtId="181" fontId="0" fillId="4" borderId="0" xfId="15" applyNumberFormat="1" applyFill="1" applyAlignment="1">
      <alignment/>
    </xf>
    <xf numFmtId="0" fontId="0" fillId="3" borderId="25" xfId="0" applyFill="1" applyBorder="1" applyAlignment="1">
      <alignment/>
    </xf>
    <xf numFmtId="0" fontId="0" fillId="3" borderId="30" xfId="0" applyFill="1" applyBorder="1" applyAlignment="1">
      <alignment/>
    </xf>
    <xf numFmtId="0" fontId="0" fillId="3" borderId="36" xfId="0" applyFill="1" applyBorder="1" applyAlignment="1">
      <alignment/>
    </xf>
    <xf numFmtId="0" fontId="0" fillId="2" borderId="10" xfId="0" applyFill="1" applyBorder="1" applyAlignment="1">
      <alignment/>
    </xf>
    <xf numFmtId="164" fontId="0" fillId="3" borderId="38" xfId="0" applyNumberFormat="1" applyFill="1" applyBorder="1" applyAlignment="1">
      <alignment/>
    </xf>
    <xf numFmtId="10" fontId="0" fillId="3" borderId="38" xfId="0" applyNumberFormat="1" applyFill="1" applyBorder="1" applyAlignment="1">
      <alignment/>
    </xf>
    <xf numFmtId="3" fontId="0" fillId="3" borderId="38" xfId="0" applyNumberFormat="1" applyFill="1" applyBorder="1" applyAlignment="1">
      <alignment/>
    </xf>
    <xf numFmtId="0" fontId="0" fillId="3" borderId="38" xfId="0" applyFill="1" applyBorder="1" applyAlignment="1">
      <alignment/>
    </xf>
    <xf numFmtId="9" fontId="0" fillId="3" borderId="38" xfId="21" applyFill="1" applyBorder="1" applyAlignment="1">
      <alignment/>
    </xf>
    <xf numFmtId="2" fontId="0" fillId="3" borderId="38" xfId="0" applyNumberFormat="1" applyFill="1" applyBorder="1" applyAlignment="1">
      <alignment/>
    </xf>
    <xf numFmtId="171" fontId="0" fillId="3" borderId="38" xfId="0" applyNumberFormat="1" applyFill="1" applyBorder="1" applyAlignment="1">
      <alignment/>
    </xf>
    <xf numFmtId="173" fontId="0" fillId="3" borderId="38" xfId="0" applyNumberFormat="1" applyFill="1" applyBorder="1" applyAlignment="1">
      <alignment/>
    </xf>
    <xf numFmtId="4" fontId="0" fillId="3" borderId="38" xfId="0" applyNumberFormat="1" applyFill="1" applyBorder="1" applyAlignment="1">
      <alignment/>
    </xf>
    <xf numFmtId="10" fontId="0" fillId="3" borderId="38" xfId="21" applyNumberFormat="1" applyFill="1" applyBorder="1" applyAlignment="1">
      <alignment/>
    </xf>
    <xf numFmtId="0" fontId="0" fillId="2" borderId="11" xfId="0" applyFill="1" applyBorder="1" applyAlignment="1">
      <alignment/>
    </xf>
    <xf numFmtId="0" fontId="0" fillId="3" borderId="27" xfId="0" applyFill="1" applyBorder="1" applyAlignment="1">
      <alignment/>
    </xf>
    <xf numFmtId="164" fontId="0" fillId="3" borderId="39" xfId="0" applyNumberFormat="1" applyFill="1" applyBorder="1" applyAlignment="1">
      <alignment/>
    </xf>
    <xf numFmtId="10" fontId="0" fillId="3" borderId="39" xfId="0" applyNumberFormat="1" applyFill="1" applyBorder="1" applyAlignment="1">
      <alignment/>
    </xf>
    <xf numFmtId="3" fontId="0" fillId="3" borderId="39" xfId="0" applyNumberFormat="1" applyFill="1" applyBorder="1" applyAlignment="1">
      <alignment/>
    </xf>
    <xf numFmtId="0" fontId="0" fillId="3" borderId="39" xfId="0" applyFill="1" applyBorder="1" applyAlignment="1">
      <alignment/>
    </xf>
    <xf numFmtId="9" fontId="0" fillId="3" borderId="39" xfId="21" applyFill="1" applyBorder="1" applyAlignment="1">
      <alignment/>
    </xf>
    <xf numFmtId="2" fontId="0" fillId="3" borderId="39" xfId="0" applyNumberFormat="1" applyFill="1" applyBorder="1" applyAlignment="1">
      <alignment/>
    </xf>
    <xf numFmtId="171" fontId="0" fillId="3" borderId="39" xfId="0" applyNumberFormat="1" applyFill="1" applyBorder="1" applyAlignment="1">
      <alignment/>
    </xf>
    <xf numFmtId="173" fontId="0" fillId="3" borderId="39" xfId="0" applyNumberFormat="1" applyFill="1" applyBorder="1" applyAlignment="1">
      <alignment/>
    </xf>
    <xf numFmtId="4" fontId="0" fillId="3" borderId="39" xfId="0" applyNumberFormat="1" applyFill="1" applyBorder="1" applyAlignment="1">
      <alignment/>
    </xf>
    <xf numFmtId="10" fontId="0" fillId="3" borderId="39" xfId="21" applyNumberFormat="1" applyFill="1" applyBorder="1" applyAlignment="1">
      <alignment/>
    </xf>
    <xf numFmtId="1" fontId="0" fillId="4" borderId="0" xfId="0" applyNumberFormat="1" applyFill="1" applyAlignment="1">
      <alignment/>
    </xf>
    <xf numFmtId="0" fontId="4" fillId="4" borderId="14" xfId="0" applyFont="1" applyFill="1" applyBorder="1" applyAlignment="1">
      <alignment horizontal="center" vertical="center"/>
    </xf>
    <xf numFmtId="0" fontId="0" fillId="4" borderId="1" xfId="0" applyFill="1" applyBorder="1" applyAlignment="1">
      <alignment/>
    </xf>
    <xf numFmtId="0" fontId="0" fillId="4" borderId="12" xfId="0" applyFill="1" applyBorder="1" applyAlignment="1">
      <alignment/>
    </xf>
    <xf numFmtId="0" fontId="0" fillId="4" borderId="9" xfId="0" applyFill="1" applyBorder="1" applyAlignment="1">
      <alignment/>
    </xf>
    <xf numFmtId="0" fontId="0" fillId="4" borderId="15" xfId="0" applyFill="1" applyBorder="1" applyAlignment="1">
      <alignment/>
    </xf>
    <xf numFmtId="0" fontId="0" fillId="4" borderId="3" xfId="0" applyFill="1" applyBorder="1" applyAlignment="1">
      <alignment/>
    </xf>
    <xf numFmtId="0" fontId="0" fillId="5" borderId="7" xfId="0" applyFill="1" applyBorder="1" applyAlignment="1">
      <alignment/>
    </xf>
    <xf numFmtId="0" fontId="0" fillId="5" borderId="7" xfId="0" applyFill="1" applyBorder="1" applyAlignment="1">
      <alignment wrapText="1"/>
    </xf>
    <xf numFmtId="0" fontId="18" fillId="5" borderId="25" xfId="0" applyFont="1" applyFill="1" applyBorder="1" applyAlignment="1">
      <alignment horizontal="center"/>
    </xf>
    <xf numFmtId="179" fontId="0" fillId="3" borderId="36" xfId="21" applyNumberFormat="1" applyFill="1" applyBorder="1" applyAlignment="1">
      <alignment horizontal="center"/>
    </xf>
    <xf numFmtId="0" fontId="18" fillId="5" borderId="35" xfId="0" applyFont="1" applyFill="1" applyBorder="1" applyAlignment="1">
      <alignment horizontal="center"/>
    </xf>
    <xf numFmtId="10" fontId="0" fillId="3" borderId="31" xfId="21" applyNumberFormat="1" applyFont="1" applyFill="1" applyBorder="1" applyAlignment="1">
      <alignment horizontal="center"/>
    </xf>
    <xf numFmtId="164" fontId="0" fillId="3" borderId="40" xfId="0" applyNumberFormat="1" applyFill="1" applyBorder="1" applyAlignment="1">
      <alignment/>
    </xf>
    <xf numFmtId="164" fontId="0" fillId="3" borderId="41" xfId="0" applyNumberFormat="1" applyFill="1" applyBorder="1" applyAlignment="1">
      <alignment/>
    </xf>
    <xf numFmtId="0" fontId="0" fillId="3" borderId="5" xfId="0" applyFill="1" applyBorder="1" applyAlignment="1">
      <alignment/>
    </xf>
    <xf numFmtId="0" fontId="0" fillId="3" borderId="42" xfId="0" applyFill="1" applyBorder="1" applyAlignment="1">
      <alignment/>
    </xf>
    <xf numFmtId="0" fontId="0" fillId="3" borderId="6" xfId="0" applyFill="1" applyBorder="1" applyAlignment="1">
      <alignment/>
    </xf>
    <xf numFmtId="171" fontId="0" fillId="8" borderId="11" xfId="0" applyNumberFormat="1" applyFill="1" applyBorder="1" applyAlignment="1">
      <alignment horizontal="center"/>
    </xf>
    <xf numFmtId="171" fontId="0" fillId="8" borderId="10" xfId="0" applyNumberFormat="1" applyFill="1" applyBorder="1" applyAlignment="1">
      <alignment horizontal="center"/>
    </xf>
    <xf numFmtId="171" fontId="0" fillId="8" borderId="7" xfId="0" applyNumberFormat="1" applyFill="1" applyBorder="1" applyAlignment="1">
      <alignment horizontal="center"/>
    </xf>
    <xf numFmtId="2" fontId="0" fillId="3" borderId="11" xfId="0" applyNumberFormat="1" applyFont="1" applyFill="1" applyBorder="1" applyAlignment="1">
      <alignment horizontal="center"/>
    </xf>
    <xf numFmtId="1" fontId="0" fillId="3" borderId="15" xfId="0" applyNumberFormat="1" applyFill="1" applyBorder="1" applyAlignment="1">
      <alignment/>
    </xf>
    <xf numFmtId="173" fontId="0" fillId="3" borderId="15" xfId="0" applyNumberFormat="1" applyFill="1" applyBorder="1" applyAlignment="1">
      <alignment/>
    </xf>
    <xf numFmtId="164" fontId="0" fillId="3" borderId="3" xfId="0" applyNumberFormat="1" applyFill="1" applyBorder="1" applyAlignment="1">
      <alignment/>
    </xf>
    <xf numFmtId="0" fontId="0" fillId="2" borderId="7" xfId="0" applyFill="1" applyBorder="1" applyAlignment="1">
      <alignment/>
    </xf>
    <xf numFmtId="0" fontId="0" fillId="3" borderId="28" xfId="0" applyFill="1" applyBorder="1" applyAlignment="1">
      <alignment/>
    </xf>
    <xf numFmtId="164" fontId="0" fillId="3" borderId="42" xfId="0" applyNumberFormat="1" applyFill="1" applyBorder="1" applyAlignment="1">
      <alignment/>
    </xf>
    <xf numFmtId="10" fontId="0" fillId="3" borderId="42" xfId="0" applyNumberFormat="1" applyFill="1" applyBorder="1" applyAlignment="1">
      <alignment/>
    </xf>
    <xf numFmtId="3" fontId="0" fillId="3" borderId="42" xfId="0" applyNumberFormat="1" applyFill="1" applyBorder="1" applyAlignment="1">
      <alignment/>
    </xf>
    <xf numFmtId="9" fontId="0" fillId="3" borderId="42" xfId="21" applyFill="1" applyBorder="1" applyAlignment="1">
      <alignment/>
    </xf>
    <xf numFmtId="2" fontId="0" fillId="3" borderId="42" xfId="0" applyNumberFormat="1" applyFill="1" applyBorder="1" applyAlignment="1">
      <alignment/>
    </xf>
    <xf numFmtId="171" fontId="0" fillId="3" borderId="42" xfId="0" applyNumberFormat="1" applyFill="1" applyBorder="1" applyAlignment="1">
      <alignment/>
    </xf>
    <xf numFmtId="173" fontId="0" fillId="3" borderId="42" xfId="0" applyNumberFormat="1" applyFill="1" applyBorder="1" applyAlignment="1">
      <alignment/>
    </xf>
    <xf numFmtId="4" fontId="0" fillId="3" borderId="42" xfId="0" applyNumberFormat="1" applyFill="1" applyBorder="1" applyAlignment="1">
      <alignment/>
    </xf>
    <xf numFmtId="10" fontId="0" fillId="3" borderId="42" xfId="21" applyNumberFormat="1" applyFill="1" applyBorder="1" applyAlignment="1">
      <alignment/>
    </xf>
    <xf numFmtId="0" fontId="0" fillId="4" borderId="7" xfId="0" applyFill="1" applyBorder="1" applyAlignment="1">
      <alignment horizontal="center" wrapText="1"/>
    </xf>
    <xf numFmtId="4" fontId="0" fillId="4" borderId="0" xfId="0" applyNumberFormat="1" applyFill="1" applyAlignment="1">
      <alignment/>
    </xf>
    <xf numFmtId="173" fontId="22" fillId="3" borderId="0" xfId="0" applyNumberFormat="1" applyFont="1" applyFill="1" applyBorder="1" applyAlignment="1">
      <alignment horizontal="center"/>
    </xf>
    <xf numFmtId="164" fontId="0" fillId="3" borderId="43" xfId="0" applyNumberFormat="1" applyFill="1" applyBorder="1" applyAlignment="1">
      <alignment/>
    </xf>
    <xf numFmtId="0" fontId="0" fillId="3" borderId="14" xfId="0" applyFill="1" applyBorder="1" applyAlignment="1">
      <alignment/>
    </xf>
    <xf numFmtId="0" fontId="0" fillId="3" borderId="8" xfId="0" applyFill="1" applyBorder="1" applyAlignment="1">
      <alignment/>
    </xf>
    <xf numFmtId="0" fontId="0" fillId="3" borderId="26" xfId="0" applyFill="1" applyBorder="1" applyAlignment="1">
      <alignment/>
    </xf>
    <xf numFmtId="0" fontId="0" fillId="3" borderId="4" xfId="0" applyFill="1" applyBorder="1" applyAlignment="1">
      <alignment/>
    </xf>
    <xf numFmtId="0" fontId="0" fillId="2" borderId="30" xfId="0" applyFill="1" applyBorder="1" applyAlignment="1">
      <alignment/>
    </xf>
    <xf numFmtId="0" fontId="0" fillId="2" borderId="36" xfId="0" applyFill="1" applyBorder="1" applyAlignment="1">
      <alignment/>
    </xf>
    <xf numFmtId="0" fontId="1" fillId="2" borderId="30" xfId="0" applyFont="1" applyFill="1" applyBorder="1" applyAlignment="1">
      <alignment/>
    </xf>
    <xf numFmtId="0" fontId="1" fillId="2" borderId="36" xfId="0" applyFont="1" applyFill="1" applyBorder="1" applyAlignment="1">
      <alignment/>
    </xf>
    <xf numFmtId="0" fontId="1" fillId="2" borderId="25" xfId="0" applyFont="1" applyFill="1" applyBorder="1" applyAlignment="1">
      <alignment/>
    </xf>
    <xf numFmtId="0" fontId="1" fillId="2" borderId="13" xfId="0" applyFont="1" applyFill="1" applyBorder="1" applyAlignment="1">
      <alignment/>
    </xf>
    <xf numFmtId="0" fontId="9" fillId="8" borderId="14"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12"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9"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3" xfId="0" applyFont="1" applyFill="1" applyBorder="1" applyAlignment="1">
      <alignment horizontal="center" vertical="center"/>
    </xf>
    <xf numFmtId="0" fontId="4" fillId="2" borderId="14"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3" xfId="0" applyFill="1" applyBorder="1" applyAlignment="1">
      <alignment horizontal="center" vertical="center" wrapText="1"/>
    </xf>
    <xf numFmtId="0" fontId="1" fillId="8" borderId="25" xfId="0" applyFont="1" applyFill="1" applyBorder="1" applyAlignment="1">
      <alignment horizontal="center"/>
    </xf>
    <xf numFmtId="0" fontId="0" fillId="8" borderId="36" xfId="0" applyFill="1" applyBorder="1" applyAlignment="1">
      <alignment/>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2" xfId="0" applyFont="1" applyFill="1" applyBorder="1" applyAlignment="1">
      <alignment horizontal="left" vertical="center" wrapText="1"/>
    </xf>
    <xf numFmtId="0" fontId="4" fillId="8" borderId="25" xfId="0" applyFont="1" applyFill="1" applyBorder="1" applyAlignment="1">
      <alignment horizontal="center"/>
    </xf>
    <xf numFmtId="0" fontId="4" fillId="8" borderId="36" xfId="0" applyFont="1" applyFill="1" applyBorder="1" applyAlignment="1">
      <alignment/>
    </xf>
    <xf numFmtId="0" fontId="12" fillId="8" borderId="36" xfId="0" applyFont="1" applyFill="1" applyBorder="1" applyAlignment="1">
      <alignment/>
    </xf>
    <xf numFmtId="1" fontId="3" fillId="3" borderId="0" xfId="0" applyNumberFormat="1" applyFont="1" applyFill="1" applyBorder="1" applyAlignment="1">
      <alignment horizontal="right" wrapText="1"/>
    </xf>
    <xf numFmtId="0" fontId="1" fillId="0" borderId="0" xfId="0" applyFont="1" applyBorder="1" applyAlignment="1">
      <alignment horizontal="right" wrapText="1"/>
    </xf>
    <xf numFmtId="164" fontId="8" fillId="3" borderId="0" xfId="0" applyNumberFormat="1" applyFont="1" applyFill="1" applyBorder="1" applyAlignment="1">
      <alignment horizontal="center"/>
    </xf>
    <xf numFmtId="0" fontId="0" fillId="0" borderId="2" xfId="0" applyBorder="1" applyAlignment="1">
      <alignment/>
    </xf>
    <xf numFmtId="0" fontId="8" fillId="3" borderId="9" xfId="0" applyFont="1" applyFill="1" applyBorder="1" applyAlignment="1">
      <alignment wrapText="1"/>
    </xf>
    <xf numFmtId="0" fontId="8" fillId="3" borderId="15" xfId="0" applyFont="1" applyFill="1" applyBorder="1" applyAlignment="1">
      <alignment wrapText="1"/>
    </xf>
    <xf numFmtId="0" fontId="8" fillId="3" borderId="3"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HSF2\2010-11%20Determination%20workings\Determination\2010-11%20FINAL%20DETERMINATION\2010-11%20%20determination-%20V5-macro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our Authority"/>
      <sheetName val="Cover"/>
      <sheetName val="Schedules"/>
      <sheetName val="Rent Com"/>
      <sheetName val="Man Com"/>
      <sheetName val="Mnt Com"/>
      <sheetName val="MRA Com"/>
      <sheetName val="Debt Com"/>
      <sheetName val="MRA Brought Forward"/>
      <sheetName val="Rebasing"/>
      <sheetName val="BCIS-ACA"/>
      <sheetName val="SchedData"/>
      <sheetName val="Com Data"/>
      <sheetName val="Form Rent"/>
      <sheetName val="GL Rent"/>
      <sheetName val="Lim Rent"/>
      <sheetName val="Rebasing Calc"/>
      <sheetName val="Man 1-2"/>
      <sheetName val="Man 3"/>
      <sheetName val="Man 4"/>
      <sheetName val="Man 5"/>
      <sheetName val="Man 6-8"/>
      <sheetName val="Man TP-8"/>
      <sheetName val="Mnt 1"/>
      <sheetName val="Mnt 2"/>
      <sheetName val="Mnt 3"/>
      <sheetName val="Mnt 4"/>
      <sheetName val="Mnt 5-7"/>
      <sheetName val="Mnt TP"/>
      <sheetName val="Nat MRA"/>
      <sheetName val="MRA"/>
      <sheetName val="SCE (R)"/>
      <sheetName val="ALMO"/>
      <sheetName val="SCFR"/>
      <sheetName val="Interest"/>
      <sheetName val="PFI"/>
      <sheetName val="Other RE"/>
      <sheetName val="Inflation"/>
      <sheetName val="Reg Adj"/>
      <sheetName val="Crime"/>
      <sheetName val="09BD"/>
      <sheetName val="2010B1"/>
      <sheetName val="2010B2"/>
      <sheetName val="FH49IN"/>
      <sheetName val="2010BD"/>
      <sheetName val="Notes"/>
      <sheetName val="10-11 Schedules"/>
    </sheetNames>
    <sheetDataSet>
      <sheetData sheetId="14">
        <row r="10">
          <cell r="O10">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tabColor indexed="9"/>
  </sheetPr>
  <dimension ref="D4:K99"/>
  <sheetViews>
    <sheetView tabSelected="1" workbookViewId="0" topLeftCell="A1">
      <selection activeCell="D10" sqref="D10:K13"/>
    </sheetView>
  </sheetViews>
  <sheetFormatPr defaultColWidth="9.140625" defaultRowHeight="12.75"/>
  <cols>
    <col min="1" max="16384" width="9.140625" style="3" customWidth="1"/>
  </cols>
  <sheetData>
    <row r="3" ht="13.5" thickBot="1"/>
    <row r="4" spans="4:11" ht="15.75">
      <c r="D4" s="51" t="s">
        <v>277</v>
      </c>
      <c r="E4" s="1"/>
      <c r="F4" s="1"/>
      <c r="G4" s="1"/>
      <c r="H4" s="1"/>
      <c r="I4" s="1"/>
      <c r="J4" s="1"/>
      <c r="K4" s="52"/>
    </row>
    <row r="5" spans="4:11" ht="15.75">
      <c r="D5" s="27"/>
      <c r="E5" s="53"/>
      <c r="F5" s="53"/>
      <c r="G5" s="53"/>
      <c r="H5" s="53"/>
      <c r="I5" s="53"/>
      <c r="J5" s="53"/>
      <c r="K5" s="54"/>
    </row>
    <row r="6" spans="4:11" ht="16.5" thickBot="1">
      <c r="D6" s="28" t="s">
        <v>811</v>
      </c>
      <c r="E6" s="55"/>
      <c r="F6" s="55"/>
      <c r="G6" s="55"/>
      <c r="H6" s="55"/>
      <c r="I6" s="55"/>
      <c r="J6" s="55"/>
      <c r="K6" s="56"/>
    </row>
    <row r="9" ht="13.5" thickBot="1"/>
    <row r="10" spans="4:11" ht="12.75">
      <c r="D10" s="507" t="s">
        <v>690</v>
      </c>
      <c r="E10" s="508"/>
      <c r="F10" s="508"/>
      <c r="G10" s="508"/>
      <c r="H10" s="508"/>
      <c r="I10" s="508"/>
      <c r="J10" s="508"/>
      <c r="K10" s="509"/>
    </row>
    <row r="11" spans="4:11" ht="12.75">
      <c r="D11" s="510"/>
      <c r="E11" s="511"/>
      <c r="F11" s="511"/>
      <c r="G11" s="511"/>
      <c r="H11" s="511"/>
      <c r="I11" s="511"/>
      <c r="J11" s="511"/>
      <c r="K11" s="512"/>
    </row>
    <row r="12" spans="4:11" ht="12.75">
      <c r="D12" s="510"/>
      <c r="E12" s="511"/>
      <c r="F12" s="511"/>
      <c r="G12" s="511"/>
      <c r="H12" s="511"/>
      <c r="I12" s="511"/>
      <c r="J12" s="511"/>
      <c r="K12" s="512"/>
    </row>
    <row r="13" spans="4:11" ht="13.5" thickBot="1">
      <c r="D13" s="513"/>
      <c r="E13" s="514"/>
      <c r="F13" s="514"/>
      <c r="G13" s="514"/>
      <c r="H13" s="514"/>
      <c r="I13" s="514"/>
      <c r="J13" s="514"/>
      <c r="K13" s="51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mergeCells count="1">
    <mergeCell ref="D10:K13"/>
  </mergeCells>
  <dataValidations count="1">
    <dataValidation type="list" allowBlank="1" showInputMessage="1" showErrorMessage="1" sqref="D10:K13">
      <formula1>LAnames</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2">
    <tabColor indexed="16"/>
  </sheetPr>
  <dimension ref="B2:J99"/>
  <sheetViews>
    <sheetView workbookViewId="0" topLeftCell="A1">
      <selection activeCell="I40" sqref="I40"/>
    </sheetView>
  </sheetViews>
  <sheetFormatPr defaultColWidth="9.140625" defaultRowHeight="12.75"/>
  <cols>
    <col min="1" max="1" width="9.140625" style="3" customWidth="1"/>
    <col min="2" max="2" width="19.57421875" style="3" customWidth="1"/>
    <col min="3" max="3" width="14.00390625" style="3" customWidth="1"/>
    <col min="4" max="6" width="9.140625" style="3" customWidth="1"/>
    <col min="7" max="7" width="12.7109375" style="3" customWidth="1"/>
    <col min="8" max="8" width="9.140625" style="3" customWidth="1"/>
    <col min="9" max="9" width="43.140625" style="3" bestFit="1" customWidth="1"/>
    <col min="10" max="16384" width="9.140625" style="3" customWidth="1"/>
  </cols>
  <sheetData>
    <row r="1" ht="13.5" thickBot="1"/>
    <row r="2" spans="2:10" ht="18">
      <c r="B2" s="22" t="s">
        <v>196</v>
      </c>
      <c r="C2" s="61"/>
      <c r="D2" s="61"/>
      <c r="E2" s="61"/>
      <c r="F2" s="61"/>
      <c r="G2" s="62"/>
      <c r="I2" s="22" t="s">
        <v>197</v>
      </c>
      <c r="J2" s="62"/>
    </row>
    <row r="3" spans="2:10" ht="18">
      <c r="B3" s="63"/>
      <c r="C3" s="64"/>
      <c r="D3" s="64"/>
      <c r="E3" s="64"/>
      <c r="F3" s="64"/>
      <c r="G3" s="65"/>
      <c r="I3" s="63"/>
      <c r="J3" s="65"/>
    </row>
    <row r="4" spans="2:10" ht="18.75" thickBot="1">
      <c r="B4" s="63" t="s">
        <v>198</v>
      </c>
      <c r="C4" s="64"/>
      <c r="D4" s="64"/>
      <c r="E4" s="64"/>
      <c r="F4" s="64"/>
      <c r="G4" s="65"/>
      <c r="I4" s="66" t="s">
        <v>199</v>
      </c>
      <c r="J4" s="68"/>
    </row>
    <row r="5" spans="2:7" ht="18.75" thickBot="1">
      <c r="B5" s="66" t="s">
        <v>213</v>
      </c>
      <c r="C5" s="67"/>
      <c r="D5" s="67"/>
      <c r="E5" s="67"/>
      <c r="F5" s="67"/>
      <c r="G5" s="68"/>
    </row>
    <row r="6" ht="12.75"/>
    <row r="7" ht="12.75"/>
    <row r="8" ht="12.75"/>
    <row r="9" ht="12.75"/>
    <row r="10" ht="12.75"/>
    <row r="11" ht="12.75"/>
    <row r="12" ht="12.75"/>
    <row r="13" ht="13.5" thickBot="1"/>
    <row r="14" spans="2:10" ht="63.75" thickBot="1">
      <c r="B14" s="18" t="s">
        <v>200</v>
      </c>
      <c r="C14" s="18" t="s">
        <v>201</v>
      </c>
      <c r="D14" s="60">
        <v>39934</v>
      </c>
      <c r="E14" s="60">
        <v>40391</v>
      </c>
      <c r="F14" s="60">
        <v>40664</v>
      </c>
      <c r="G14" s="18" t="s">
        <v>176</v>
      </c>
      <c r="I14" s="18" t="s">
        <v>74</v>
      </c>
      <c r="J14" s="18" t="s">
        <v>667</v>
      </c>
    </row>
    <row r="15" spans="2:10" ht="12.75">
      <c r="B15" s="57" t="s">
        <v>161</v>
      </c>
      <c r="C15" s="57" t="s">
        <v>202</v>
      </c>
      <c r="D15" s="57">
        <v>0.96</v>
      </c>
      <c r="E15" s="57">
        <v>0.91</v>
      </c>
      <c r="F15" s="57">
        <v>0.93</v>
      </c>
      <c r="G15" s="57">
        <f>AVERAGE(D15:F15)</f>
        <v>0.9333333333333335</v>
      </c>
      <c r="I15" s="57" t="s">
        <v>721</v>
      </c>
      <c r="J15" s="476">
        <v>1.3607</v>
      </c>
    </row>
    <row r="16" spans="2:10" ht="12.75">
      <c r="B16" s="58" t="s">
        <v>104</v>
      </c>
      <c r="C16" s="58"/>
      <c r="D16" s="58">
        <v>0.99</v>
      </c>
      <c r="E16" s="58">
        <v>0.95</v>
      </c>
      <c r="F16" s="58">
        <v>0.95</v>
      </c>
      <c r="G16" s="58">
        <f aca="true" t="shared" si="0" ref="G16:G61">AVERAGE(D16:F16)</f>
        <v>0.9633333333333333</v>
      </c>
      <c r="I16" s="58" t="s">
        <v>126</v>
      </c>
      <c r="J16" s="475">
        <v>1.1982</v>
      </c>
    </row>
    <row r="17" spans="2:10" ht="12.75">
      <c r="B17" s="58" t="s">
        <v>139</v>
      </c>
      <c r="C17" s="58"/>
      <c r="D17" s="58">
        <v>0.95</v>
      </c>
      <c r="E17" s="58">
        <v>0.92</v>
      </c>
      <c r="F17" s="58">
        <v>0.93</v>
      </c>
      <c r="G17" s="58">
        <f t="shared" si="0"/>
        <v>0.9333333333333335</v>
      </c>
      <c r="I17" s="72" t="s">
        <v>102</v>
      </c>
      <c r="J17" s="475">
        <v>1.1108</v>
      </c>
    </row>
    <row r="18" spans="2:10" ht="12.75">
      <c r="B18" s="58" t="s">
        <v>154</v>
      </c>
      <c r="C18" s="58"/>
      <c r="D18" s="58">
        <v>0.99</v>
      </c>
      <c r="E18" s="58">
        <v>0.95</v>
      </c>
      <c r="F18" s="58">
        <v>0.96</v>
      </c>
      <c r="G18" s="58">
        <f t="shared" si="0"/>
        <v>0.9666666666666667</v>
      </c>
      <c r="I18" s="72" t="s">
        <v>136</v>
      </c>
      <c r="J18" s="475">
        <v>1.104</v>
      </c>
    </row>
    <row r="19" spans="2:10" ht="12.75">
      <c r="B19" s="58" t="s">
        <v>144</v>
      </c>
      <c r="C19" s="58"/>
      <c r="D19" s="58">
        <v>0.95</v>
      </c>
      <c r="E19" s="58">
        <v>0.92</v>
      </c>
      <c r="F19" s="58">
        <v>0.93</v>
      </c>
      <c r="G19" s="58">
        <f t="shared" si="0"/>
        <v>0.9333333333333335</v>
      </c>
      <c r="I19" s="72" t="s">
        <v>156</v>
      </c>
      <c r="J19" s="475">
        <v>1.0836</v>
      </c>
    </row>
    <row r="20" spans="2:10" ht="12.75">
      <c r="B20" s="58" t="s">
        <v>141</v>
      </c>
      <c r="C20" s="58" t="s">
        <v>203</v>
      </c>
      <c r="D20" s="58">
        <v>0.94</v>
      </c>
      <c r="E20" s="58">
        <v>0.9</v>
      </c>
      <c r="F20" s="58">
        <v>0.94</v>
      </c>
      <c r="G20" s="58">
        <f t="shared" si="0"/>
        <v>0.9266666666666666</v>
      </c>
      <c r="I20" s="72" t="s">
        <v>137</v>
      </c>
      <c r="J20" s="475">
        <v>1.0716</v>
      </c>
    </row>
    <row r="21" spans="2:10" ht="12.75">
      <c r="B21" s="58" t="s">
        <v>133</v>
      </c>
      <c r="C21" s="58"/>
      <c r="D21" s="58">
        <v>0.98</v>
      </c>
      <c r="E21" s="58">
        <v>0.94</v>
      </c>
      <c r="F21" s="58">
        <v>0.99</v>
      </c>
      <c r="G21" s="58">
        <f t="shared" si="0"/>
        <v>0.9700000000000001</v>
      </c>
      <c r="I21" s="72" t="s">
        <v>100</v>
      </c>
      <c r="J21" s="475">
        <v>1.0703</v>
      </c>
    </row>
    <row r="22" spans="2:10" ht="12.75">
      <c r="B22" s="58" t="s">
        <v>103</v>
      </c>
      <c r="C22" s="58"/>
      <c r="D22" s="58">
        <v>0.95</v>
      </c>
      <c r="E22" s="58">
        <v>0.92</v>
      </c>
      <c r="F22" s="58">
        <v>0.96</v>
      </c>
      <c r="G22" s="58">
        <f t="shared" si="0"/>
        <v>0.9433333333333334</v>
      </c>
      <c r="I22" s="72" t="s">
        <v>150</v>
      </c>
      <c r="J22" s="475">
        <v>1.08</v>
      </c>
    </row>
    <row r="23" spans="2:10" ht="12.75">
      <c r="B23" s="58" t="s">
        <v>148</v>
      </c>
      <c r="C23" s="58"/>
      <c r="D23" s="58">
        <v>0.94</v>
      </c>
      <c r="E23" s="58">
        <v>0.9</v>
      </c>
      <c r="F23" s="58">
        <v>0.95</v>
      </c>
      <c r="G23" s="58">
        <f t="shared" si="0"/>
        <v>0.93</v>
      </c>
      <c r="I23" s="58" t="s">
        <v>155</v>
      </c>
      <c r="J23" s="475">
        <v>1.0486</v>
      </c>
    </row>
    <row r="24" spans="2:10" ht="12.75">
      <c r="B24" s="58" t="s">
        <v>117</v>
      </c>
      <c r="C24" s="58" t="s">
        <v>204</v>
      </c>
      <c r="D24" s="58">
        <v>0.9</v>
      </c>
      <c r="E24" s="58">
        <v>0.93</v>
      </c>
      <c r="F24" s="58">
        <v>0.91</v>
      </c>
      <c r="G24" s="58">
        <f t="shared" si="0"/>
        <v>0.9133333333333334</v>
      </c>
      <c r="I24" s="72" t="s">
        <v>105</v>
      </c>
      <c r="J24" s="475">
        <v>1.072</v>
      </c>
    </row>
    <row r="25" spans="2:10" ht="12.75">
      <c r="B25" s="58" t="s">
        <v>115</v>
      </c>
      <c r="C25" s="58"/>
      <c r="D25" s="58">
        <v>0.9</v>
      </c>
      <c r="E25" s="58">
        <v>0.92</v>
      </c>
      <c r="F25" s="58">
        <v>0.91</v>
      </c>
      <c r="G25" s="58">
        <f t="shared" si="0"/>
        <v>0.91</v>
      </c>
      <c r="I25" s="72" t="s">
        <v>128</v>
      </c>
      <c r="J25" s="475">
        <v>1.0303</v>
      </c>
    </row>
    <row r="26" spans="2:10" ht="12.75">
      <c r="B26" s="58" t="s">
        <v>149</v>
      </c>
      <c r="C26" s="58"/>
      <c r="D26" s="58">
        <v>0.89</v>
      </c>
      <c r="E26" s="58">
        <v>0.91</v>
      </c>
      <c r="F26" s="58">
        <v>0.9</v>
      </c>
      <c r="G26" s="58">
        <f t="shared" si="0"/>
        <v>0.9</v>
      </c>
      <c r="I26" s="58" t="s">
        <v>124</v>
      </c>
      <c r="J26" s="475">
        <v>1.0332</v>
      </c>
    </row>
    <row r="27" spans="2:10" ht="12.75">
      <c r="B27" s="58" t="s">
        <v>134</v>
      </c>
      <c r="C27" s="58"/>
      <c r="D27" s="58">
        <v>0.95</v>
      </c>
      <c r="E27" s="58">
        <v>0.97</v>
      </c>
      <c r="F27" s="58">
        <v>0.96</v>
      </c>
      <c r="G27" s="58">
        <f t="shared" si="0"/>
        <v>0.96</v>
      </c>
      <c r="I27" s="72" t="s">
        <v>142</v>
      </c>
      <c r="J27" s="475">
        <v>1.0362</v>
      </c>
    </row>
    <row r="28" spans="2:10" ht="12.75">
      <c r="B28" s="58" t="s">
        <v>96</v>
      </c>
      <c r="C28" s="58"/>
      <c r="D28" s="58">
        <v>0.89</v>
      </c>
      <c r="E28" s="58">
        <v>0.91</v>
      </c>
      <c r="F28" s="58">
        <v>0.9</v>
      </c>
      <c r="G28" s="58">
        <f t="shared" si="0"/>
        <v>0.9</v>
      </c>
      <c r="I28" s="72" t="s">
        <v>93</v>
      </c>
      <c r="J28" s="475">
        <v>1</v>
      </c>
    </row>
    <row r="29" spans="2:10" ht="12.75">
      <c r="B29" s="58" t="s">
        <v>125</v>
      </c>
      <c r="C29" s="58" t="s">
        <v>205</v>
      </c>
      <c r="D29" s="58">
        <v>0.97</v>
      </c>
      <c r="E29" s="58">
        <v>0.99</v>
      </c>
      <c r="F29" s="58">
        <v>1.01</v>
      </c>
      <c r="G29" s="58">
        <f t="shared" si="0"/>
        <v>0.9899999999999999</v>
      </c>
      <c r="I29" s="58" t="s">
        <v>162</v>
      </c>
      <c r="J29" s="475">
        <v>1.0206</v>
      </c>
    </row>
    <row r="30" spans="2:10" ht="12.75">
      <c r="B30" s="58" t="s">
        <v>145</v>
      </c>
      <c r="C30" s="58"/>
      <c r="D30" s="58">
        <v>0.92</v>
      </c>
      <c r="E30" s="58">
        <v>0.94</v>
      </c>
      <c r="F30" s="58">
        <v>0.96</v>
      </c>
      <c r="G30" s="58">
        <f t="shared" si="0"/>
        <v>0.94</v>
      </c>
      <c r="I30" s="58" t="s">
        <v>152</v>
      </c>
      <c r="J30" s="475">
        <v>1.0155</v>
      </c>
    </row>
    <row r="31" spans="2:10" ht="12.75">
      <c r="B31" s="58" t="s">
        <v>99</v>
      </c>
      <c r="C31" s="58"/>
      <c r="D31" s="58">
        <v>0.94</v>
      </c>
      <c r="E31" s="58">
        <v>0.95</v>
      </c>
      <c r="F31" s="58">
        <v>0.98</v>
      </c>
      <c r="G31" s="58">
        <f t="shared" si="0"/>
        <v>0.9566666666666667</v>
      </c>
      <c r="I31" s="72" t="s">
        <v>134</v>
      </c>
      <c r="J31" s="475">
        <v>1.0093</v>
      </c>
    </row>
    <row r="32" spans="2:10" ht="12.75">
      <c r="B32" s="58" t="s">
        <v>129</v>
      </c>
      <c r="C32" s="58" t="s">
        <v>206</v>
      </c>
      <c r="D32" s="58">
        <v>1.03</v>
      </c>
      <c r="E32" s="58">
        <v>1.04</v>
      </c>
      <c r="F32" s="58">
        <v>1.03</v>
      </c>
      <c r="G32" s="58">
        <f t="shared" si="0"/>
        <v>1.0333333333333334</v>
      </c>
      <c r="I32" s="58" t="s">
        <v>123</v>
      </c>
      <c r="J32" s="475">
        <v>1.0359</v>
      </c>
    </row>
    <row r="33" spans="2:10" ht="12.75">
      <c r="B33" s="58" t="s">
        <v>112</v>
      </c>
      <c r="C33" s="58"/>
      <c r="D33" s="58">
        <v>1.03</v>
      </c>
      <c r="E33" s="58">
        <v>1.05</v>
      </c>
      <c r="F33" s="58">
        <v>1.04</v>
      </c>
      <c r="G33" s="58">
        <f t="shared" si="0"/>
        <v>1.04</v>
      </c>
      <c r="I33" s="72" t="s">
        <v>113</v>
      </c>
      <c r="J33" s="475">
        <v>1.0076</v>
      </c>
    </row>
    <row r="34" spans="2:10" ht="12.75">
      <c r="B34" s="58" t="s">
        <v>138</v>
      </c>
      <c r="C34" s="58"/>
      <c r="D34" s="58">
        <v>1.08</v>
      </c>
      <c r="E34" s="58">
        <v>1.09</v>
      </c>
      <c r="F34" s="58">
        <v>1.08</v>
      </c>
      <c r="G34" s="58">
        <f t="shared" si="0"/>
        <v>1.0833333333333333</v>
      </c>
      <c r="I34" s="58" t="s">
        <v>97</v>
      </c>
      <c r="J34" s="475">
        <v>1.0056</v>
      </c>
    </row>
    <row r="35" spans="2:10" ht="12.75">
      <c r="B35" s="58" t="s">
        <v>98</v>
      </c>
      <c r="C35" s="58"/>
      <c r="D35" s="58">
        <v>1.06</v>
      </c>
      <c r="E35" s="58">
        <v>1.07</v>
      </c>
      <c r="F35" s="58">
        <v>1.07</v>
      </c>
      <c r="G35" s="58">
        <f t="shared" si="0"/>
        <v>1.0666666666666667</v>
      </c>
      <c r="I35" s="72" t="s">
        <v>131</v>
      </c>
      <c r="J35" s="475">
        <v>1.0136</v>
      </c>
    </row>
    <row r="36" spans="2:10" ht="12.75">
      <c r="B36" s="58" t="s">
        <v>146</v>
      </c>
      <c r="C36" s="58"/>
      <c r="D36" s="58">
        <v>1.11</v>
      </c>
      <c r="E36" s="58">
        <v>1.12</v>
      </c>
      <c r="F36" s="58">
        <v>1.12</v>
      </c>
      <c r="G36" s="58">
        <f t="shared" si="0"/>
        <v>1.116666666666667</v>
      </c>
      <c r="I36" s="58" t="s">
        <v>132</v>
      </c>
      <c r="J36" s="475">
        <v>1.0139</v>
      </c>
    </row>
    <row r="37" spans="2:10" ht="12.75">
      <c r="B37" s="58" t="s">
        <v>122</v>
      </c>
      <c r="C37" s="58"/>
      <c r="D37" s="58">
        <v>1.07</v>
      </c>
      <c r="E37" s="58">
        <v>1.08</v>
      </c>
      <c r="F37" s="58">
        <v>1.08</v>
      </c>
      <c r="G37" s="58">
        <f t="shared" si="0"/>
        <v>1.0766666666666669</v>
      </c>
      <c r="I37" s="58" t="s">
        <v>118</v>
      </c>
      <c r="J37" s="475">
        <v>1.0168</v>
      </c>
    </row>
    <row r="38" spans="2:10" ht="12.75">
      <c r="B38" s="58" t="s">
        <v>94</v>
      </c>
      <c r="C38" s="58"/>
      <c r="D38" s="58">
        <v>1.06</v>
      </c>
      <c r="E38" s="58">
        <v>1.07</v>
      </c>
      <c r="F38" s="58">
        <v>1.06</v>
      </c>
      <c r="G38" s="58">
        <f t="shared" si="0"/>
        <v>1.0633333333333332</v>
      </c>
      <c r="I38" s="58" t="s">
        <v>120</v>
      </c>
      <c r="J38" s="475">
        <v>1.0076</v>
      </c>
    </row>
    <row r="39" spans="2:10" ht="12.75">
      <c r="B39" s="58" t="s">
        <v>157</v>
      </c>
      <c r="C39" s="58"/>
      <c r="D39" s="58">
        <v>1.06</v>
      </c>
      <c r="E39" s="58">
        <v>1.07</v>
      </c>
      <c r="F39" s="58">
        <v>1.06</v>
      </c>
      <c r="G39" s="58">
        <f t="shared" si="0"/>
        <v>1.0633333333333332</v>
      </c>
      <c r="I39" s="72" t="s">
        <v>148</v>
      </c>
      <c r="J39" s="475">
        <v>1.0009</v>
      </c>
    </row>
    <row r="40" spans="2:10" ht="12.75">
      <c r="B40" s="58" t="s">
        <v>151</v>
      </c>
      <c r="C40" s="58"/>
      <c r="D40" s="58">
        <v>1.04</v>
      </c>
      <c r="E40" s="58">
        <v>1.05</v>
      </c>
      <c r="F40" s="58">
        <v>1.05</v>
      </c>
      <c r="G40" s="58">
        <f t="shared" si="0"/>
        <v>1.0466666666666666</v>
      </c>
      <c r="I40" s="72" t="s">
        <v>121</v>
      </c>
      <c r="J40" s="475">
        <v>1</v>
      </c>
    </row>
    <row r="41" spans="2:10" ht="12.75">
      <c r="B41" s="58" t="s">
        <v>143</v>
      </c>
      <c r="C41" s="58"/>
      <c r="D41" s="58">
        <v>1.02</v>
      </c>
      <c r="E41" s="58">
        <v>1.03</v>
      </c>
      <c r="F41" s="58">
        <v>1.03</v>
      </c>
      <c r="G41" s="58">
        <f t="shared" si="0"/>
        <v>1.0266666666666666</v>
      </c>
      <c r="I41" s="58" t="s">
        <v>95</v>
      </c>
      <c r="J41" s="475">
        <v>1</v>
      </c>
    </row>
    <row r="42" spans="2:10" ht="12.75">
      <c r="B42" s="58" t="s">
        <v>207</v>
      </c>
      <c r="C42" s="58"/>
      <c r="D42" s="58">
        <v>1.03</v>
      </c>
      <c r="E42" s="58">
        <v>1.04</v>
      </c>
      <c r="F42" s="58">
        <v>1.03</v>
      </c>
      <c r="G42" s="58">
        <f t="shared" si="0"/>
        <v>1.0333333333333334</v>
      </c>
      <c r="I42" s="478" t="s">
        <v>147</v>
      </c>
      <c r="J42" s="475">
        <v>1.5</v>
      </c>
    </row>
    <row r="43" spans="2:10" ht="13.5" thickBot="1">
      <c r="B43" s="58" t="s">
        <v>155</v>
      </c>
      <c r="C43" s="58"/>
      <c r="D43" s="58">
        <v>1</v>
      </c>
      <c r="E43" s="58">
        <v>1.02</v>
      </c>
      <c r="F43" s="58">
        <v>1.02</v>
      </c>
      <c r="G43" s="58">
        <f t="shared" si="0"/>
        <v>1.0133333333333334</v>
      </c>
      <c r="I43" s="59" t="s">
        <v>130</v>
      </c>
      <c r="J43" s="477">
        <v>1</v>
      </c>
    </row>
    <row r="44" spans="2:7" ht="12.75">
      <c r="B44" s="58" t="s">
        <v>126</v>
      </c>
      <c r="C44" s="58" t="s">
        <v>208</v>
      </c>
      <c r="D44" s="58">
        <v>1.21</v>
      </c>
      <c r="E44" s="58">
        <v>1.22</v>
      </c>
      <c r="F44" s="58">
        <v>1.15</v>
      </c>
      <c r="G44" s="58">
        <f t="shared" si="0"/>
        <v>1.1933333333333331</v>
      </c>
    </row>
    <row r="45" spans="2:7" ht="12.75">
      <c r="B45" s="58" t="s">
        <v>101</v>
      </c>
      <c r="C45" s="58"/>
      <c r="D45" s="58">
        <v>1.16</v>
      </c>
      <c r="E45" s="58">
        <v>1.17</v>
      </c>
      <c r="F45" s="58">
        <v>1.1</v>
      </c>
      <c r="G45" s="58">
        <f t="shared" si="0"/>
        <v>1.1433333333333333</v>
      </c>
    </row>
    <row r="46" spans="2:7" ht="12.75">
      <c r="B46" s="58" t="s">
        <v>123</v>
      </c>
      <c r="C46" s="58" t="s">
        <v>209</v>
      </c>
      <c r="D46" s="58">
        <v>1.01</v>
      </c>
      <c r="E46" s="58">
        <v>1.04</v>
      </c>
      <c r="F46" s="58">
        <v>1.07</v>
      </c>
      <c r="G46" s="58">
        <f t="shared" si="0"/>
        <v>1.04</v>
      </c>
    </row>
    <row r="47" spans="2:7" ht="12.75">
      <c r="B47" s="58" t="s">
        <v>135</v>
      </c>
      <c r="C47" s="58"/>
      <c r="D47" s="58">
        <v>0.99</v>
      </c>
      <c r="E47" s="58">
        <v>1.02</v>
      </c>
      <c r="F47" s="58">
        <v>1.05</v>
      </c>
      <c r="G47" s="58">
        <f t="shared" si="0"/>
        <v>1.0199999999999998</v>
      </c>
    </row>
    <row r="48" spans="2:7" ht="12.75">
      <c r="B48" s="58" t="s">
        <v>140</v>
      </c>
      <c r="C48" s="58"/>
      <c r="D48" s="58">
        <v>0.99</v>
      </c>
      <c r="E48" s="58">
        <v>1.01</v>
      </c>
      <c r="F48" s="58">
        <v>1.04</v>
      </c>
      <c r="G48" s="58">
        <f t="shared" si="0"/>
        <v>1.0133333333333334</v>
      </c>
    </row>
    <row r="49" spans="2:7" ht="12.75">
      <c r="B49" s="58" t="s">
        <v>119</v>
      </c>
      <c r="C49" s="58"/>
      <c r="D49" s="58">
        <v>1.02</v>
      </c>
      <c r="E49" s="58">
        <v>1.04</v>
      </c>
      <c r="F49" s="58">
        <v>1.07</v>
      </c>
      <c r="G49" s="58">
        <f t="shared" si="0"/>
        <v>1.0433333333333332</v>
      </c>
    </row>
    <row r="50" spans="2:7" ht="12.75">
      <c r="B50" s="58" t="s">
        <v>131</v>
      </c>
      <c r="C50" s="58"/>
      <c r="D50" s="58">
        <v>1.01</v>
      </c>
      <c r="E50" s="58">
        <v>1.03</v>
      </c>
      <c r="F50" s="58">
        <v>1.07</v>
      </c>
      <c r="G50" s="58">
        <f t="shared" si="0"/>
        <v>1.0366666666666668</v>
      </c>
    </row>
    <row r="51" spans="2:7" ht="12.75">
      <c r="B51" s="58" t="s">
        <v>159</v>
      </c>
      <c r="C51" s="58"/>
      <c r="D51" s="58">
        <v>0.98</v>
      </c>
      <c r="E51" s="58">
        <v>1</v>
      </c>
      <c r="F51" s="58">
        <v>1.03</v>
      </c>
      <c r="G51" s="58">
        <f t="shared" si="0"/>
        <v>1.0033333333333332</v>
      </c>
    </row>
    <row r="52" spans="2:7" ht="12.75">
      <c r="B52" s="58" t="s">
        <v>162</v>
      </c>
      <c r="C52" s="58"/>
      <c r="D52" s="58">
        <v>1</v>
      </c>
      <c r="E52" s="58">
        <v>1.03</v>
      </c>
      <c r="F52" s="58">
        <v>1.06</v>
      </c>
      <c r="G52" s="58">
        <f t="shared" si="0"/>
        <v>1.03</v>
      </c>
    </row>
    <row r="53" spans="2:7" ht="12.75">
      <c r="B53" s="58" t="s">
        <v>158</v>
      </c>
      <c r="C53" s="58" t="s">
        <v>210</v>
      </c>
      <c r="D53" s="58">
        <v>0.93</v>
      </c>
      <c r="E53" s="58">
        <v>0.95</v>
      </c>
      <c r="F53" s="58">
        <v>0.97</v>
      </c>
      <c r="G53" s="58">
        <f t="shared" si="0"/>
        <v>0.9499999999999998</v>
      </c>
    </row>
    <row r="54" spans="2:7" ht="12.75">
      <c r="B54" s="58" t="s">
        <v>160</v>
      </c>
      <c r="C54" s="58"/>
      <c r="D54" s="58">
        <v>0.92</v>
      </c>
      <c r="E54" s="58">
        <v>0.94</v>
      </c>
      <c r="F54" s="58">
        <v>0.96</v>
      </c>
      <c r="G54" s="58">
        <f t="shared" si="0"/>
        <v>0.94</v>
      </c>
    </row>
    <row r="55" spans="2:7" ht="12.75">
      <c r="B55" s="58" t="s">
        <v>127</v>
      </c>
      <c r="C55" s="58"/>
      <c r="D55" s="58">
        <v>0.91</v>
      </c>
      <c r="E55" s="58">
        <v>0.93</v>
      </c>
      <c r="F55" s="58">
        <v>0.95</v>
      </c>
      <c r="G55" s="58">
        <f t="shared" si="0"/>
        <v>0.93</v>
      </c>
    </row>
    <row r="56" spans="2:7" ht="12.75">
      <c r="B56" s="58" t="s">
        <v>153</v>
      </c>
      <c r="C56" s="58"/>
      <c r="D56" s="58">
        <v>0.95</v>
      </c>
      <c r="E56" s="58">
        <v>0.97</v>
      </c>
      <c r="F56" s="58">
        <v>0.99</v>
      </c>
      <c r="G56" s="58">
        <f t="shared" si="0"/>
        <v>0.9700000000000001</v>
      </c>
    </row>
    <row r="57" spans="2:7" ht="12.75">
      <c r="B57" s="58" t="s">
        <v>114</v>
      </c>
      <c r="C57" s="58"/>
      <c r="D57" s="58">
        <v>0.94</v>
      </c>
      <c r="E57" s="58">
        <v>0.95</v>
      </c>
      <c r="F57" s="58">
        <v>0.97</v>
      </c>
      <c r="G57" s="58">
        <f t="shared" si="0"/>
        <v>0.9533333333333333</v>
      </c>
    </row>
    <row r="58" spans="2:7" ht="12.75">
      <c r="B58" s="58" t="s">
        <v>132</v>
      </c>
      <c r="C58" s="58" t="s">
        <v>211</v>
      </c>
      <c r="D58" s="58">
        <v>0.91</v>
      </c>
      <c r="E58" s="58">
        <v>0.91</v>
      </c>
      <c r="F58" s="58">
        <v>0.97</v>
      </c>
      <c r="G58" s="58">
        <f t="shared" si="0"/>
        <v>0.93</v>
      </c>
    </row>
    <row r="59" spans="2:7" ht="12.75">
      <c r="B59" s="58" t="s">
        <v>118</v>
      </c>
      <c r="C59" s="58"/>
      <c r="D59" s="58">
        <v>0.91</v>
      </c>
      <c r="E59" s="58">
        <v>0.92</v>
      </c>
      <c r="F59" s="58">
        <v>0.97</v>
      </c>
      <c r="G59" s="58">
        <f t="shared" si="0"/>
        <v>0.9333333333333332</v>
      </c>
    </row>
    <row r="60" spans="2:7" ht="12.75">
      <c r="B60" s="58" t="s">
        <v>116</v>
      </c>
      <c r="C60" s="58"/>
      <c r="D60" s="58">
        <v>0.91</v>
      </c>
      <c r="E60" s="58">
        <v>0.91</v>
      </c>
      <c r="F60" s="58">
        <v>0.97</v>
      </c>
      <c r="G60" s="58">
        <f t="shared" si="0"/>
        <v>0.93</v>
      </c>
    </row>
    <row r="61" spans="2:7" ht="13.5" thickBot="1">
      <c r="B61" s="59" t="s">
        <v>212</v>
      </c>
      <c r="C61" s="59"/>
      <c r="D61" s="59">
        <v>0.92</v>
      </c>
      <c r="E61" s="59">
        <v>0.92</v>
      </c>
      <c r="F61" s="59">
        <v>0.97</v>
      </c>
      <c r="G61" s="59">
        <f t="shared" si="0"/>
        <v>0.9366666666666666</v>
      </c>
    </row>
    <row r="93" spans="5:7" ht="12.75">
      <c r="E93" s="71"/>
      <c r="F93" s="71"/>
      <c r="G93" s="75"/>
    </row>
    <row r="94" spans="5:7" ht="12.75">
      <c r="E94" s="71"/>
      <c r="F94" s="71"/>
      <c r="G94" s="75"/>
    </row>
    <row r="95" spans="5:7" ht="12.75">
      <c r="E95" s="71"/>
      <c r="F95" s="71"/>
      <c r="G95" s="75"/>
    </row>
    <row r="96" spans="5:7" ht="12.75">
      <c r="E96" s="71"/>
      <c r="F96" s="71"/>
      <c r="G96" s="75"/>
    </row>
    <row r="97" spans="5:7" ht="12.75">
      <c r="E97" s="71"/>
      <c r="F97" s="71"/>
      <c r="G97" s="75"/>
    </row>
    <row r="98" spans="5:7" ht="12.75">
      <c r="E98" s="71"/>
      <c r="F98" s="71"/>
      <c r="G98" s="75"/>
    </row>
    <row r="99" spans="5:7" ht="12.75">
      <c r="E99" s="71"/>
      <c r="F99" s="71"/>
      <c r="G99" s="75"/>
    </row>
  </sheetData>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3">
    <tabColor indexed="43"/>
  </sheetPr>
  <dimension ref="B2:J185"/>
  <sheetViews>
    <sheetView workbookViewId="0" topLeftCell="A1">
      <pane xSplit="2" ySplit="14" topLeftCell="C60" activePane="bottomRight" state="frozen"/>
      <selection pane="topLeft" activeCell="D43" sqref="D43"/>
      <selection pane="topRight" activeCell="D43" sqref="D43"/>
      <selection pane="bottomLeft" activeCell="D43" sqref="D43"/>
      <selection pane="bottomRight" activeCell="K70" sqref="K70"/>
    </sheetView>
  </sheetViews>
  <sheetFormatPr defaultColWidth="9.140625" defaultRowHeight="12.75"/>
  <cols>
    <col min="1" max="1" width="9.140625" style="3" customWidth="1"/>
    <col min="2" max="10" width="16.00390625" style="3" customWidth="1"/>
    <col min="11" max="16384" width="9.140625" style="3" customWidth="1"/>
  </cols>
  <sheetData>
    <row r="1" ht="13.5" thickBot="1"/>
    <row r="2" spans="2:6" ht="12.75">
      <c r="B2" s="107" t="s">
        <v>646</v>
      </c>
      <c r="C2" s="244"/>
      <c r="D2" s="244"/>
      <c r="E2" s="244"/>
      <c r="F2" s="245"/>
    </row>
    <row r="3" spans="2:6" ht="12.75">
      <c r="B3" s="246"/>
      <c r="C3" s="108"/>
      <c r="D3" s="108"/>
      <c r="E3" s="108"/>
      <c r="F3" s="247"/>
    </row>
    <row r="4" spans="2:6" ht="12.75">
      <c r="B4" s="246"/>
      <c r="C4" s="108"/>
      <c r="D4" s="108"/>
      <c r="E4" s="108"/>
      <c r="F4" s="247"/>
    </row>
    <row r="5" spans="2:6" ht="12.75">
      <c r="B5" s="246"/>
      <c r="C5" s="108"/>
      <c r="D5" s="108"/>
      <c r="E5" s="108"/>
      <c r="F5" s="247"/>
    </row>
    <row r="6" spans="2:6" ht="13.5" thickBot="1">
      <c r="B6" s="248"/>
      <c r="C6" s="249"/>
      <c r="D6" s="249"/>
      <c r="E6" s="249"/>
      <c r="F6" s="250"/>
    </row>
    <row r="12" spans="3:10" ht="12.75">
      <c r="C12" s="277" t="s">
        <v>177</v>
      </c>
      <c r="D12" s="277" t="s">
        <v>178</v>
      </c>
      <c r="E12" s="277" t="s">
        <v>179</v>
      </c>
      <c r="F12" s="277" t="s">
        <v>673</v>
      </c>
      <c r="G12" s="277" t="s">
        <v>675</v>
      </c>
      <c r="H12" s="277" t="s">
        <v>180</v>
      </c>
      <c r="I12" s="277" t="s">
        <v>684</v>
      </c>
      <c r="J12" s="277" t="s">
        <v>181</v>
      </c>
    </row>
    <row r="13" spans="2:10" ht="13.5" thickBot="1">
      <c r="B13" s="3">
        <v>1</v>
      </c>
      <c r="C13" s="3">
        <v>2</v>
      </c>
      <c r="D13" s="3">
        <v>3</v>
      </c>
      <c r="E13" s="3">
        <v>4</v>
      </c>
      <c r="F13" s="3">
        <v>5</v>
      </c>
      <c r="G13" s="3">
        <v>6</v>
      </c>
      <c r="H13" s="3">
        <v>7</v>
      </c>
      <c r="I13" s="3">
        <v>8</v>
      </c>
      <c r="J13" s="3">
        <v>9</v>
      </c>
    </row>
    <row r="14" spans="2:10" ht="90" thickBot="1">
      <c r="B14" s="278" t="s">
        <v>257</v>
      </c>
      <c r="C14" s="278" t="s">
        <v>216</v>
      </c>
      <c r="D14" s="278" t="s">
        <v>217</v>
      </c>
      <c r="E14" s="278" t="s">
        <v>218</v>
      </c>
      <c r="F14" s="278" t="s">
        <v>576</v>
      </c>
      <c r="G14" s="278" t="s">
        <v>577</v>
      </c>
      <c r="H14" s="278" t="s">
        <v>578</v>
      </c>
      <c r="I14" s="278" t="s">
        <v>579</v>
      </c>
      <c r="J14" s="278" t="s">
        <v>169</v>
      </c>
    </row>
    <row r="15" spans="2:10" ht="12.75">
      <c r="B15" s="13" t="s">
        <v>690</v>
      </c>
      <c r="C15" s="19">
        <v>2658</v>
      </c>
      <c r="D15" s="395">
        <v>2658</v>
      </c>
      <c r="E15" s="19">
        <v>2658</v>
      </c>
      <c r="F15" s="76">
        <v>554.9053057111668</v>
      </c>
      <c r="G15" s="76">
        <v>1161.903966805929</v>
      </c>
      <c r="H15" s="76">
        <v>783.0240603604093</v>
      </c>
      <c r="I15" s="76">
        <v>4342.4160561698</v>
      </c>
      <c r="J15" s="12">
        <v>12887156</v>
      </c>
    </row>
    <row r="16" spans="2:10" ht="12.75">
      <c r="B16" s="14" t="s">
        <v>691</v>
      </c>
      <c r="C16" s="19">
        <v>3403</v>
      </c>
      <c r="D16" s="395">
        <v>3443.25</v>
      </c>
      <c r="E16" s="19">
        <v>3403</v>
      </c>
      <c r="F16" s="76">
        <v>560.6327427843867</v>
      </c>
      <c r="G16" s="76">
        <v>1146.5554584987876</v>
      </c>
      <c r="H16" s="76">
        <v>778.8860802328921</v>
      </c>
      <c r="I16" s="76">
        <v>4240.52174501693</v>
      </c>
      <c r="J16" s="12">
        <v>10728066</v>
      </c>
    </row>
    <row r="17" spans="2:10" ht="12.75">
      <c r="B17" s="14" t="s">
        <v>692</v>
      </c>
      <c r="C17" s="19">
        <v>6936</v>
      </c>
      <c r="D17" s="395">
        <v>6936</v>
      </c>
      <c r="E17" s="19">
        <v>6936</v>
      </c>
      <c r="F17" s="76">
        <v>593.9900841477219</v>
      </c>
      <c r="G17" s="76">
        <v>1057.388946197026</v>
      </c>
      <c r="H17" s="76">
        <v>626.3450703294525</v>
      </c>
      <c r="I17" s="76">
        <v>3214.757687959706</v>
      </c>
      <c r="J17" s="12">
        <v>89433939</v>
      </c>
    </row>
    <row r="18" spans="2:10" ht="12.75">
      <c r="B18" s="14" t="s">
        <v>693</v>
      </c>
      <c r="C18" s="19">
        <v>4988</v>
      </c>
      <c r="D18" s="395">
        <v>4988</v>
      </c>
      <c r="E18" s="19">
        <v>4665</v>
      </c>
      <c r="F18" s="76">
        <v>495.20097030773724</v>
      </c>
      <c r="G18" s="76">
        <v>1121.2727250936177</v>
      </c>
      <c r="H18" s="76">
        <v>750.714172025827</v>
      </c>
      <c r="I18" s="76">
        <v>4187.080404365574</v>
      </c>
      <c r="J18" s="12">
        <v>5951150</v>
      </c>
    </row>
    <row r="19" spans="2:10" ht="12.75">
      <c r="B19" s="14" t="s">
        <v>694</v>
      </c>
      <c r="C19" s="19">
        <v>3488</v>
      </c>
      <c r="D19" s="395">
        <v>3490</v>
      </c>
      <c r="E19" s="19">
        <v>3488</v>
      </c>
      <c r="F19" s="76">
        <v>485.137482897033</v>
      </c>
      <c r="G19" s="76">
        <v>984.7998858771408</v>
      </c>
      <c r="H19" s="76">
        <v>666.4661042912738</v>
      </c>
      <c r="I19" s="76">
        <v>4114.957479945613</v>
      </c>
      <c r="J19" s="12">
        <v>9584522</v>
      </c>
    </row>
    <row r="20" spans="2:10" ht="12.75">
      <c r="B20" s="14" t="s">
        <v>695</v>
      </c>
      <c r="C20" s="19">
        <v>19129</v>
      </c>
      <c r="D20" s="395">
        <v>19130</v>
      </c>
      <c r="E20" s="19">
        <v>19129</v>
      </c>
      <c r="F20" s="76">
        <v>885.7915389715411</v>
      </c>
      <c r="G20" s="76">
        <v>1486.967233673815</v>
      </c>
      <c r="H20" s="76">
        <v>779.2030904024455</v>
      </c>
      <c r="I20" s="76">
        <v>4430.9928714755115</v>
      </c>
      <c r="J20" s="12">
        <v>0</v>
      </c>
    </row>
    <row r="21" spans="2:10" ht="12.75">
      <c r="B21" s="14" t="s">
        <v>696</v>
      </c>
      <c r="C21" s="19">
        <v>10903</v>
      </c>
      <c r="D21" s="395">
        <v>10912.75</v>
      </c>
      <c r="E21" s="19">
        <v>10903</v>
      </c>
      <c r="F21" s="76">
        <v>718.6419662755401</v>
      </c>
      <c r="G21" s="76">
        <v>1428.7456725837212</v>
      </c>
      <c r="H21" s="76">
        <v>863.2716934353405</v>
      </c>
      <c r="I21" s="76">
        <v>4925.905215676901</v>
      </c>
      <c r="J21" s="12">
        <v>137462481</v>
      </c>
    </row>
    <row r="22" spans="2:10" ht="12.75">
      <c r="B22" s="14" t="s">
        <v>697</v>
      </c>
      <c r="C22" s="19">
        <v>19024</v>
      </c>
      <c r="D22" s="395">
        <v>19024</v>
      </c>
      <c r="E22" s="19">
        <v>19024</v>
      </c>
      <c r="F22" s="76">
        <v>579.4645864365283</v>
      </c>
      <c r="G22" s="76">
        <v>1042.8778858486653</v>
      </c>
      <c r="H22" s="76">
        <v>615.5673014633179</v>
      </c>
      <c r="I22" s="76">
        <v>3375.229358337409</v>
      </c>
      <c r="J22" s="12">
        <v>275354400</v>
      </c>
    </row>
    <row r="23" spans="2:10" ht="12.75">
      <c r="B23" s="14" t="s">
        <v>698</v>
      </c>
      <c r="C23" s="19">
        <v>2710</v>
      </c>
      <c r="D23" s="395">
        <v>2710</v>
      </c>
      <c r="E23" s="19">
        <v>2710</v>
      </c>
      <c r="F23" s="76">
        <v>719.7558432591038</v>
      </c>
      <c r="G23" s="76">
        <v>1081.7320206358813</v>
      </c>
      <c r="H23" s="76">
        <v>704.3357573058835</v>
      </c>
      <c r="I23" s="76">
        <v>3534.2888084645474</v>
      </c>
      <c r="J23" s="12">
        <v>18951650</v>
      </c>
    </row>
    <row r="24" spans="2:10" ht="12.75">
      <c r="B24" s="14" t="s">
        <v>699</v>
      </c>
      <c r="C24" s="19">
        <v>11213</v>
      </c>
      <c r="D24" s="395">
        <v>11336.7</v>
      </c>
      <c r="E24" s="19">
        <v>11213</v>
      </c>
      <c r="F24" s="76">
        <v>593.920217600441</v>
      </c>
      <c r="G24" s="76">
        <v>1167.6048412633922</v>
      </c>
      <c r="H24" s="76">
        <v>780.0388647259691</v>
      </c>
      <c r="I24" s="76">
        <v>4078.201689228781</v>
      </c>
      <c r="J24" s="12">
        <v>170688774</v>
      </c>
    </row>
    <row r="25" spans="2:10" ht="12.75">
      <c r="B25" s="14" t="s">
        <v>700</v>
      </c>
      <c r="C25" s="19">
        <v>6941</v>
      </c>
      <c r="D25" s="395">
        <v>6941</v>
      </c>
      <c r="E25" s="19">
        <v>6941</v>
      </c>
      <c r="F25" s="76">
        <v>560.1841387410627</v>
      </c>
      <c r="G25" s="76">
        <v>1007.4126822104646</v>
      </c>
      <c r="H25" s="76">
        <v>614.3660965530589</v>
      </c>
      <c r="I25" s="76">
        <v>3390.5627676714207</v>
      </c>
      <c r="J25" s="12">
        <v>78983166</v>
      </c>
    </row>
    <row r="26" spans="2:10" ht="12.75">
      <c r="B26" s="14" t="s">
        <v>701</v>
      </c>
      <c r="C26" s="19">
        <v>64446</v>
      </c>
      <c r="D26" s="395">
        <v>64501.5</v>
      </c>
      <c r="E26" s="19">
        <v>64446</v>
      </c>
      <c r="F26" s="76">
        <v>766.6769700288173</v>
      </c>
      <c r="G26" s="76">
        <v>1124.2914891834096</v>
      </c>
      <c r="H26" s="76">
        <v>670.4479253302096</v>
      </c>
      <c r="I26" s="76">
        <v>3836.972448280203</v>
      </c>
      <c r="J26" s="12">
        <v>709196112</v>
      </c>
    </row>
    <row r="27" spans="2:10" ht="12.75">
      <c r="B27" s="14" t="s">
        <v>702</v>
      </c>
      <c r="C27" s="19">
        <v>5286</v>
      </c>
      <c r="D27" s="395">
        <v>5286</v>
      </c>
      <c r="E27" s="19">
        <v>5286</v>
      </c>
      <c r="F27" s="76">
        <v>902.4641360097485</v>
      </c>
      <c r="G27" s="76">
        <v>1134.4413789079003</v>
      </c>
      <c r="H27" s="76">
        <v>725.7010385424039</v>
      </c>
      <c r="I27" s="76">
        <v>3320.689577185428</v>
      </c>
      <c r="J27" s="12">
        <v>73415983</v>
      </c>
    </row>
    <row r="28" spans="2:10" ht="12.75">
      <c r="B28" s="14" t="s">
        <v>703</v>
      </c>
      <c r="C28" s="19">
        <v>5344</v>
      </c>
      <c r="D28" s="395">
        <v>5344</v>
      </c>
      <c r="E28" s="19">
        <v>5344</v>
      </c>
      <c r="F28" s="76">
        <v>564.6781481801103</v>
      </c>
      <c r="G28" s="76">
        <v>957.7572347622593</v>
      </c>
      <c r="H28" s="76">
        <v>608.3836258361549</v>
      </c>
      <c r="I28" s="76">
        <v>3608.882015915167</v>
      </c>
      <c r="J28" s="12">
        <v>17963761</v>
      </c>
    </row>
    <row r="29" spans="2:10" ht="12.75">
      <c r="B29" s="14" t="s">
        <v>704</v>
      </c>
      <c r="C29" s="19">
        <v>5102</v>
      </c>
      <c r="D29" s="395">
        <v>5113.13</v>
      </c>
      <c r="E29" s="19">
        <v>5102</v>
      </c>
      <c r="F29" s="76">
        <v>697.0978213057243</v>
      </c>
      <c r="G29" s="76">
        <v>1234.076680410901</v>
      </c>
      <c r="H29" s="76">
        <v>784.8141679778571</v>
      </c>
      <c r="I29" s="76">
        <v>3867.9380596636265</v>
      </c>
      <c r="J29" s="12">
        <v>23608497</v>
      </c>
    </row>
    <row r="30" spans="2:10" ht="12.75">
      <c r="B30" s="14" t="s">
        <v>705</v>
      </c>
      <c r="C30" s="19">
        <v>9003</v>
      </c>
      <c r="D30" s="395">
        <v>9017</v>
      </c>
      <c r="E30" s="19">
        <v>9003</v>
      </c>
      <c r="F30" s="76">
        <v>904.1999547747133</v>
      </c>
      <c r="G30" s="76">
        <v>1453.83758693605</v>
      </c>
      <c r="H30" s="76">
        <v>889.5719853157116</v>
      </c>
      <c r="I30" s="76">
        <v>5224.520416790616</v>
      </c>
      <c r="J30" s="12">
        <v>397290867</v>
      </c>
    </row>
    <row r="31" spans="2:10" ht="12.75">
      <c r="B31" s="14" t="s">
        <v>706</v>
      </c>
      <c r="C31" s="19">
        <v>2533</v>
      </c>
      <c r="D31" s="395">
        <v>2541.2</v>
      </c>
      <c r="E31" s="19">
        <v>2533</v>
      </c>
      <c r="F31" s="76">
        <v>589.8093727184033</v>
      </c>
      <c r="G31" s="76">
        <v>1097.702660087969</v>
      </c>
      <c r="H31" s="76">
        <v>778.6328596530996</v>
      </c>
      <c r="I31" s="76">
        <v>4478.984590502798</v>
      </c>
      <c r="J31" s="12">
        <v>3577703</v>
      </c>
    </row>
    <row r="32" spans="2:10" ht="12.75">
      <c r="B32" s="14" t="s">
        <v>707</v>
      </c>
      <c r="C32" s="19">
        <v>12283</v>
      </c>
      <c r="D32" s="395">
        <v>12283</v>
      </c>
      <c r="E32" s="19">
        <v>12283</v>
      </c>
      <c r="F32" s="76">
        <v>703.3751146813719</v>
      </c>
      <c r="G32" s="76">
        <v>1322.963907714283</v>
      </c>
      <c r="H32" s="76">
        <v>818.4305657293567</v>
      </c>
      <c r="I32" s="76">
        <v>3915.0013974147987</v>
      </c>
      <c r="J32" s="12">
        <v>137056119</v>
      </c>
    </row>
    <row r="33" spans="2:10" ht="12.75">
      <c r="B33" s="14" t="s">
        <v>708</v>
      </c>
      <c r="C33" s="19">
        <v>28120</v>
      </c>
      <c r="D33" s="395">
        <v>28120</v>
      </c>
      <c r="E33" s="19">
        <v>28120</v>
      </c>
      <c r="F33" s="76">
        <v>783.551192713387</v>
      </c>
      <c r="G33" s="76">
        <v>1314.209272939559</v>
      </c>
      <c r="H33" s="76">
        <v>757.6942534103415</v>
      </c>
      <c r="I33" s="76">
        <v>3658.819753951379</v>
      </c>
      <c r="J33" s="12">
        <v>210655800</v>
      </c>
    </row>
    <row r="34" spans="2:10" ht="12.75">
      <c r="B34" s="14" t="s">
        <v>709</v>
      </c>
      <c r="C34" s="19">
        <v>4617</v>
      </c>
      <c r="D34" s="395">
        <v>4617</v>
      </c>
      <c r="E34" s="19">
        <v>4617</v>
      </c>
      <c r="F34" s="76">
        <v>538.6738218758685</v>
      </c>
      <c r="G34" s="76">
        <v>980.6536561359992</v>
      </c>
      <c r="H34" s="76">
        <v>646.9037409345289</v>
      </c>
      <c r="I34" s="76">
        <v>3427.9579827579996</v>
      </c>
      <c r="J34" s="12">
        <v>16740417</v>
      </c>
    </row>
    <row r="35" spans="2:10" ht="12.75">
      <c r="B35" s="14" t="s">
        <v>710</v>
      </c>
      <c r="C35" s="19">
        <v>8228</v>
      </c>
      <c r="D35" s="395">
        <v>8228.5</v>
      </c>
      <c r="E35" s="19">
        <v>8228</v>
      </c>
      <c r="F35" s="76">
        <v>586.2772505680174</v>
      </c>
      <c r="G35" s="76">
        <v>1051.1137827611278</v>
      </c>
      <c r="H35" s="76">
        <v>623.5585922848726</v>
      </c>
      <c r="I35" s="76">
        <v>3546.9428805907046</v>
      </c>
      <c r="J35" s="12">
        <v>57586578</v>
      </c>
    </row>
    <row r="36" spans="2:10" ht="12.75">
      <c r="B36" s="14" t="s">
        <v>711</v>
      </c>
      <c r="C36" s="19">
        <v>7285</v>
      </c>
      <c r="D36" s="395">
        <v>7325.42</v>
      </c>
      <c r="E36" s="19">
        <v>7285</v>
      </c>
      <c r="F36" s="76">
        <v>618.1834084762497</v>
      </c>
      <c r="G36" s="76">
        <v>1152.5270871156554</v>
      </c>
      <c r="H36" s="76">
        <v>717.8632637240664</v>
      </c>
      <c r="I36" s="76">
        <v>4595.815302014035</v>
      </c>
      <c r="J36" s="12">
        <v>10473256</v>
      </c>
    </row>
    <row r="37" spans="2:10" ht="12.75">
      <c r="B37" s="14" t="s">
        <v>712</v>
      </c>
      <c r="C37" s="19">
        <v>23775</v>
      </c>
      <c r="D37" s="395">
        <v>23775</v>
      </c>
      <c r="E37" s="19">
        <v>23182</v>
      </c>
      <c r="F37" s="76">
        <v>1041.798644921076</v>
      </c>
      <c r="G37" s="76">
        <v>1604.8199308555902</v>
      </c>
      <c r="H37" s="76">
        <v>1038.972985365298</v>
      </c>
      <c r="I37" s="76">
        <v>5279.269688601041</v>
      </c>
      <c r="J37" s="12">
        <v>558155521</v>
      </c>
    </row>
    <row r="38" spans="2:10" ht="12.75">
      <c r="B38" s="14" t="s">
        <v>713</v>
      </c>
      <c r="C38" s="19">
        <v>5421</v>
      </c>
      <c r="D38" s="395">
        <v>5421</v>
      </c>
      <c r="E38" s="19">
        <v>5421</v>
      </c>
      <c r="F38" s="76">
        <v>551.1426703466985</v>
      </c>
      <c r="G38" s="76">
        <v>969.9908485172016</v>
      </c>
      <c r="H38" s="76">
        <v>634.6717085426859</v>
      </c>
      <c r="I38" s="76">
        <v>3454.736393690039</v>
      </c>
      <c r="J38" s="12">
        <v>25783535</v>
      </c>
    </row>
    <row r="39" spans="2:10" ht="12.75">
      <c r="B39" s="14" t="s">
        <v>714</v>
      </c>
      <c r="C39" s="19">
        <v>5202</v>
      </c>
      <c r="D39" s="395">
        <v>5209</v>
      </c>
      <c r="E39" s="19">
        <v>5202</v>
      </c>
      <c r="F39" s="76">
        <v>544.8298763520177</v>
      </c>
      <c r="G39" s="76">
        <v>1164.883802349106</v>
      </c>
      <c r="H39" s="76">
        <v>772.620169001536</v>
      </c>
      <c r="I39" s="76">
        <v>4151.6842829550305</v>
      </c>
      <c r="J39" s="12">
        <v>15843422</v>
      </c>
    </row>
    <row r="40" spans="2:10" ht="12.75">
      <c r="B40" s="14" t="s">
        <v>715</v>
      </c>
      <c r="C40" s="19">
        <v>1535</v>
      </c>
      <c r="D40" s="395">
        <v>1535</v>
      </c>
      <c r="E40" s="19">
        <v>1535</v>
      </c>
      <c r="F40" s="76">
        <v>525.4648229033878</v>
      </c>
      <c r="G40" s="76">
        <v>1035.2236374509148</v>
      </c>
      <c r="H40" s="76">
        <v>772.7645669689745</v>
      </c>
      <c r="I40" s="76">
        <v>4185.316824156181</v>
      </c>
      <c r="J40" s="12">
        <v>1018448</v>
      </c>
    </row>
    <row r="41" spans="2:10" ht="12.75">
      <c r="B41" s="14" t="s">
        <v>716</v>
      </c>
      <c r="C41" s="19">
        <v>5205</v>
      </c>
      <c r="D41" s="395">
        <v>5205</v>
      </c>
      <c r="E41" s="19">
        <v>5205</v>
      </c>
      <c r="F41" s="76">
        <v>538.8989140649488</v>
      </c>
      <c r="G41" s="76">
        <v>1112.5192984598236</v>
      </c>
      <c r="H41" s="76">
        <v>749.1354752171309</v>
      </c>
      <c r="I41" s="76">
        <v>4637.095067889407</v>
      </c>
      <c r="J41" s="12">
        <v>0</v>
      </c>
    </row>
    <row r="42" spans="2:10" ht="12.75">
      <c r="B42" s="14" t="s">
        <v>717</v>
      </c>
      <c r="C42" s="19">
        <v>5839</v>
      </c>
      <c r="D42" s="395">
        <v>5839.5</v>
      </c>
      <c r="E42" s="19">
        <v>5839</v>
      </c>
      <c r="F42" s="76">
        <v>600.2635332419923</v>
      </c>
      <c r="G42" s="76">
        <v>1063.9943326279856</v>
      </c>
      <c r="H42" s="76">
        <v>659.6099932612133</v>
      </c>
      <c r="I42" s="76">
        <v>3480.88718838676</v>
      </c>
      <c r="J42" s="12">
        <v>8647049</v>
      </c>
    </row>
    <row r="43" spans="2:10" ht="12.75">
      <c r="B43" s="14" t="s">
        <v>718</v>
      </c>
      <c r="C43" s="19">
        <v>4573</v>
      </c>
      <c r="D43" s="395">
        <v>4592.75</v>
      </c>
      <c r="E43" s="19">
        <v>4573</v>
      </c>
      <c r="F43" s="76">
        <v>636.8193471480479</v>
      </c>
      <c r="G43" s="76">
        <v>1325.1478575752026</v>
      </c>
      <c r="H43" s="76">
        <v>743.2033254663421</v>
      </c>
      <c r="I43" s="76">
        <v>3789.1560565657232</v>
      </c>
      <c r="J43" s="12">
        <v>25446847</v>
      </c>
    </row>
    <row r="44" spans="2:10" ht="12.75">
      <c r="B44" s="14" t="s">
        <v>719</v>
      </c>
      <c r="C44" s="19">
        <v>5661</v>
      </c>
      <c r="D44" s="395">
        <v>5661</v>
      </c>
      <c r="E44" s="19">
        <v>5661</v>
      </c>
      <c r="F44" s="76">
        <v>550.0667220208097</v>
      </c>
      <c r="G44" s="76">
        <v>1040.1056867604152</v>
      </c>
      <c r="H44" s="76">
        <v>659.9883994081604</v>
      </c>
      <c r="I44" s="76">
        <v>3553.1633393122706</v>
      </c>
      <c r="J44" s="12">
        <v>15977610</v>
      </c>
    </row>
    <row r="45" spans="2:10" ht="12.75">
      <c r="B45" s="14" t="s">
        <v>720</v>
      </c>
      <c r="C45" s="19">
        <v>9724</v>
      </c>
      <c r="D45" s="395">
        <v>9724</v>
      </c>
      <c r="E45" s="19">
        <v>9724</v>
      </c>
      <c r="F45" s="76">
        <v>663.3078134671664</v>
      </c>
      <c r="G45" s="76">
        <v>1133.3832582983484</v>
      </c>
      <c r="H45" s="76">
        <v>626.616735562613</v>
      </c>
      <c r="I45" s="76">
        <v>3555.072715430463</v>
      </c>
      <c r="J45" s="12">
        <v>38442454</v>
      </c>
    </row>
    <row r="46" spans="2:10" ht="12.75">
      <c r="B46" s="14" t="s">
        <v>721</v>
      </c>
      <c r="C46" s="19">
        <v>1887</v>
      </c>
      <c r="D46" s="395">
        <v>1887</v>
      </c>
      <c r="E46" s="19">
        <v>1887</v>
      </c>
      <c r="F46" s="76">
        <v>1324.1700022469147</v>
      </c>
      <c r="G46" s="76">
        <v>1516.168472603917</v>
      </c>
      <c r="H46" s="76">
        <v>1085.2561950795366</v>
      </c>
      <c r="I46" s="76">
        <v>5077.5569045350185</v>
      </c>
      <c r="J46" s="12">
        <v>14093928</v>
      </c>
    </row>
    <row r="47" spans="2:10" ht="12.75">
      <c r="B47" s="14" t="s">
        <v>722</v>
      </c>
      <c r="C47" s="19">
        <v>7919</v>
      </c>
      <c r="D47" s="395">
        <v>7919</v>
      </c>
      <c r="E47" s="19">
        <v>7919</v>
      </c>
      <c r="F47" s="76">
        <v>544.1644950475945</v>
      </c>
      <c r="G47" s="76">
        <v>1095.338470746219</v>
      </c>
      <c r="H47" s="76">
        <v>665.0441590343697</v>
      </c>
      <c r="I47" s="76">
        <v>3721.1349070626</v>
      </c>
      <c r="J47" s="12">
        <v>22943780</v>
      </c>
    </row>
    <row r="48" spans="2:10" ht="12.75">
      <c r="B48" s="14" t="s">
        <v>723</v>
      </c>
      <c r="C48" s="19">
        <v>6273</v>
      </c>
      <c r="D48" s="395">
        <v>6280.25</v>
      </c>
      <c r="E48" s="19">
        <v>6273</v>
      </c>
      <c r="F48" s="76">
        <v>577.3547103260723</v>
      </c>
      <c r="G48" s="76">
        <v>1113.8052867019708</v>
      </c>
      <c r="H48" s="76">
        <v>751.3134719009661</v>
      </c>
      <c r="I48" s="76">
        <v>4078.9795970018113</v>
      </c>
      <c r="J48" s="12">
        <v>66580666</v>
      </c>
    </row>
    <row r="49" spans="2:10" ht="12.75">
      <c r="B49" s="14" t="s">
        <v>724</v>
      </c>
      <c r="C49" s="19">
        <v>4761</v>
      </c>
      <c r="D49" s="395">
        <v>4761</v>
      </c>
      <c r="E49" s="19">
        <v>4761</v>
      </c>
      <c r="F49" s="76">
        <v>648.1748829845546</v>
      </c>
      <c r="G49" s="76">
        <v>1143.680548258551</v>
      </c>
      <c r="H49" s="76">
        <v>680.1548200790173</v>
      </c>
      <c r="I49" s="76">
        <v>3647.7292090147857</v>
      </c>
      <c r="J49" s="12">
        <v>1339580</v>
      </c>
    </row>
    <row r="50" spans="2:10" ht="12.75">
      <c r="B50" s="14" t="s">
        <v>725</v>
      </c>
      <c r="C50" s="19">
        <v>10513</v>
      </c>
      <c r="D50" s="395">
        <v>10513</v>
      </c>
      <c r="E50" s="19">
        <v>10513</v>
      </c>
      <c r="F50" s="76">
        <v>511.58773150361105</v>
      </c>
      <c r="G50" s="76">
        <v>1038.4106690656063</v>
      </c>
      <c r="H50" s="76">
        <v>699.1237059431932</v>
      </c>
      <c r="I50" s="76">
        <v>3364.482374722686</v>
      </c>
      <c r="J50" s="12">
        <v>44512980</v>
      </c>
    </row>
    <row r="51" spans="2:10" ht="12.75">
      <c r="B51" s="14" t="s">
        <v>726</v>
      </c>
      <c r="C51" s="19">
        <v>8065</v>
      </c>
      <c r="D51" s="395">
        <v>8155.43</v>
      </c>
      <c r="E51" s="19">
        <v>8065</v>
      </c>
      <c r="F51" s="76">
        <v>601.7583078175845</v>
      </c>
      <c r="G51" s="76">
        <v>1086.104918698406</v>
      </c>
      <c r="H51" s="76">
        <v>764.8258760253141</v>
      </c>
      <c r="I51" s="76">
        <v>4820.538807019034</v>
      </c>
      <c r="J51" s="12">
        <v>2776148</v>
      </c>
    </row>
    <row r="52" spans="2:10" ht="12.75">
      <c r="B52" s="14" t="s">
        <v>727</v>
      </c>
      <c r="C52" s="19">
        <v>14024</v>
      </c>
      <c r="D52" s="395">
        <v>14030</v>
      </c>
      <c r="E52" s="19">
        <v>14024</v>
      </c>
      <c r="F52" s="76">
        <v>756.2611663261152</v>
      </c>
      <c r="G52" s="76">
        <v>1434.31149200625</v>
      </c>
      <c r="H52" s="76">
        <v>872.4413955148814</v>
      </c>
      <c r="I52" s="76">
        <v>4948.409526300029</v>
      </c>
      <c r="J52" s="12">
        <v>105015943</v>
      </c>
    </row>
    <row r="53" spans="2:10" ht="12.75">
      <c r="B53" s="14" t="s">
        <v>728</v>
      </c>
      <c r="C53" s="19">
        <v>10593</v>
      </c>
      <c r="D53" s="395">
        <v>10593.25</v>
      </c>
      <c r="E53" s="19">
        <v>10593</v>
      </c>
      <c r="F53" s="76">
        <v>522.5275128523833</v>
      </c>
      <c r="G53" s="76">
        <v>1164.8156963694544</v>
      </c>
      <c r="H53" s="76">
        <v>808.4131070456195</v>
      </c>
      <c r="I53" s="76">
        <v>4760.654042624572</v>
      </c>
      <c r="J53" s="12">
        <v>0</v>
      </c>
    </row>
    <row r="54" spans="2:10" ht="12.75">
      <c r="B54" s="14" t="s">
        <v>729</v>
      </c>
      <c r="C54" s="19">
        <v>5443</v>
      </c>
      <c r="D54" s="395">
        <v>5443</v>
      </c>
      <c r="E54" s="19">
        <v>5443</v>
      </c>
      <c r="F54" s="76">
        <v>631.4460835185338</v>
      </c>
      <c r="G54" s="76">
        <v>1069.1962919223763</v>
      </c>
      <c r="H54" s="76">
        <v>699.7645177206302</v>
      </c>
      <c r="I54" s="76">
        <v>3292.7299424314047</v>
      </c>
      <c r="J54" s="12">
        <v>32714490</v>
      </c>
    </row>
    <row r="55" spans="2:10" ht="12.75">
      <c r="B55" s="14" t="s">
        <v>730</v>
      </c>
      <c r="C55" s="19">
        <v>4337</v>
      </c>
      <c r="D55" s="395">
        <v>4337.25</v>
      </c>
      <c r="E55" s="19">
        <v>4337</v>
      </c>
      <c r="F55" s="76">
        <v>632.9686041902081</v>
      </c>
      <c r="G55" s="76">
        <v>1235.2729058609007</v>
      </c>
      <c r="H55" s="76">
        <v>759.9598081370908</v>
      </c>
      <c r="I55" s="76">
        <v>4238.279238549394</v>
      </c>
      <c r="J55" s="12">
        <v>0</v>
      </c>
    </row>
    <row r="56" spans="2:10" ht="12.75">
      <c r="B56" s="14" t="s">
        <v>731</v>
      </c>
      <c r="C56" s="19">
        <v>13488</v>
      </c>
      <c r="D56" s="395">
        <v>13512</v>
      </c>
      <c r="E56" s="19">
        <v>13488</v>
      </c>
      <c r="F56" s="76">
        <v>646.224422122167</v>
      </c>
      <c r="G56" s="76">
        <v>1057.5404608610106</v>
      </c>
      <c r="H56" s="76">
        <v>601.6024341971709</v>
      </c>
      <c r="I56" s="76">
        <v>3583.761230286745</v>
      </c>
      <c r="J56" s="12">
        <v>208440305</v>
      </c>
    </row>
    <row r="57" spans="2:10" ht="12.75">
      <c r="B57" s="14" t="s">
        <v>732</v>
      </c>
      <c r="C57" s="19">
        <v>20690</v>
      </c>
      <c r="D57" s="395">
        <v>20690</v>
      </c>
      <c r="E57" s="19">
        <v>20690</v>
      </c>
      <c r="F57" s="76">
        <v>624.7818355095611</v>
      </c>
      <c r="G57" s="76">
        <v>1101.5604877793733</v>
      </c>
      <c r="H57" s="76">
        <v>619.880622393321</v>
      </c>
      <c r="I57" s="76">
        <v>3329.514177461486</v>
      </c>
      <c r="J57" s="12">
        <v>329672605</v>
      </c>
    </row>
    <row r="58" spans="2:10" ht="12.75">
      <c r="B58" s="14" t="s">
        <v>733</v>
      </c>
      <c r="C58" s="19">
        <v>4458</v>
      </c>
      <c r="D58" s="395">
        <v>4458</v>
      </c>
      <c r="E58" s="19">
        <v>4458</v>
      </c>
      <c r="F58" s="76">
        <v>522.2898418738655</v>
      </c>
      <c r="G58" s="76">
        <v>1103.864568859376</v>
      </c>
      <c r="H58" s="76">
        <v>743.4031229464942</v>
      </c>
      <c r="I58" s="76">
        <v>3980.7048009594405</v>
      </c>
      <c r="J58" s="12">
        <v>304903</v>
      </c>
    </row>
    <row r="59" spans="2:10" ht="12.75">
      <c r="B59" s="14" t="s">
        <v>734</v>
      </c>
      <c r="C59" s="19">
        <v>22992</v>
      </c>
      <c r="D59" s="395">
        <v>22992</v>
      </c>
      <c r="E59" s="19">
        <v>22992</v>
      </c>
      <c r="F59" s="76">
        <v>577.4709462423914</v>
      </c>
      <c r="G59" s="76">
        <v>1127.1712719389961</v>
      </c>
      <c r="H59" s="76">
        <v>658.7433098212608</v>
      </c>
      <c r="I59" s="76">
        <v>3815.732431133628</v>
      </c>
      <c r="J59" s="12">
        <v>97361228</v>
      </c>
    </row>
    <row r="60" spans="2:10" ht="12.75">
      <c r="B60" s="14" t="s">
        <v>735</v>
      </c>
      <c r="C60" s="19">
        <v>18617</v>
      </c>
      <c r="D60" s="395">
        <v>18618.75</v>
      </c>
      <c r="E60" s="19">
        <v>18617</v>
      </c>
      <c r="F60" s="76">
        <v>521.946313072181</v>
      </c>
      <c r="G60" s="76">
        <v>1042.4047717766005</v>
      </c>
      <c r="H60" s="76">
        <v>624.4880560741453</v>
      </c>
      <c r="I60" s="76">
        <v>3199.4462507507683</v>
      </c>
      <c r="J60" s="12">
        <v>187281086</v>
      </c>
    </row>
    <row r="61" spans="2:10" ht="12.75">
      <c r="B61" s="14" t="s">
        <v>736</v>
      </c>
      <c r="C61" s="19">
        <v>13042</v>
      </c>
      <c r="D61" s="395">
        <v>13047</v>
      </c>
      <c r="E61" s="19">
        <v>13042</v>
      </c>
      <c r="F61" s="76">
        <v>912.3277616434821</v>
      </c>
      <c r="G61" s="76">
        <v>1506.9172652053471</v>
      </c>
      <c r="H61" s="76">
        <v>913.0732504895099</v>
      </c>
      <c r="I61" s="76">
        <v>4799.977002566726</v>
      </c>
      <c r="J61" s="12">
        <v>398253120</v>
      </c>
    </row>
    <row r="62" spans="2:10" ht="12.75">
      <c r="B62" s="14" t="s">
        <v>737</v>
      </c>
      <c r="C62" s="19">
        <v>4303</v>
      </c>
      <c r="D62" s="395">
        <v>4303</v>
      </c>
      <c r="E62" s="19">
        <v>4303</v>
      </c>
      <c r="F62" s="76">
        <v>472.11839606253864</v>
      </c>
      <c r="G62" s="76">
        <v>999.5944674469985</v>
      </c>
      <c r="H62" s="76">
        <v>691.5746011458717</v>
      </c>
      <c r="I62" s="76">
        <v>3770.948370697994</v>
      </c>
      <c r="J62" s="12">
        <v>2820871</v>
      </c>
    </row>
    <row r="63" spans="2:10" ht="12.75">
      <c r="B63" s="14" t="s">
        <v>741</v>
      </c>
      <c r="C63" s="19">
        <v>10984</v>
      </c>
      <c r="D63" s="395">
        <v>10984</v>
      </c>
      <c r="E63" s="19">
        <v>10984</v>
      </c>
      <c r="F63" s="76">
        <v>528.7845340711033</v>
      </c>
      <c r="G63" s="76">
        <v>965.518010970851</v>
      </c>
      <c r="H63" s="76">
        <v>651.3739524306304</v>
      </c>
      <c r="I63" s="76">
        <v>3580.447377328414</v>
      </c>
      <c r="J63" s="12">
        <v>18908415</v>
      </c>
    </row>
    <row r="64" spans="2:10" ht="12.75">
      <c r="B64" s="14" t="s">
        <v>742</v>
      </c>
      <c r="C64" s="19">
        <v>3694</v>
      </c>
      <c r="D64" s="395">
        <v>3707.38</v>
      </c>
      <c r="E64" s="19">
        <v>3694</v>
      </c>
      <c r="F64" s="76">
        <v>627.7224337214991</v>
      </c>
      <c r="G64" s="76">
        <v>1208.5260403651687</v>
      </c>
      <c r="H64" s="76">
        <v>772.8647803732225</v>
      </c>
      <c r="I64" s="76">
        <v>3687.524565354845</v>
      </c>
      <c r="J64" s="12">
        <v>71820421</v>
      </c>
    </row>
    <row r="65" spans="2:10" ht="12.75">
      <c r="B65" s="14" t="s">
        <v>743</v>
      </c>
      <c r="C65" s="19">
        <v>11416</v>
      </c>
      <c r="D65" s="395">
        <v>11417.75</v>
      </c>
      <c r="E65" s="19">
        <v>11416</v>
      </c>
      <c r="F65" s="76">
        <v>764.9871390164855</v>
      </c>
      <c r="G65" s="76">
        <v>1492.0985143620494</v>
      </c>
      <c r="H65" s="76">
        <v>904.6582767611997</v>
      </c>
      <c r="I65" s="76">
        <v>4718.910592123039</v>
      </c>
      <c r="J65" s="12">
        <v>169225805</v>
      </c>
    </row>
    <row r="66" spans="2:10" ht="12.75">
      <c r="B66" s="14" t="s">
        <v>744</v>
      </c>
      <c r="C66" s="19">
        <v>6570</v>
      </c>
      <c r="D66" s="395">
        <v>6570</v>
      </c>
      <c r="E66" s="19">
        <v>6570</v>
      </c>
      <c r="F66" s="76">
        <v>591.2588198018339</v>
      </c>
      <c r="G66" s="76">
        <v>1163.71182033521</v>
      </c>
      <c r="H66" s="76">
        <v>777.1715952951819</v>
      </c>
      <c r="I66" s="76">
        <v>4574.677739962174</v>
      </c>
      <c r="J66" s="12">
        <v>0</v>
      </c>
    </row>
    <row r="67" spans="2:10" ht="12.75">
      <c r="B67" s="14" t="s">
        <v>745</v>
      </c>
      <c r="C67" s="19">
        <v>5026</v>
      </c>
      <c r="D67" s="395">
        <v>5037</v>
      </c>
      <c r="E67" s="19">
        <v>5026</v>
      </c>
      <c r="F67" s="76">
        <v>593.7450136678893</v>
      </c>
      <c r="G67" s="76">
        <v>1177.4431860781242</v>
      </c>
      <c r="H67" s="76">
        <v>730.882981229738</v>
      </c>
      <c r="I67" s="76">
        <v>3542.205409480761</v>
      </c>
      <c r="J67" s="12">
        <v>0</v>
      </c>
    </row>
    <row r="68" spans="2:10" ht="12.75">
      <c r="B68" s="14" t="s">
        <v>746</v>
      </c>
      <c r="C68" s="19">
        <v>2370</v>
      </c>
      <c r="D68" s="395">
        <v>2403.25</v>
      </c>
      <c r="E68" s="19">
        <v>2370</v>
      </c>
      <c r="F68" s="76">
        <v>596.1140306631779</v>
      </c>
      <c r="G68" s="76">
        <v>1100.9511625770094</v>
      </c>
      <c r="H68" s="76">
        <v>788.6755468925264</v>
      </c>
      <c r="I68" s="76">
        <v>4181.414390804479</v>
      </c>
      <c r="J68" s="12">
        <v>7186563</v>
      </c>
    </row>
    <row r="69" spans="2:10" ht="12.75">
      <c r="B69" s="14" t="s">
        <v>747</v>
      </c>
      <c r="C69" s="19">
        <v>20984</v>
      </c>
      <c r="D69" s="395">
        <v>20984</v>
      </c>
      <c r="E69" s="19">
        <v>20984</v>
      </c>
      <c r="F69" s="76">
        <v>574.290766777871</v>
      </c>
      <c r="G69" s="76">
        <v>1055.4104443566982</v>
      </c>
      <c r="H69" s="76">
        <v>654.8762007453391</v>
      </c>
      <c r="I69" s="76">
        <v>3490.548686095655</v>
      </c>
      <c r="J69" s="12">
        <v>353056653</v>
      </c>
    </row>
    <row r="70" spans="2:10" ht="12.75">
      <c r="B70" s="14" t="s">
        <v>748</v>
      </c>
      <c r="C70" s="19">
        <v>4508</v>
      </c>
      <c r="D70" s="395">
        <v>4533.88</v>
      </c>
      <c r="E70" s="19">
        <v>4508</v>
      </c>
      <c r="F70" s="76">
        <v>628.3871030610587</v>
      </c>
      <c r="G70" s="76">
        <v>1147.2175163684308</v>
      </c>
      <c r="H70" s="76">
        <v>725.7723584622333</v>
      </c>
      <c r="I70" s="76">
        <v>3660.5482229664894</v>
      </c>
      <c r="J70" s="12">
        <v>60605775</v>
      </c>
    </row>
    <row r="71" spans="2:10" ht="12.75">
      <c r="B71" s="14" t="s">
        <v>749</v>
      </c>
      <c r="C71" s="19">
        <v>3191</v>
      </c>
      <c r="D71" s="395">
        <v>3191</v>
      </c>
      <c r="E71" s="19">
        <v>3191</v>
      </c>
      <c r="F71" s="76">
        <v>634.7973286013545</v>
      </c>
      <c r="G71" s="76">
        <v>1121.0466789913785</v>
      </c>
      <c r="H71" s="76">
        <v>742.9644547697524</v>
      </c>
      <c r="I71" s="76">
        <v>3883.905356688822</v>
      </c>
      <c r="J71" s="12">
        <v>0</v>
      </c>
    </row>
    <row r="72" spans="2:10" ht="12.75">
      <c r="B72" s="14" t="s">
        <v>750</v>
      </c>
      <c r="C72" s="19">
        <v>5838</v>
      </c>
      <c r="D72" s="395">
        <v>5838</v>
      </c>
      <c r="E72" s="19">
        <v>5838</v>
      </c>
      <c r="F72" s="76">
        <v>587.9129573722112</v>
      </c>
      <c r="G72" s="76">
        <v>1238.8991388672648</v>
      </c>
      <c r="H72" s="76">
        <v>783.5886055252602</v>
      </c>
      <c r="I72" s="76">
        <v>4218.842030041665</v>
      </c>
      <c r="J72" s="12">
        <v>10651079</v>
      </c>
    </row>
    <row r="73" spans="2:10" ht="12.75">
      <c r="B73" s="14" t="s">
        <v>751</v>
      </c>
      <c r="C73" s="19">
        <v>6049</v>
      </c>
      <c r="D73" s="395">
        <v>6049</v>
      </c>
      <c r="E73" s="19">
        <v>6049</v>
      </c>
      <c r="F73" s="76">
        <v>646.1825237579709</v>
      </c>
      <c r="G73" s="76">
        <v>1029.8326318194238</v>
      </c>
      <c r="H73" s="76">
        <v>663.5090626452833</v>
      </c>
      <c r="I73" s="76">
        <v>3519.2966145747496</v>
      </c>
      <c r="J73" s="12">
        <v>31614601</v>
      </c>
    </row>
    <row r="74" spans="2:10" ht="12.75">
      <c r="B74" s="14" t="s">
        <v>752</v>
      </c>
      <c r="C74" s="19">
        <v>23318</v>
      </c>
      <c r="D74" s="395">
        <v>23319</v>
      </c>
      <c r="E74" s="19">
        <v>23318</v>
      </c>
      <c r="F74" s="76">
        <v>1019.1062687509028</v>
      </c>
      <c r="G74" s="76">
        <v>1588.9296691093498</v>
      </c>
      <c r="H74" s="76">
        <v>932.049745774529</v>
      </c>
      <c r="I74" s="76">
        <v>4756.271364832466</v>
      </c>
      <c r="J74" s="12">
        <v>435509476</v>
      </c>
    </row>
    <row r="75" spans="2:10" ht="12.75">
      <c r="B75" s="14" t="s">
        <v>753</v>
      </c>
      <c r="C75" s="19">
        <v>5139</v>
      </c>
      <c r="D75" s="395">
        <v>5306</v>
      </c>
      <c r="E75" s="19">
        <v>5139</v>
      </c>
      <c r="F75" s="76">
        <v>591.2549536936465</v>
      </c>
      <c r="G75" s="76">
        <v>1163.520216360729</v>
      </c>
      <c r="H75" s="76">
        <v>809.0726303455158</v>
      </c>
      <c r="I75" s="76">
        <v>5212.179607022542</v>
      </c>
      <c r="J75" s="12">
        <v>2411651</v>
      </c>
    </row>
    <row r="76" spans="2:10" ht="12.75">
      <c r="B76" s="14" t="s">
        <v>754</v>
      </c>
      <c r="C76" s="19">
        <v>22523</v>
      </c>
      <c r="D76" s="395">
        <v>22523.5</v>
      </c>
      <c r="E76" s="19">
        <v>22523</v>
      </c>
      <c r="F76" s="76">
        <v>1252.1858876427777</v>
      </c>
      <c r="G76" s="76">
        <v>1633.8317535843842</v>
      </c>
      <c r="H76" s="76">
        <v>1030.4528524542525</v>
      </c>
      <c r="I76" s="76">
        <v>4643.655465215728</v>
      </c>
      <c r="J76" s="12">
        <v>905196444</v>
      </c>
    </row>
    <row r="77" spans="2:10" ht="12.75">
      <c r="B77" s="14" t="s">
        <v>755</v>
      </c>
      <c r="C77" s="19">
        <v>12940</v>
      </c>
      <c r="D77" s="395">
        <v>12954</v>
      </c>
      <c r="E77" s="19">
        <v>12940</v>
      </c>
      <c r="F77" s="76">
        <v>1054.5722080078483</v>
      </c>
      <c r="G77" s="76">
        <v>1653.5630130941931</v>
      </c>
      <c r="H77" s="76">
        <v>985.0386473569755</v>
      </c>
      <c r="I77" s="76">
        <v>5172.045815944123</v>
      </c>
      <c r="J77" s="12">
        <v>451971140</v>
      </c>
    </row>
    <row r="78" spans="2:10" ht="12.75">
      <c r="B78" s="14" t="s">
        <v>756</v>
      </c>
      <c r="C78" s="19">
        <v>16262</v>
      </c>
      <c r="D78" s="395">
        <v>16263.25</v>
      </c>
      <c r="E78" s="19">
        <v>16262</v>
      </c>
      <c r="F78" s="76">
        <v>867.5153294585539</v>
      </c>
      <c r="G78" s="76">
        <v>1515.1145673833823</v>
      </c>
      <c r="H78" s="76">
        <v>850.4558693387746</v>
      </c>
      <c r="I78" s="76">
        <v>4917.6053696975805</v>
      </c>
      <c r="J78" s="12">
        <v>561387878</v>
      </c>
    </row>
    <row r="79" spans="2:10" ht="12.75">
      <c r="B79" s="14" t="s">
        <v>757</v>
      </c>
      <c r="C79" s="19">
        <v>9881</v>
      </c>
      <c r="D79" s="395">
        <v>9888</v>
      </c>
      <c r="E79" s="19">
        <v>9881</v>
      </c>
      <c r="F79" s="76">
        <v>654.4239979433146</v>
      </c>
      <c r="G79" s="76">
        <v>1193.8269308025808</v>
      </c>
      <c r="H79" s="76">
        <v>795.7661311558172</v>
      </c>
      <c r="I79" s="76">
        <v>4339.244653738144</v>
      </c>
      <c r="J79" s="12">
        <v>0</v>
      </c>
    </row>
    <row r="80" spans="2:10" ht="12.75">
      <c r="B80" s="14" t="s">
        <v>758</v>
      </c>
      <c r="C80" s="19">
        <v>3926</v>
      </c>
      <c r="D80" s="395">
        <v>3926</v>
      </c>
      <c r="E80" s="19">
        <v>3926</v>
      </c>
      <c r="F80" s="76">
        <v>518.2352265314408</v>
      </c>
      <c r="G80" s="76">
        <v>1006.8299630014442</v>
      </c>
      <c r="H80" s="76">
        <v>697.9314554537968</v>
      </c>
      <c r="I80" s="76">
        <v>3773.940082277179</v>
      </c>
      <c r="J80" s="12">
        <v>16214229</v>
      </c>
    </row>
    <row r="81" spans="2:10" ht="12.75">
      <c r="B81" s="14" t="s">
        <v>759</v>
      </c>
      <c r="C81" s="19">
        <v>4963</v>
      </c>
      <c r="D81" s="395">
        <v>4963</v>
      </c>
      <c r="E81" s="19">
        <v>4963</v>
      </c>
      <c r="F81" s="76">
        <v>688.8904092930238</v>
      </c>
      <c r="G81" s="76">
        <v>1430.808153104385</v>
      </c>
      <c r="H81" s="76">
        <v>833.2410747132744</v>
      </c>
      <c r="I81" s="76">
        <v>5178.619514461173</v>
      </c>
      <c r="J81" s="12">
        <v>50994480</v>
      </c>
    </row>
    <row r="82" spans="2:10" ht="12.75">
      <c r="B82" s="14" t="s">
        <v>760</v>
      </c>
      <c r="C82" s="19">
        <v>10017</v>
      </c>
      <c r="D82" s="395">
        <v>10019.5</v>
      </c>
      <c r="E82" s="19">
        <v>10017</v>
      </c>
      <c r="F82" s="76">
        <v>620.6071375191244</v>
      </c>
      <c r="G82" s="76">
        <v>1297.2508854532539</v>
      </c>
      <c r="H82" s="76">
        <v>886.2775423660327</v>
      </c>
      <c r="I82" s="76">
        <v>4299.644111643078</v>
      </c>
      <c r="J82" s="12">
        <v>43754770</v>
      </c>
    </row>
    <row r="83" spans="2:10" ht="12.75">
      <c r="B83" s="14" t="s">
        <v>761</v>
      </c>
      <c r="C83" s="19">
        <v>4103</v>
      </c>
      <c r="D83" s="395">
        <v>4103</v>
      </c>
      <c r="E83" s="19">
        <v>4103</v>
      </c>
      <c r="F83" s="76">
        <v>525.8746749812137</v>
      </c>
      <c r="G83" s="76">
        <v>976.2653986264507</v>
      </c>
      <c r="H83" s="76">
        <v>642.0268026412319</v>
      </c>
      <c r="I83" s="76">
        <v>3463.98798209115</v>
      </c>
      <c r="J83" s="12">
        <v>30750844</v>
      </c>
    </row>
    <row r="84" spans="2:10" ht="12.75">
      <c r="B84" s="14" t="s">
        <v>762</v>
      </c>
      <c r="C84" s="19">
        <v>10277</v>
      </c>
      <c r="D84" s="395">
        <v>10327.98</v>
      </c>
      <c r="E84" s="19">
        <v>10277</v>
      </c>
      <c r="F84" s="76">
        <v>709.2597148730525</v>
      </c>
      <c r="G84" s="76">
        <v>1316.5151065302118</v>
      </c>
      <c r="H84" s="76">
        <v>845.1703910789389</v>
      </c>
      <c r="I84" s="76">
        <v>5096.916343423647</v>
      </c>
      <c r="J84" s="12">
        <v>105852342</v>
      </c>
    </row>
    <row r="85" spans="2:10" ht="12.75">
      <c r="B85" s="14" t="s">
        <v>763</v>
      </c>
      <c r="C85" s="19">
        <v>3393</v>
      </c>
      <c r="D85" s="395">
        <v>3393</v>
      </c>
      <c r="E85" s="19">
        <v>3393</v>
      </c>
      <c r="F85" s="76">
        <v>513.5723687882338</v>
      </c>
      <c r="G85" s="76">
        <v>948.5298081723913</v>
      </c>
      <c r="H85" s="76">
        <v>625.1060009916945</v>
      </c>
      <c r="I85" s="76">
        <v>3687.4402613593415</v>
      </c>
      <c r="J85" s="12">
        <v>4262459</v>
      </c>
    </row>
    <row r="86" spans="2:10" ht="12.75">
      <c r="B86" s="14" t="s">
        <v>764</v>
      </c>
      <c r="C86" s="19">
        <v>13383</v>
      </c>
      <c r="D86" s="395">
        <v>13384</v>
      </c>
      <c r="E86" s="19">
        <v>13383</v>
      </c>
      <c r="F86" s="76">
        <v>815.5617667495347</v>
      </c>
      <c r="G86" s="76">
        <v>1474.8041159188704</v>
      </c>
      <c r="H86" s="76">
        <v>876.3580800496945</v>
      </c>
      <c r="I86" s="76">
        <v>4677.37165855556</v>
      </c>
      <c r="J86" s="12">
        <v>264136906</v>
      </c>
    </row>
    <row r="87" spans="2:10" ht="12.75">
      <c r="B87" s="14" t="s">
        <v>765</v>
      </c>
      <c r="C87" s="19">
        <v>8175</v>
      </c>
      <c r="D87" s="395">
        <v>8175</v>
      </c>
      <c r="E87" s="19">
        <v>8175</v>
      </c>
      <c r="F87" s="76">
        <v>650.9063073327675</v>
      </c>
      <c r="G87" s="76">
        <v>1123.850898629916</v>
      </c>
      <c r="H87" s="76">
        <v>662.237177169506</v>
      </c>
      <c r="I87" s="76">
        <v>3834.3625987434543</v>
      </c>
      <c r="J87" s="12">
        <v>45281922</v>
      </c>
    </row>
    <row r="88" spans="2:10" ht="12.75">
      <c r="B88" s="14" t="s">
        <v>767</v>
      </c>
      <c r="C88" s="19">
        <v>0</v>
      </c>
      <c r="D88" s="395">
        <v>0</v>
      </c>
      <c r="E88" s="19">
        <v>0</v>
      </c>
      <c r="F88" s="76" t="e">
        <v>#DIV/0!</v>
      </c>
      <c r="G88" s="76" t="e">
        <v>#DIV/0!</v>
      </c>
      <c r="H88" s="76">
        <v>0</v>
      </c>
      <c r="I88" s="76">
        <v>0</v>
      </c>
      <c r="J88" s="12">
        <v>0</v>
      </c>
    </row>
    <row r="89" spans="2:10" ht="12.75">
      <c r="B89" s="14" t="s">
        <v>768</v>
      </c>
      <c r="C89" s="19">
        <v>25875</v>
      </c>
      <c r="D89" s="395">
        <v>25876.15</v>
      </c>
      <c r="E89" s="19">
        <v>21301</v>
      </c>
      <c r="F89" s="76">
        <v>1183.5945034189344</v>
      </c>
      <c r="G89" s="76">
        <v>1659.7772373720036</v>
      </c>
      <c r="H89" s="76">
        <v>1023.7506601848582</v>
      </c>
      <c r="I89" s="76">
        <v>5173.445553344739</v>
      </c>
      <c r="J89" s="12">
        <v>859618451</v>
      </c>
    </row>
    <row r="90" spans="2:10" ht="12.75">
      <c r="B90" s="14" t="s">
        <v>769</v>
      </c>
      <c r="C90" s="19">
        <v>6921</v>
      </c>
      <c r="D90" s="395">
        <v>6921</v>
      </c>
      <c r="E90" s="19">
        <v>6921</v>
      </c>
      <c r="F90" s="76">
        <v>901.0455982076717</v>
      </c>
      <c r="G90" s="76">
        <v>1504.9430377347105</v>
      </c>
      <c r="H90" s="76">
        <v>1050.4599926465708</v>
      </c>
      <c r="I90" s="76">
        <v>5580.085523803467</v>
      </c>
      <c r="J90" s="12">
        <v>196626763</v>
      </c>
    </row>
    <row r="91" spans="2:10" ht="12.75">
      <c r="B91" s="14" t="s">
        <v>770</v>
      </c>
      <c r="C91" s="19">
        <v>3804</v>
      </c>
      <c r="D91" s="395">
        <v>3804</v>
      </c>
      <c r="E91" s="19">
        <v>3804</v>
      </c>
      <c r="F91" s="76">
        <v>540.8562270132261</v>
      </c>
      <c r="G91" s="76">
        <v>1028.1828996093639</v>
      </c>
      <c r="H91" s="76">
        <v>662.0414724788916</v>
      </c>
      <c r="I91" s="76">
        <v>3730.501901874259</v>
      </c>
      <c r="J91" s="12">
        <v>6243200</v>
      </c>
    </row>
    <row r="92" spans="2:10" ht="12.75">
      <c r="B92" s="14" t="s">
        <v>771</v>
      </c>
      <c r="C92" s="19">
        <v>25635</v>
      </c>
      <c r="D92" s="395">
        <v>25635</v>
      </c>
      <c r="E92" s="19">
        <v>25635</v>
      </c>
      <c r="F92" s="76">
        <v>735.7481943478966</v>
      </c>
      <c r="G92" s="76">
        <v>1132.3184344491988</v>
      </c>
      <c r="H92" s="76">
        <v>634.3828261570062</v>
      </c>
      <c r="I92" s="76">
        <v>3485.5823258237247</v>
      </c>
      <c r="J92" s="12">
        <v>228592747</v>
      </c>
    </row>
    <row r="93" spans="2:10" ht="12.75">
      <c r="B93" s="14" t="s">
        <v>772</v>
      </c>
      <c r="C93" s="19">
        <v>4818</v>
      </c>
      <c r="D93" s="395">
        <v>4841.38</v>
      </c>
      <c r="E93" s="19">
        <v>4818</v>
      </c>
      <c r="F93" s="76">
        <v>692.4084019414455</v>
      </c>
      <c r="G93" s="76">
        <v>1342.358103244831</v>
      </c>
      <c r="H93" s="76">
        <v>902.9616931263242</v>
      </c>
      <c r="I93" s="76">
        <v>5271.435772665374</v>
      </c>
      <c r="J93" s="12">
        <v>33766448</v>
      </c>
    </row>
    <row r="94" spans="2:10" ht="12.75">
      <c r="B94" s="14" t="s">
        <v>773</v>
      </c>
      <c r="C94" s="19">
        <v>23034</v>
      </c>
      <c r="D94" s="395">
        <v>23034</v>
      </c>
      <c r="E94" s="19">
        <v>23034</v>
      </c>
      <c r="F94" s="76">
        <v>642.1339958314111</v>
      </c>
      <c r="G94" s="76">
        <v>1131.8647400379573</v>
      </c>
      <c r="H94" s="76">
        <v>650.6662859530637</v>
      </c>
      <c r="I94" s="76">
        <v>3276.473433843702</v>
      </c>
      <c r="J94" s="12">
        <v>276968814</v>
      </c>
    </row>
    <row r="95" spans="2:10" ht="12.75">
      <c r="B95" s="14" t="s">
        <v>774</v>
      </c>
      <c r="C95" s="19">
        <v>25813</v>
      </c>
      <c r="D95" s="395">
        <v>25814</v>
      </c>
      <c r="E95" s="19">
        <v>25813</v>
      </c>
      <c r="F95" s="76">
        <v>1096.6989431526936</v>
      </c>
      <c r="G95" s="76">
        <v>1625.069309225285</v>
      </c>
      <c r="H95" s="76">
        <v>964.8894459005769</v>
      </c>
      <c r="I95" s="76">
        <v>5036.286077593324</v>
      </c>
      <c r="J95" s="12">
        <v>573287359</v>
      </c>
    </row>
    <row r="96" spans="2:10" ht="12.75">
      <c r="B96" s="14" t="s">
        <v>775</v>
      </c>
      <c r="C96" s="19">
        <v>3806</v>
      </c>
      <c r="D96" s="395">
        <v>3806.5</v>
      </c>
      <c r="E96" s="19">
        <v>3806</v>
      </c>
      <c r="F96" s="76">
        <v>582.2946872340871</v>
      </c>
      <c r="G96" s="76">
        <v>1064.0795130506444</v>
      </c>
      <c r="H96" s="76">
        <v>636.3837836826327</v>
      </c>
      <c r="I96" s="76">
        <v>3574.078621506835</v>
      </c>
      <c r="J96" s="12">
        <v>28952170</v>
      </c>
    </row>
    <row r="97" spans="2:10" ht="12.75">
      <c r="B97" s="14" t="s">
        <v>776</v>
      </c>
      <c r="C97" s="19">
        <v>58211</v>
      </c>
      <c r="D97" s="395">
        <v>58221.75</v>
      </c>
      <c r="E97" s="19">
        <v>56811</v>
      </c>
      <c r="F97" s="76">
        <v>642.4974489202397</v>
      </c>
      <c r="G97" s="76">
        <v>1161.2611254614544</v>
      </c>
      <c r="H97" s="76">
        <v>657.858195797803</v>
      </c>
      <c r="I97" s="76">
        <v>3362.684726973873</v>
      </c>
      <c r="J97" s="12">
        <v>829983624</v>
      </c>
    </row>
    <row r="98" spans="2:10" ht="12.75">
      <c r="B98" s="14" t="s">
        <v>777</v>
      </c>
      <c r="C98" s="19">
        <v>22229</v>
      </c>
      <c r="D98" s="395">
        <v>22229</v>
      </c>
      <c r="E98" s="19">
        <v>22229</v>
      </c>
      <c r="F98" s="76">
        <v>769.9330400279248</v>
      </c>
      <c r="G98" s="76">
        <v>1128.938188475366</v>
      </c>
      <c r="H98" s="76">
        <v>621.613020198937</v>
      </c>
      <c r="I98" s="76">
        <v>3395.2691406807494</v>
      </c>
      <c r="J98" s="12">
        <v>224308128</v>
      </c>
    </row>
    <row r="99" spans="2:10" ht="12.75">
      <c r="B99" s="14" t="s">
        <v>778</v>
      </c>
      <c r="C99" s="19">
        <v>3249</v>
      </c>
      <c r="D99" s="395">
        <v>3254.59</v>
      </c>
      <c r="E99" s="19">
        <v>3249</v>
      </c>
      <c r="F99" s="76">
        <v>524.3507747820609</v>
      </c>
      <c r="G99" s="76">
        <v>1147.476718370794</v>
      </c>
      <c r="H99" s="76">
        <v>772.6757662646003</v>
      </c>
      <c r="I99" s="76">
        <v>4100.210715128578</v>
      </c>
      <c r="J99" s="12">
        <v>16258018</v>
      </c>
    </row>
    <row r="100" spans="2:10" ht="12.75">
      <c r="B100" s="14" t="s">
        <v>779</v>
      </c>
      <c r="C100" s="19">
        <v>15450</v>
      </c>
      <c r="D100" s="395">
        <v>15450</v>
      </c>
      <c r="E100" s="19">
        <v>14120</v>
      </c>
      <c r="F100" s="76">
        <v>1094.922500965149</v>
      </c>
      <c r="G100" s="76">
        <v>1597.419228055469</v>
      </c>
      <c r="H100" s="76">
        <v>957.7618035277675</v>
      </c>
      <c r="I100" s="76">
        <v>4463.870682717306</v>
      </c>
      <c r="J100" s="12">
        <v>263616550</v>
      </c>
    </row>
    <row r="101" spans="2:10" ht="12.75">
      <c r="B101" s="14" t="s">
        <v>780</v>
      </c>
      <c r="C101" s="19">
        <v>7932</v>
      </c>
      <c r="D101" s="395">
        <v>7932</v>
      </c>
      <c r="E101" s="19">
        <v>7932</v>
      </c>
      <c r="F101" s="76">
        <v>688.4925930534881</v>
      </c>
      <c r="G101" s="76">
        <v>1145.2477896128569</v>
      </c>
      <c r="H101" s="76">
        <v>648.3776255956769</v>
      </c>
      <c r="I101" s="76">
        <v>3225.1245569936577</v>
      </c>
      <c r="J101" s="12">
        <v>41084903</v>
      </c>
    </row>
    <row r="102" spans="2:10" ht="12.75">
      <c r="B102" s="14" t="s">
        <v>781</v>
      </c>
      <c r="C102" s="19">
        <v>8113</v>
      </c>
      <c r="D102" s="395">
        <v>8126.63</v>
      </c>
      <c r="E102" s="19">
        <v>8113</v>
      </c>
      <c r="F102" s="76">
        <v>663.7424858484355</v>
      </c>
      <c r="G102" s="76">
        <v>1293.6442255710635</v>
      </c>
      <c r="H102" s="76">
        <v>801.0514748002946</v>
      </c>
      <c r="I102" s="76">
        <v>4045.7052963994415</v>
      </c>
      <c r="J102" s="12">
        <v>40383280</v>
      </c>
    </row>
    <row r="103" spans="2:10" ht="12.75">
      <c r="B103" s="14" t="s">
        <v>782</v>
      </c>
      <c r="C103" s="19">
        <v>17259</v>
      </c>
      <c r="D103" s="395">
        <v>17259</v>
      </c>
      <c r="E103" s="19">
        <v>15213</v>
      </c>
      <c r="F103" s="76">
        <v>809.8601075161929</v>
      </c>
      <c r="G103" s="76">
        <v>1180.5591076937424</v>
      </c>
      <c r="H103" s="76">
        <v>662.5825786685218</v>
      </c>
      <c r="I103" s="76">
        <v>3413.1964999823717</v>
      </c>
      <c r="J103" s="12">
        <v>449706123</v>
      </c>
    </row>
    <row r="104" spans="2:10" ht="12.75">
      <c r="B104" s="14" t="s">
        <v>783</v>
      </c>
      <c r="C104" s="19">
        <v>6609</v>
      </c>
      <c r="D104" s="395">
        <v>6609</v>
      </c>
      <c r="E104" s="19">
        <v>6609</v>
      </c>
      <c r="F104" s="76">
        <v>672.4754014832304</v>
      </c>
      <c r="G104" s="76">
        <v>1017.1388170570398</v>
      </c>
      <c r="H104" s="76">
        <v>597.9954212366379</v>
      </c>
      <c r="I104" s="76">
        <v>3414.8836143056874</v>
      </c>
      <c r="J104" s="12">
        <v>42918878</v>
      </c>
    </row>
    <row r="105" spans="2:10" ht="12.75">
      <c r="B105" s="14" t="s">
        <v>784</v>
      </c>
      <c r="C105" s="19">
        <v>3046</v>
      </c>
      <c r="D105" s="395">
        <v>3046</v>
      </c>
      <c r="E105" s="19">
        <v>3046</v>
      </c>
      <c r="F105" s="76">
        <v>633.4954633032795</v>
      </c>
      <c r="G105" s="76">
        <v>1224.6770296352797</v>
      </c>
      <c r="H105" s="76">
        <v>775.5362488242756</v>
      </c>
      <c r="I105" s="76">
        <v>3871.307103579789</v>
      </c>
      <c r="J105" s="12">
        <v>26701843</v>
      </c>
    </row>
    <row r="106" spans="2:10" ht="12.75">
      <c r="B106" s="14" t="s">
        <v>785</v>
      </c>
      <c r="C106" s="19">
        <v>1892</v>
      </c>
      <c r="D106" s="395">
        <v>1892</v>
      </c>
      <c r="E106" s="19">
        <v>1892</v>
      </c>
      <c r="F106" s="76">
        <v>569.8845773157858</v>
      </c>
      <c r="G106" s="76">
        <v>1009.2600655100531</v>
      </c>
      <c r="H106" s="76">
        <v>652.3784656102234</v>
      </c>
      <c r="I106" s="76">
        <v>3617.3068616717155</v>
      </c>
      <c r="J106" s="12">
        <v>5931224</v>
      </c>
    </row>
    <row r="107" spans="2:10" ht="12.75">
      <c r="B107" s="14" t="s">
        <v>786</v>
      </c>
      <c r="C107" s="19">
        <v>3082</v>
      </c>
      <c r="D107" s="395">
        <v>3082</v>
      </c>
      <c r="E107" s="19">
        <v>3082</v>
      </c>
      <c r="F107" s="76">
        <v>471.07088612033294</v>
      </c>
      <c r="G107" s="76">
        <v>1038.710339748293</v>
      </c>
      <c r="H107" s="76">
        <v>679.6440988467511</v>
      </c>
      <c r="I107" s="76">
        <v>3724.8192749411987</v>
      </c>
      <c r="J107" s="12">
        <v>7153370</v>
      </c>
    </row>
    <row r="108" spans="2:10" ht="12.75">
      <c r="B108" s="14" t="s">
        <v>787</v>
      </c>
      <c r="C108" s="19">
        <v>3414</v>
      </c>
      <c r="D108" s="395">
        <v>3423</v>
      </c>
      <c r="E108" s="19">
        <v>3414</v>
      </c>
      <c r="F108" s="76">
        <v>452.49943111607195</v>
      </c>
      <c r="G108" s="76">
        <v>968.4073662307985</v>
      </c>
      <c r="H108" s="76">
        <v>616.3603857893893</v>
      </c>
      <c r="I108" s="76">
        <v>3856.687712412037</v>
      </c>
      <c r="J108" s="12">
        <v>20508243</v>
      </c>
    </row>
    <row r="109" spans="2:10" ht="12.75">
      <c r="B109" s="14" t="s">
        <v>788</v>
      </c>
      <c r="C109" s="19">
        <v>11477</v>
      </c>
      <c r="D109" s="395">
        <v>12479.15</v>
      </c>
      <c r="E109" s="19">
        <v>11477</v>
      </c>
      <c r="F109" s="76">
        <v>656.9341908832963</v>
      </c>
      <c r="G109" s="76">
        <v>1157.743516411877</v>
      </c>
      <c r="H109" s="76">
        <v>724.5472619987883</v>
      </c>
      <c r="I109" s="76">
        <v>4016.603844257125</v>
      </c>
      <c r="J109" s="12">
        <v>88932149</v>
      </c>
    </row>
    <row r="110" spans="2:10" ht="12.75">
      <c r="B110" s="14" t="s">
        <v>789</v>
      </c>
      <c r="C110" s="19">
        <v>8151</v>
      </c>
      <c r="D110" s="395">
        <v>8151</v>
      </c>
      <c r="E110" s="19">
        <v>8151</v>
      </c>
      <c r="F110" s="76">
        <v>449.2091466959542</v>
      </c>
      <c r="G110" s="76">
        <v>978.1022253375631</v>
      </c>
      <c r="H110" s="76">
        <v>609.4865937151056</v>
      </c>
      <c r="I110" s="76">
        <v>3577.2966523159166</v>
      </c>
      <c r="J110" s="12">
        <v>51061946</v>
      </c>
    </row>
    <row r="111" spans="2:10" ht="12.75">
      <c r="B111" s="14" t="s">
        <v>790</v>
      </c>
      <c r="C111" s="19">
        <v>5007</v>
      </c>
      <c r="D111" s="395">
        <v>5007.25</v>
      </c>
      <c r="E111" s="19">
        <v>5007</v>
      </c>
      <c r="F111" s="76">
        <v>520.9893141405089</v>
      </c>
      <c r="G111" s="76">
        <v>1052.021953545085</v>
      </c>
      <c r="H111" s="76">
        <v>737.9198024418647</v>
      </c>
      <c r="I111" s="76">
        <v>4634.205246700793</v>
      </c>
      <c r="J111" s="12">
        <v>12832795</v>
      </c>
    </row>
    <row r="112" spans="2:10" ht="12.75">
      <c r="B112" s="14" t="s">
        <v>791</v>
      </c>
      <c r="C112" s="19">
        <v>5387</v>
      </c>
      <c r="D112" s="395">
        <v>5387</v>
      </c>
      <c r="E112" s="19">
        <v>5387</v>
      </c>
      <c r="F112" s="76">
        <v>508.97559785724843</v>
      </c>
      <c r="G112" s="76">
        <v>958.1251115727885</v>
      </c>
      <c r="H112" s="76">
        <v>629.4195224664434</v>
      </c>
      <c r="I112" s="76">
        <v>3590.1538525141154</v>
      </c>
      <c r="J112" s="12">
        <v>74307399</v>
      </c>
    </row>
    <row r="113" spans="2:10" ht="12.75">
      <c r="B113" s="14" t="s">
        <v>792</v>
      </c>
      <c r="C113" s="19">
        <v>28679</v>
      </c>
      <c r="D113" s="395">
        <v>28682</v>
      </c>
      <c r="E113" s="19">
        <v>28679</v>
      </c>
      <c r="F113" s="76">
        <v>703.7789143165113</v>
      </c>
      <c r="G113" s="76">
        <v>1135.8955759640876</v>
      </c>
      <c r="H113" s="76">
        <v>659.8911239091076</v>
      </c>
      <c r="I113" s="76">
        <v>3491.994868961779</v>
      </c>
      <c r="J113" s="12">
        <v>663623100</v>
      </c>
    </row>
    <row r="114" spans="2:10" ht="12.75">
      <c r="B114" s="14" t="s">
        <v>793</v>
      </c>
      <c r="C114" s="19">
        <v>17772</v>
      </c>
      <c r="D114" s="395">
        <v>17774</v>
      </c>
      <c r="E114" s="19">
        <v>15875</v>
      </c>
      <c r="F114" s="76">
        <v>1001.9780191109941</v>
      </c>
      <c r="G114" s="76">
        <v>1463.4050287724433</v>
      </c>
      <c r="H114" s="76">
        <v>905.8531238847894</v>
      </c>
      <c r="I114" s="76">
        <v>4482.204645936354</v>
      </c>
      <c r="J114" s="12">
        <v>791669159</v>
      </c>
    </row>
    <row r="115" spans="2:10" ht="12.75">
      <c r="B115" s="14" t="s">
        <v>794</v>
      </c>
      <c r="C115" s="19">
        <v>3793</v>
      </c>
      <c r="D115" s="395">
        <v>3793</v>
      </c>
      <c r="E115" s="19">
        <v>3793</v>
      </c>
      <c r="F115" s="76">
        <v>447.3385127471451</v>
      </c>
      <c r="G115" s="76">
        <v>949.5201204762255</v>
      </c>
      <c r="H115" s="76">
        <v>584.8854244462916</v>
      </c>
      <c r="I115" s="76">
        <v>3623.6036821001007</v>
      </c>
      <c r="J115" s="12">
        <v>20828225</v>
      </c>
    </row>
    <row r="116" spans="2:10" ht="12.75">
      <c r="B116" s="14" t="s">
        <v>795</v>
      </c>
      <c r="C116" s="19">
        <v>15524</v>
      </c>
      <c r="D116" s="395">
        <v>15524</v>
      </c>
      <c r="E116" s="19">
        <v>15524</v>
      </c>
      <c r="F116" s="76">
        <v>545.6572277038404</v>
      </c>
      <c r="G116" s="76">
        <v>1031.5552850229344</v>
      </c>
      <c r="H116" s="76">
        <v>642.4375553232351</v>
      </c>
      <c r="I116" s="76">
        <v>3435.8772431714747</v>
      </c>
      <c r="J116" s="12">
        <v>142391717</v>
      </c>
    </row>
    <row r="117" spans="2:10" ht="12.75">
      <c r="B117" s="14" t="s">
        <v>796</v>
      </c>
      <c r="C117" s="19">
        <v>2722</v>
      </c>
      <c r="D117" s="395">
        <v>2722</v>
      </c>
      <c r="E117" s="19">
        <v>2722</v>
      </c>
      <c r="F117" s="76">
        <v>511.6233559255515</v>
      </c>
      <c r="G117" s="76">
        <v>1077.1483059801355</v>
      </c>
      <c r="H117" s="76">
        <v>673.0394537771348</v>
      </c>
      <c r="I117" s="76">
        <v>3910.078116873986</v>
      </c>
      <c r="J117" s="12">
        <v>3417342</v>
      </c>
    </row>
    <row r="118" spans="2:10" ht="12.75">
      <c r="B118" s="14" t="s">
        <v>797</v>
      </c>
      <c r="C118" s="19">
        <v>12109</v>
      </c>
      <c r="D118" s="395">
        <v>12144.2</v>
      </c>
      <c r="E118" s="19">
        <v>12109</v>
      </c>
      <c r="F118" s="76">
        <v>640.4530969263118</v>
      </c>
      <c r="G118" s="76">
        <v>1206.3705523668905</v>
      </c>
      <c r="H118" s="76">
        <v>680.9366135368346</v>
      </c>
      <c r="I118" s="76">
        <v>3892.877498084611</v>
      </c>
      <c r="J118" s="12">
        <v>15480089</v>
      </c>
    </row>
    <row r="119" spans="2:10" ht="12.75">
      <c r="B119" s="14" t="s">
        <v>798</v>
      </c>
      <c r="C119" s="19">
        <v>8517</v>
      </c>
      <c r="D119" s="395">
        <v>8517</v>
      </c>
      <c r="E119" s="19">
        <v>8517</v>
      </c>
      <c r="F119" s="76">
        <v>473.4954964397991</v>
      </c>
      <c r="G119" s="76">
        <v>1035.8384959528737</v>
      </c>
      <c r="H119" s="76">
        <v>642.6562501670542</v>
      </c>
      <c r="I119" s="76">
        <v>3155.8258527849316</v>
      </c>
      <c r="J119" s="12">
        <v>95199089</v>
      </c>
    </row>
    <row r="120" spans="2:10" ht="12.75">
      <c r="B120" s="14" t="s">
        <v>799</v>
      </c>
      <c r="C120" s="19">
        <v>15764</v>
      </c>
      <c r="D120" s="395">
        <v>15764</v>
      </c>
      <c r="E120" s="19">
        <v>15764</v>
      </c>
      <c r="F120" s="76">
        <v>701.5123972718064</v>
      </c>
      <c r="G120" s="76">
        <v>1129.237425517227</v>
      </c>
      <c r="H120" s="76">
        <v>660.7871459902367</v>
      </c>
      <c r="I120" s="76">
        <v>3671.6519318033847</v>
      </c>
      <c r="J120" s="12">
        <v>88091180</v>
      </c>
    </row>
    <row r="121" spans="2:10" ht="12.75">
      <c r="B121" s="14" t="s">
        <v>800</v>
      </c>
      <c r="C121" s="19">
        <v>28270</v>
      </c>
      <c r="D121" s="395">
        <v>28270</v>
      </c>
      <c r="E121" s="19">
        <v>28270</v>
      </c>
      <c r="F121" s="76">
        <v>769.9029265290478</v>
      </c>
      <c r="G121" s="76">
        <v>1163.3348276413444</v>
      </c>
      <c r="H121" s="76">
        <v>606.9384309914219</v>
      </c>
      <c r="I121" s="76">
        <v>3453.5637548313325</v>
      </c>
      <c r="J121" s="12">
        <v>383646181</v>
      </c>
    </row>
    <row r="122" spans="2:10" ht="12.75">
      <c r="B122" s="14" t="s">
        <v>801</v>
      </c>
      <c r="C122" s="19">
        <v>5929</v>
      </c>
      <c r="D122" s="395">
        <v>5929</v>
      </c>
      <c r="E122" s="19">
        <v>5929</v>
      </c>
      <c r="F122" s="76">
        <v>592.5985557160609</v>
      </c>
      <c r="G122" s="76">
        <v>1167.932556336651</v>
      </c>
      <c r="H122" s="76">
        <v>685.2711583757352</v>
      </c>
      <c r="I122" s="76">
        <v>3665.215941452949</v>
      </c>
      <c r="J122" s="12">
        <v>18195053</v>
      </c>
    </row>
    <row r="123" spans="2:10" ht="12.75">
      <c r="B123" s="14" t="s">
        <v>802</v>
      </c>
      <c r="C123" s="19">
        <v>4356</v>
      </c>
      <c r="D123" s="395">
        <v>4356</v>
      </c>
      <c r="E123" s="19">
        <v>4356</v>
      </c>
      <c r="F123" s="76">
        <v>511.12469992137113</v>
      </c>
      <c r="G123" s="76">
        <v>961.3094614091699</v>
      </c>
      <c r="H123" s="76">
        <v>629.7435111963613</v>
      </c>
      <c r="I123" s="76">
        <v>3601.0052307731753</v>
      </c>
      <c r="J123" s="12">
        <v>13476484</v>
      </c>
    </row>
    <row r="124" spans="2:10" ht="12.75">
      <c r="B124" s="14" t="s">
        <v>803</v>
      </c>
      <c r="C124" s="19">
        <v>1261</v>
      </c>
      <c r="D124" s="395">
        <v>1261</v>
      </c>
      <c r="E124" s="19">
        <v>1261</v>
      </c>
      <c r="F124" s="76">
        <v>622.1287234166609</v>
      </c>
      <c r="G124" s="76">
        <v>1053.4792879028419</v>
      </c>
      <c r="H124" s="76">
        <v>668.6930056618127</v>
      </c>
      <c r="I124" s="76">
        <v>3604.6118282788143</v>
      </c>
      <c r="J124" s="12">
        <v>3654216</v>
      </c>
    </row>
    <row r="125" spans="2:10" ht="12.75">
      <c r="B125" s="14" t="s">
        <v>804</v>
      </c>
      <c r="C125" s="19">
        <v>1765</v>
      </c>
      <c r="D125" s="395">
        <v>1765</v>
      </c>
      <c r="E125" s="19">
        <v>336</v>
      </c>
      <c r="F125" s="76">
        <v>1379.6031814750952</v>
      </c>
      <c r="G125" s="76">
        <v>1805.1132988950317</v>
      </c>
      <c r="H125" s="76">
        <v>765.6145945148305</v>
      </c>
      <c r="I125" s="76">
        <v>3270.7762868111904</v>
      </c>
      <c r="J125" s="12">
        <v>28794738</v>
      </c>
    </row>
    <row r="126" spans="2:10" ht="12.75">
      <c r="B126" s="14" t="s">
        <v>805</v>
      </c>
      <c r="C126" s="19">
        <v>7749</v>
      </c>
      <c r="D126" s="395">
        <v>7752</v>
      </c>
      <c r="E126" s="19">
        <v>7749</v>
      </c>
      <c r="F126" s="76">
        <v>697.2615155992539</v>
      </c>
      <c r="G126" s="76">
        <v>1248.5532165009852</v>
      </c>
      <c r="H126" s="76">
        <v>730.6988076039297</v>
      </c>
      <c r="I126" s="76">
        <v>4785.539141201656</v>
      </c>
      <c r="J126" s="12">
        <v>34489207</v>
      </c>
    </row>
    <row r="127" spans="2:10" ht="12.75">
      <c r="B127" s="14" t="s">
        <v>806</v>
      </c>
      <c r="C127" s="19">
        <v>4613</v>
      </c>
      <c r="D127" s="395">
        <v>4613</v>
      </c>
      <c r="E127" s="19">
        <v>4613</v>
      </c>
      <c r="F127" s="76">
        <v>548.6822437959731</v>
      </c>
      <c r="G127" s="76">
        <v>1112.1802431084602</v>
      </c>
      <c r="H127" s="76">
        <v>803.8744826622428</v>
      </c>
      <c r="I127" s="76">
        <v>4015.2979634041612</v>
      </c>
      <c r="J127" s="12">
        <v>45864478</v>
      </c>
    </row>
    <row r="128" spans="2:10" ht="12.75">
      <c r="B128" s="14" t="s">
        <v>807</v>
      </c>
      <c r="C128" s="19">
        <v>15159</v>
      </c>
      <c r="D128" s="395">
        <v>15159</v>
      </c>
      <c r="E128" s="19">
        <v>15159</v>
      </c>
      <c r="F128" s="76">
        <v>814.8989784486653</v>
      </c>
      <c r="G128" s="76">
        <v>1332.0325906257463</v>
      </c>
      <c r="H128" s="76">
        <v>818.314717555508</v>
      </c>
      <c r="I128" s="76">
        <v>3960.3289299321605</v>
      </c>
      <c r="J128" s="12">
        <v>91868985</v>
      </c>
    </row>
    <row r="129" spans="2:10" ht="12.75">
      <c r="B129" s="14" t="s">
        <v>808</v>
      </c>
      <c r="C129" s="19">
        <v>7226</v>
      </c>
      <c r="D129" s="395">
        <v>7231.63</v>
      </c>
      <c r="E129" s="19">
        <v>5889</v>
      </c>
      <c r="F129" s="76">
        <v>717.7440666024611</v>
      </c>
      <c r="G129" s="76">
        <v>1281.1797443165035</v>
      </c>
      <c r="H129" s="76">
        <v>803.1197043927133</v>
      </c>
      <c r="I129" s="76">
        <v>4853.758247542482</v>
      </c>
      <c r="J129" s="12">
        <v>56234647</v>
      </c>
    </row>
    <row r="130" spans="2:10" ht="12.75">
      <c r="B130" s="14" t="s">
        <v>809</v>
      </c>
      <c r="C130" s="19">
        <v>4649</v>
      </c>
      <c r="D130" s="395">
        <v>4649</v>
      </c>
      <c r="E130" s="19">
        <v>4649</v>
      </c>
      <c r="F130" s="76">
        <v>721.4495149468521</v>
      </c>
      <c r="G130" s="76">
        <v>1444.6377585772402</v>
      </c>
      <c r="H130" s="76">
        <v>907.7229878889524</v>
      </c>
      <c r="I130" s="76">
        <v>4822.024950520052</v>
      </c>
      <c r="J130" s="12">
        <v>39935548</v>
      </c>
    </row>
    <row r="131" spans="2:10" ht="12.75">
      <c r="B131" s="14" t="s">
        <v>810</v>
      </c>
      <c r="C131" s="19">
        <v>6036</v>
      </c>
      <c r="D131" s="395">
        <v>6036</v>
      </c>
      <c r="E131" s="19">
        <v>6036</v>
      </c>
      <c r="F131" s="76">
        <v>598.5930009133049</v>
      </c>
      <c r="G131" s="76">
        <v>1072.7808989071073</v>
      </c>
      <c r="H131" s="76">
        <v>665.1768223936408</v>
      </c>
      <c r="I131" s="76">
        <v>3665.3776954315645</v>
      </c>
      <c r="J131" s="12">
        <v>0</v>
      </c>
    </row>
    <row r="132" spans="2:10" ht="12.75">
      <c r="B132" s="14" t="s">
        <v>813</v>
      </c>
      <c r="C132" s="19">
        <v>1589</v>
      </c>
      <c r="D132" s="395">
        <v>1589</v>
      </c>
      <c r="E132" s="19">
        <v>1589</v>
      </c>
      <c r="F132" s="76">
        <v>529.7055922267472</v>
      </c>
      <c r="G132" s="76">
        <v>1039.9937042733025</v>
      </c>
      <c r="H132" s="76">
        <v>680.241127611996</v>
      </c>
      <c r="I132" s="76">
        <v>3646.1948983360453</v>
      </c>
      <c r="J132" s="12">
        <v>6231615</v>
      </c>
    </row>
    <row r="133" spans="2:10" ht="12.75">
      <c r="B133" s="14" t="s">
        <v>814</v>
      </c>
      <c r="C133" s="19">
        <v>13709</v>
      </c>
      <c r="D133" s="395">
        <v>13714.75</v>
      </c>
      <c r="E133" s="19">
        <v>13709</v>
      </c>
      <c r="F133" s="76">
        <v>760.9478250306411</v>
      </c>
      <c r="G133" s="76">
        <v>1218.493224920153</v>
      </c>
      <c r="H133" s="76">
        <v>661.9546012311464</v>
      </c>
      <c r="I133" s="76">
        <v>3373.8777155377775</v>
      </c>
      <c r="J133" s="12">
        <v>240776958</v>
      </c>
    </row>
    <row r="134" spans="2:10" ht="12.75">
      <c r="B134" s="14" t="s">
        <v>815</v>
      </c>
      <c r="C134" s="19">
        <v>20877</v>
      </c>
      <c r="D134" s="395">
        <v>20877</v>
      </c>
      <c r="E134" s="19">
        <v>20877</v>
      </c>
      <c r="F134" s="76">
        <v>567.2810055451538</v>
      </c>
      <c r="G134" s="76">
        <v>1076.0649239677152</v>
      </c>
      <c r="H134" s="76">
        <v>639.9520157984787</v>
      </c>
      <c r="I134" s="76">
        <v>3348.4950584696994</v>
      </c>
      <c r="J134" s="12">
        <v>314731372</v>
      </c>
    </row>
    <row r="135" spans="2:10" ht="12.75">
      <c r="B135" s="14" t="s">
        <v>816</v>
      </c>
      <c r="C135" s="19">
        <v>3909</v>
      </c>
      <c r="D135" s="395">
        <v>3915</v>
      </c>
      <c r="E135" s="19">
        <v>3909</v>
      </c>
      <c r="F135" s="76">
        <v>574.872717169245</v>
      </c>
      <c r="G135" s="76">
        <v>1104.8135840710345</v>
      </c>
      <c r="H135" s="76">
        <v>696.6065494285918</v>
      </c>
      <c r="I135" s="76">
        <v>3926.752449999771</v>
      </c>
      <c r="J135" s="12">
        <v>9955907</v>
      </c>
    </row>
    <row r="136" spans="2:10" ht="12.75">
      <c r="B136" s="14" t="s">
        <v>817</v>
      </c>
      <c r="C136" s="19">
        <v>2933</v>
      </c>
      <c r="D136" s="395">
        <v>2983</v>
      </c>
      <c r="E136" s="19">
        <v>2933</v>
      </c>
      <c r="F136" s="76">
        <v>569.8489078135243</v>
      </c>
      <c r="G136" s="76">
        <v>1180.848636452281</v>
      </c>
      <c r="H136" s="76">
        <v>806.3945002255742</v>
      </c>
      <c r="I136" s="76">
        <v>5147.384353996591</v>
      </c>
      <c r="J136" s="12">
        <v>235100</v>
      </c>
    </row>
    <row r="137" spans="2:10" ht="12.75">
      <c r="B137" s="14" t="s">
        <v>818</v>
      </c>
      <c r="C137" s="19">
        <v>10462</v>
      </c>
      <c r="D137" s="395">
        <v>10462</v>
      </c>
      <c r="E137" s="19">
        <v>10462</v>
      </c>
      <c r="F137" s="76">
        <v>765.1462537758181</v>
      </c>
      <c r="G137" s="76">
        <v>1199.2629918524847</v>
      </c>
      <c r="H137" s="76">
        <v>703.3885452353176</v>
      </c>
      <c r="I137" s="76">
        <v>3496.186905914953</v>
      </c>
      <c r="J137" s="12">
        <v>127398708</v>
      </c>
    </row>
    <row r="138" spans="2:10" ht="12.75">
      <c r="B138" s="14" t="s">
        <v>819</v>
      </c>
      <c r="C138" s="19">
        <v>30075</v>
      </c>
      <c r="D138" s="395">
        <v>30075</v>
      </c>
      <c r="E138" s="19">
        <v>29001</v>
      </c>
      <c r="F138" s="76">
        <v>701.6936568326921</v>
      </c>
      <c r="G138" s="76">
        <v>1133.3378803982441</v>
      </c>
      <c r="H138" s="76">
        <v>666.6553758643569</v>
      </c>
      <c r="I138" s="76">
        <v>3766.8819202084364</v>
      </c>
      <c r="J138" s="12">
        <v>478829957</v>
      </c>
    </row>
    <row r="139" spans="2:10" ht="12.75">
      <c r="B139" s="14" t="s">
        <v>820</v>
      </c>
      <c r="C139" s="19">
        <v>4073</v>
      </c>
      <c r="D139" s="395">
        <v>4112.5</v>
      </c>
      <c r="E139" s="19">
        <v>4073</v>
      </c>
      <c r="F139" s="76">
        <v>551.854496119128</v>
      </c>
      <c r="G139" s="76">
        <v>1122.7634880267428</v>
      </c>
      <c r="H139" s="76">
        <v>703.6501162278628</v>
      </c>
      <c r="I139" s="76">
        <v>3619.2161569046616</v>
      </c>
      <c r="J139" s="12">
        <v>14129433</v>
      </c>
    </row>
    <row r="140" spans="2:10" ht="12.75">
      <c r="B140" s="14" t="s">
        <v>821</v>
      </c>
      <c r="C140" s="19">
        <v>3169</v>
      </c>
      <c r="D140" s="395">
        <v>3169</v>
      </c>
      <c r="E140" s="19">
        <v>3169</v>
      </c>
      <c r="F140" s="76">
        <v>490.81637505572985</v>
      </c>
      <c r="G140" s="76">
        <v>995.7999805033895</v>
      </c>
      <c r="H140" s="76">
        <v>643.1803932418619</v>
      </c>
      <c r="I140" s="76">
        <v>3626.1712242171984</v>
      </c>
      <c r="J140" s="12">
        <v>5334967</v>
      </c>
    </row>
    <row r="141" spans="2:10" ht="12.75">
      <c r="B141" s="14" t="s">
        <v>822</v>
      </c>
      <c r="C141" s="19">
        <v>41602</v>
      </c>
      <c r="D141" s="395">
        <v>41602</v>
      </c>
      <c r="E141" s="19">
        <v>41602</v>
      </c>
      <c r="F141" s="76">
        <v>676.642434047852</v>
      </c>
      <c r="G141" s="76">
        <v>1211.6128099783211</v>
      </c>
      <c r="H141" s="76">
        <v>671.0474467003171</v>
      </c>
      <c r="I141" s="76">
        <v>3345.146992433714</v>
      </c>
      <c r="J141" s="12">
        <v>905145164</v>
      </c>
    </row>
    <row r="142" spans="2:10" ht="12.75">
      <c r="B142" s="14" t="s">
        <v>823</v>
      </c>
      <c r="C142" s="19">
        <v>3436</v>
      </c>
      <c r="D142" s="395">
        <v>3439</v>
      </c>
      <c r="E142" s="19">
        <v>3436</v>
      </c>
      <c r="F142" s="76">
        <v>569.4006850301039</v>
      </c>
      <c r="G142" s="76">
        <v>1187.6951369486192</v>
      </c>
      <c r="H142" s="76">
        <v>758.332745773647</v>
      </c>
      <c r="I142" s="76">
        <v>3964.996848690272</v>
      </c>
      <c r="J142" s="12">
        <v>21324415</v>
      </c>
    </row>
    <row r="143" spans="2:10" ht="12.75">
      <c r="B143" s="14" t="s">
        <v>824</v>
      </c>
      <c r="C143" s="19">
        <v>4240</v>
      </c>
      <c r="D143" s="395">
        <v>4240</v>
      </c>
      <c r="E143" s="19">
        <v>4240</v>
      </c>
      <c r="F143" s="76">
        <v>492.4498316043035</v>
      </c>
      <c r="G143" s="76">
        <v>1000.8951211772974</v>
      </c>
      <c r="H143" s="76">
        <v>641.9341713579051</v>
      </c>
      <c r="I143" s="76">
        <v>3768.023532774343</v>
      </c>
      <c r="J143" s="12">
        <v>7130277</v>
      </c>
    </row>
    <row r="144" spans="2:10" ht="12.75">
      <c r="B144" s="14" t="s">
        <v>825</v>
      </c>
      <c r="C144" s="19">
        <v>6443</v>
      </c>
      <c r="D144" s="395">
        <v>6445.57</v>
      </c>
      <c r="E144" s="19">
        <v>6443</v>
      </c>
      <c r="F144" s="76">
        <v>752.1453458678276</v>
      </c>
      <c r="G144" s="76">
        <v>1271.0784190790184</v>
      </c>
      <c r="H144" s="76">
        <v>795.2681013769377</v>
      </c>
      <c r="I144" s="76">
        <v>4862.277433327893</v>
      </c>
      <c r="J144" s="12">
        <v>41562430</v>
      </c>
    </row>
    <row r="145" spans="2:10" ht="12.75">
      <c r="B145" s="14" t="s">
        <v>826</v>
      </c>
      <c r="C145" s="19">
        <v>10344</v>
      </c>
      <c r="D145" s="395">
        <v>10344</v>
      </c>
      <c r="E145" s="19">
        <v>10344</v>
      </c>
      <c r="F145" s="76">
        <v>611.1550578982105</v>
      </c>
      <c r="G145" s="76">
        <v>1119.722143159208</v>
      </c>
      <c r="H145" s="76">
        <v>736.9240140212952</v>
      </c>
      <c r="I145" s="76">
        <v>3802.941787960738</v>
      </c>
      <c r="J145" s="12">
        <v>110194016</v>
      </c>
    </row>
    <row r="146" spans="2:10" ht="12.75">
      <c r="B146" s="14" t="s">
        <v>827</v>
      </c>
      <c r="C146" s="19">
        <v>5370</v>
      </c>
      <c r="D146" s="395">
        <v>5438.58</v>
      </c>
      <c r="E146" s="19">
        <v>5370</v>
      </c>
      <c r="F146" s="76">
        <v>443.24970487815295</v>
      </c>
      <c r="G146" s="76">
        <v>999.634482501566</v>
      </c>
      <c r="H146" s="76">
        <v>634.1362083343924</v>
      </c>
      <c r="I146" s="76">
        <v>4717.739134604601</v>
      </c>
      <c r="J146" s="12">
        <v>0</v>
      </c>
    </row>
    <row r="147" spans="2:10" ht="12.75">
      <c r="B147" s="14" t="s">
        <v>828</v>
      </c>
      <c r="C147" s="19">
        <v>3046</v>
      </c>
      <c r="D147" s="395">
        <v>3046</v>
      </c>
      <c r="E147" s="19">
        <v>3046</v>
      </c>
      <c r="F147" s="76">
        <v>491.38885605984837</v>
      </c>
      <c r="G147" s="76">
        <v>948.1908093115492</v>
      </c>
      <c r="H147" s="76">
        <v>641.8256962205058</v>
      </c>
      <c r="I147" s="76">
        <v>3690.7904320207554</v>
      </c>
      <c r="J147" s="12">
        <v>9429324</v>
      </c>
    </row>
    <row r="148" spans="2:10" ht="12.75">
      <c r="B148" s="14" t="s">
        <v>829</v>
      </c>
      <c r="C148" s="19">
        <v>3884</v>
      </c>
      <c r="D148" s="395">
        <v>3889</v>
      </c>
      <c r="E148" s="19">
        <v>3884</v>
      </c>
      <c r="F148" s="76">
        <v>473.3474162935388</v>
      </c>
      <c r="G148" s="76">
        <v>931.8084975328719</v>
      </c>
      <c r="H148" s="76">
        <v>562.3995083730978</v>
      </c>
      <c r="I148" s="76">
        <v>3441.7851329714376</v>
      </c>
      <c r="J148" s="12">
        <v>7244785</v>
      </c>
    </row>
    <row r="149" spans="2:10" ht="12.75">
      <c r="B149" s="14" t="s">
        <v>830</v>
      </c>
      <c r="C149" s="19">
        <v>6239</v>
      </c>
      <c r="D149" s="395">
        <v>6265.45</v>
      </c>
      <c r="E149" s="19">
        <v>6239</v>
      </c>
      <c r="F149" s="76">
        <v>503.5665736237109</v>
      </c>
      <c r="G149" s="76">
        <v>950.4834235058229</v>
      </c>
      <c r="H149" s="76">
        <v>598.7881637359044</v>
      </c>
      <c r="I149" s="76">
        <v>3693.739653422111</v>
      </c>
      <c r="J149" s="12">
        <v>13519330</v>
      </c>
    </row>
    <row r="150" spans="2:10" ht="12.75">
      <c r="B150" s="14" t="s">
        <v>831</v>
      </c>
      <c r="C150" s="19">
        <v>3179</v>
      </c>
      <c r="D150" s="395">
        <v>3181.25</v>
      </c>
      <c r="E150" s="19">
        <v>3179</v>
      </c>
      <c r="F150" s="76">
        <v>502.6162756925189</v>
      </c>
      <c r="G150" s="76">
        <v>991.4456207410702</v>
      </c>
      <c r="H150" s="76">
        <v>673.4212244469842</v>
      </c>
      <c r="I150" s="76">
        <v>4019.057475584703</v>
      </c>
      <c r="J150" s="12">
        <v>13124173</v>
      </c>
    </row>
    <row r="151" spans="2:10" ht="12.75">
      <c r="B151" s="14" t="s">
        <v>833</v>
      </c>
      <c r="C151" s="19">
        <v>18102</v>
      </c>
      <c r="D151" s="395">
        <v>18104</v>
      </c>
      <c r="E151" s="19">
        <v>18102</v>
      </c>
      <c r="F151" s="76">
        <v>577.5716915661033</v>
      </c>
      <c r="G151" s="76">
        <v>1040.138430459336</v>
      </c>
      <c r="H151" s="76">
        <v>657.8931044621053</v>
      </c>
      <c r="I151" s="76">
        <v>3369.656043617102</v>
      </c>
      <c r="J151" s="12">
        <v>223836449</v>
      </c>
    </row>
    <row r="152" spans="2:10" ht="12.75">
      <c r="B152" s="14" t="s">
        <v>834</v>
      </c>
      <c r="C152" s="19">
        <v>16917</v>
      </c>
      <c r="D152" s="395">
        <v>16954.14</v>
      </c>
      <c r="E152" s="19">
        <v>16917</v>
      </c>
      <c r="F152" s="76">
        <v>832.6595096912661</v>
      </c>
      <c r="G152" s="76">
        <v>1331.6735503007678</v>
      </c>
      <c r="H152" s="76">
        <v>792.8385773163205</v>
      </c>
      <c r="I152" s="76">
        <v>3874.7645717684154</v>
      </c>
      <c r="J152" s="12">
        <v>122225348</v>
      </c>
    </row>
    <row r="153" spans="2:10" ht="12.75">
      <c r="B153" s="14" t="s">
        <v>835</v>
      </c>
      <c r="C153" s="19">
        <v>6125</v>
      </c>
      <c r="D153" s="395">
        <v>6132.2</v>
      </c>
      <c r="E153" s="19">
        <v>6125</v>
      </c>
      <c r="F153" s="76">
        <v>651.2973386549355</v>
      </c>
      <c r="G153" s="76">
        <v>1226.4226980275803</v>
      </c>
      <c r="H153" s="76">
        <v>825.7413813880468</v>
      </c>
      <c r="I153" s="76">
        <v>3800.0352402431417</v>
      </c>
      <c r="J153" s="12">
        <v>66246909</v>
      </c>
    </row>
    <row r="154" spans="2:10" ht="12.75">
      <c r="B154" s="14" t="s">
        <v>836</v>
      </c>
      <c r="C154" s="19">
        <v>39056</v>
      </c>
      <c r="D154" s="395">
        <v>39062</v>
      </c>
      <c r="E154" s="19">
        <v>39056</v>
      </c>
      <c r="F154" s="76">
        <v>1137.1173443137372</v>
      </c>
      <c r="G154" s="76">
        <v>1577.3810798306883</v>
      </c>
      <c r="H154" s="76">
        <v>996.8197493605805</v>
      </c>
      <c r="I154" s="76">
        <v>4842.383826618744</v>
      </c>
      <c r="J154" s="12">
        <v>773937141</v>
      </c>
    </row>
    <row r="155" spans="2:10" ht="12.75">
      <c r="B155" s="14" t="s">
        <v>0</v>
      </c>
      <c r="C155" s="19">
        <v>5081</v>
      </c>
      <c r="D155" s="395">
        <v>5081</v>
      </c>
      <c r="E155" s="19">
        <v>5081</v>
      </c>
      <c r="F155" s="76">
        <v>535.5914296343616</v>
      </c>
      <c r="G155" s="76">
        <v>1159.3414907714425</v>
      </c>
      <c r="H155" s="76">
        <v>780.6188105247903</v>
      </c>
      <c r="I155" s="76">
        <v>5020.8568302949925</v>
      </c>
      <c r="J155" s="12">
        <v>10027303</v>
      </c>
    </row>
    <row r="156" spans="2:10" ht="12.75">
      <c r="B156" s="14" t="s">
        <v>1</v>
      </c>
      <c r="C156" s="19">
        <v>8182</v>
      </c>
      <c r="D156" s="395">
        <v>8280.6</v>
      </c>
      <c r="E156" s="19">
        <v>8182</v>
      </c>
      <c r="F156" s="76">
        <v>584.5210479263094</v>
      </c>
      <c r="G156" s="76">
        <v>1203.8695163129137</v>
      </c>
      <c r="H156" s="76">
        <v>825.5622046688961</v>
      </c>
      <c r="I156" s="76">
        <v>4531.257077916462</v>
      </c>
      <c r="J156" s="12">
        <v>17773463</v>
      </c>
    </row>
    <row r="157" spans="2:10" ht="12.75">
      <c r="B157" s="14" t="s">
        <v>2</v>
      </c>
      <c r="C157" s="19">
        <v>11469</v>
      </c>
      <c r="D157" s="395">
        <v>11469</v>
      </c>
      <c r="E157" s="19">
        <v>11469</v>
      </c>
      <c r="F157" s="76">
        <v>614.2601275312564</v>
      </c>
      <c r="G157" s="76">
        <v>1122.8099731242319</v>
      </c>
      <c r="H157" s="76">
        <v>720.9084977524656</v>
      </c>
      <c r="I157" s="76">
        <v>3445.6898494278234</v>
      </c>
      <c r="J157" s="12">
        <v>172890055</v>
      </c>
    </row>
    <row r="158" spans="2:10" ht="12.75">
      <c r="B158" s="14" t="s">
        <v>3</v>
      </c>
      <c r="C158" s="19">
        <v>19183</v>
      </c>
      <c r="D158" s="395">
        <v>19183</v>
      </c>
      <c r="E158" s="19">
        <v>19183</v>
      </c>
      <c r="F158" s="76">
        <v>734.9909131867151</v>
      </c>
      <c r="G158" s="76">
        <v>1085.1892723149826</v>
      </c>
      <c r="H158" s="76">
        <v>634.5410048099318</v>
      </c>
      <c r="I158" s="76">
        <v>3307.7885712461443</v>
      </c>
      <c r="J158" s="12">
        <v>109554227</v>
      </c>
    </row>
    <row r="159" spans="2:10" ht="12.75">
      <c r="B159" s="14" t="s">
        <v>4</v>
      </c>
      <c r="C159" s="19">
        <v>5215</v>
      </c>
      <c r="D159" s="395">
        <v>5216</v>
      </c>
      <c r="E159" s="19">
        <v>5215</v>
      </c>
      <c r="F159" s="76">
        <v>514.3375641792176</v>
      </c>
      <c r="G159" s="76">
        <v>1096.662115217384</v>
      </c>
      <c r="H159" s="76">
        <v>715.5083784432022</v>
      </c>
      <c r="I159" s="76">
        <v>3876.595579910144</v>
      </c>
      <c r="J159" s="12">
        <v>4025163</v>
      </c>
    </row>
    <row r="160" spans="2:10" ht="12.75">
      <c r="B160" s="14" t="s">
        <v>5</v>
      </c>
      <c r="C160" s="19">
        <v>6369</v>
      </c>
      <c r="D160" s="395">
        <v>6376.5</v>
      </c>
      <c r="E160" s="19">
        <v>6369</v>
      </c>
      <c r="F160" s="76">
        <v>645.707649900302</v>
      </c>
      <c r="G160" s="76">
        <v>1350.979323170311</v>
      </c>
      <c r="H160" s="76">
        <v>759.1649564001902</v>
      </c>
      <c r="I160" s="76">
        <v>4901.605918514282</v>
      </c>
      <c r="J160" s="12">
        <v>32744284</v>
      </c>
    </row>
    <row r="161" spans="2:10" ht="12.75">
      <c r="B161" s="14" t="s">
        <v>6</v>
      </c>
      <c r="C161" s="19">
        <v>10466</v>
      </c>
      <c r="D161" s="395">
        <v>10466</v>
      </c>
      <c r="E161" s="19">
        <v>10466</v>
      </c>
      <c r="F161" s="76">
        <v>584.9507212124655</v>
      </c>
      <c r="G161" s="76">
        <v>1177.0672072312082</v>
      </c>
      <c r="H161" s="76">
        <v>726.4203365482097</v>
      </c>
      <c r="I161" s="76">
        <v>3796.136705037558</v>
      </c>
      <c r="J161" s="12">
        <v>31147005</v>
      </c>
    </row>
    <row r="162" spans="2:10" ht="12.75">
      <c r="B162" s="14" t="s">
        <v>7</v>
      </c>
      <c r="C162" s="19">
        <v>4532</v>
      </c>
      <c r="D162" s="395">
        <v>4532</v>
      </c>
      <c r="E162" s="19">
        <v>4532</v>
      </c>
      <c r="F162" s="76">
        <v>602.1040637899907</v>
      </c>
      <c r="G162" s="76">
        <v>1080.8390171213575</v>
      </c>
      <c r="H162" s="76">
        <v>655.155715257629</v>
      </c>
      <c r="I162" s="76">
        <v>3769.4284798673075</v>
      </c>
      <c r="J162" s="12">
        <v>34739361</v>
      </c>
    </row>
    <row r="163" spans="2:10" ht="12.75">
      <c r="B163" s="14" t="s">
        <v>8</v>
      </c>
      <c r="C163" s="19">
        <v>2669</v>
      </c>
      <c r="D163" s="395">
        <v>2669</v>
      </c>
      <c r="E163" s="19">
        <v>2669</v>
      </c>
      <c r="F163" s="76">
        <v>594.7963903508365</v>
      </c>
      <c r="G163" s="76">
        <v>1167.30819077472</v>
      </c>
      <c r="H163" s="76">
        <v>832.67520544953</v>
      </c>
      <c r="I163" s="76">
        <v>4548.958274087871</v>
      </c>
      <c r="J163" s="12">
        <v>2421672</v>
      </c>
    </row>
    <row r="164" spans="2:10" ht="12.75">
      <c r="B164" s="14" t="s">
        <v>9</v>
      </c>
      <c r="C164" s="19">
        <v>6014</v>
      </c>
      <c r="D164" s="395">
        <v>6015</v>
      </c>
      <c r="E164" s="19">
        <v>6014</v>
      </c>
      <c r="F164" s="76">
        <v>525.7019116950978</v>
      </c>
      <c r="G164" s="76">
        <v>1071.9964434133367</v>
      </c>
      <c r="H164" s="76">
        <v>677.3758993718608</v>
      </c>
      <c r="I164" s="76">
        <v>3831.414004338704</v>
      </c>
      <c r="J164" s="12">
        <v>30585299</v>
      </c>
    </row>
    <row r="165" spans="2:10" ht="12.75">
      <c r="B165" s="14" t="s">
        <v>10</v>
      </c>
      <c r="C165" s="19">
        <v>3218</v>
      </c>
      <c r="D165" s="395">
        <v>3241.98</v>
      </c>
      <c r="E165" s="19">
        <v>3218</v>
      </c>
      <c r="F165" s="76">
        <v>612.2765486647462</v>
      </c>
      <c r="G165" s="76">
        <v>1148.8289757668533</v>
      </c>
      <c r="H165" s="76">
        <v>767.0286363249775</v>
      </c>
      <c r="I165" s="76">
        <v>3828.666984564334</v>
      </c>
      <c r="J165" s="12">
        <v>24305319</v>
      </c>
    </row>
    <row r="166" spans="2:10" ht="12.75">
      <c r="B166" s="14" t="s">
        <v>11</v>
      </c>
      <c r="C166" s="19">
        <v>3053</v>
      </c>
      <c r="D166" s="395">
        <v>3063</v>
      </c>
      <c r="E166" s="19">
        <v>3053</v>
      </c>
      <c r="F166" s="76">
        <v>724.4850095892159</v>
      </c>
      <c r="G166" s="76">
        <v>1408.3448430375415</v>
      </c>
      <c r="H166" s="76">
        <v>789.9205249297505</v>
      </c>
      <c r="I166" s="76">
        <v>3803.501686373544</v>
      </c>
      <c r="J166" s="12">
        <v>28348706</v>
      </c>
    </row>
    <row r="167" spans="2:10" ht="12.75">
      <c r="B167" s="14" t="s">
        <v>12</v>
      </c>
      <c r="C167" s="19">
        <v>10312</v>
      </c>
      <c r="D167" s="395">
        <v>10312</v>
      </c>
      <c r="E167" s="19">
        <v>10312</v>
      </c>
      <c r="F167" s="76">
        <v>606.7098300181444</v>
      </c>
      <c r="G167" s="76">
        <v>1215.4604270673433</v>
      </c>
      <c r="H167" s="76">
        <v>763.9604540933567</v>
      </c>
      <c r="I167" s="76">
        <v>4048.559582719315</v>
      </c>
      <c r="J167" s="12">
        <v>26174917</v>
      </c>
    </row>
    <row r="168" spans="2:10" ht="12.75">
      <c r="B168" s="14" t="s">
        <v>13</v>
      </c>
      <c r="C168" s="19">
        <v>12507</v>
      </c>
      <c r="D168" s="395">
        <v>12507.66</v>
      </c>
      <c r="E168" s="19">
        <v>12507</v>
      </c>
      <c r="F168" s="76">
        <v>1219.4817513084918</v>
      </c>
      <c r="G168" s="76">
        <v>1635.3106255845541</v>
      </c>
      <c r="H168" s="76">
        <v>1040.569079753325</v>
      </c>
      <c r="I168" s="76">
        <v>5058.87515010293</v>
      </c>
      <c r="J168" s="12">
        <v>417612324</v>
      </c>
    </row>
    <row r="169" spans="2:10" ht="12.75">
      <c r="B169" s="14" t="s">
        <v>14</v>
      </c>
      <c r="C169" s="19">
        <v>2874</v>
      </c>
      <c r="D169" s="395">
        <v>2874</v>
      </c>
      <c r="E169" s="19">
        <v>2874</v>
      </c>
      <c r="F169" s="76">
        <v>494.2659075909943</v>
      </c>
      <c r="G169" s="76">
        <v>1041.5786680984183</v>
      </c>
      <c r="H169" s="76">
        <v>718.5878316753102</v>
      </c>
      <c r="I169" s="76">
        <v>4439.988009745122</v>
      </c>
      <c r="J169" s="12">
        <v>735112</v>
      </c>
    </row>
    <row r="170" spans="2:10" ht="12.75">
      <c r="B170" s="14" t="s">
        <v>15</v>
      </c>
      <c r="C170" s="19">
        <v>10475</v>
      </c>
      <c r="D170" s="395">
        <v>10476</v>
      </c>
      <c r="E170" s="19">
        <v>10475</v>
      </c>
      <c r="F170" s="76">
        <v>875.3675719683807</v>
      </c>
      <c r="G170" s="76">
        <v>1474.2227619617422</v>
      </c>
      <c r="H170" s="76">
        <v>839.2146343383673</v>
      </c>
      <c r="I170" s="76">
        <v>4771.03677685139</v>
      </c>
      <c r="J170" s="12">
        <v>312030092</v>
      </c>
    </row>
    <row r="171" spans="2:10" ht="12.75">
      <c r="B171" s="14" t="s">
        <v>16</v>
      </c>
      <c r="C171" s="19">
        <v>17119</v>
      </c>
      <c r="D171" s="395">
        <v>17180.6</v>
      </c>
      <c r="E171" s="19">
        <v>17119</v>
      </c>
      <c r="F171" s="76">
        <v>881.373691900408</v>
      </c>
      <c r="G171" s="76">
        <v>1548.1965627207262</v>
      </c>
      <c r="H171" s="76">
        <v>1009.7491943939497</v>
      </c>
      <c r="I171" s="76">
        <v>5786.28741499194</v>
      </c>
      <c r="J171" s="12">
        <v>106396545</v>
      </c>
    </row>
    <row r="172" spans="2:10" ht="12.75">
      <c r="B172" s="14" t="s">
        <v>17</v>
      </c>
      <c r="C172" s="19">
        <v>5612</v>
      </c>
      <c r="D172" s="395">
        <v>5612</v>
      </c>
      <c r="E172" s="19">
        <v>5612</v>
      </c>
      <c r="F172" s="76">
        <v>540.0930036257759</v>
      </c>
      <c r="G172" s="76">
        <v>1097.5273279794494</v>
      </c>
      <c r="H172" s="76">
        <v>701.0222645130752</v>
      </c>
      <c r="I172" s="76">
        <v>4272.151570261429</v>
      </c>
      <c r="J172" s="12">
        <v>13840498</v>
      </c>
    </row>
    <row r="173" spans="2:10" ht="12.75">
      <c r="B173" s="14" t="s">
        <v>18</v>
      </c>
      <c r="C173" s="19">
        <v>4584</v>
      </c>
      <c r="D173" s="395">
        <v>4584.75</v>
      </c>
      <c r="E173" s="19">
        <v>4584</v>
      </c>
      <c r="F173" s="76">
        <v>541.6422685854764</v>
      </c>
      <c r="G173" s="76">
        <v>1001.4088730118485</v>
      </c>
      <c r="H173" s="76">
        <v>676.4004576113357</v>
      </c>
      <c r="I173" s="76">
        <v>3693.4662143354144</v>
      </c>
      <c r="J173" s="12">
        <v>18973516</v>
      </c>
    </row>
    <row r="174" spans="2:10" ht="12.75">
      <c r="B174" s="14" t="s">
        <v>19</v>
      </c>
      <c r="C174" s="19">
        <v>4866</v>
      </c>
      <c r="D174" s="395">
        <v>4911.92</v>
      </c>
      <c r="E174" s="19">
        <v>4866</v>
      </c>
      <c r="F174" s="76">
        <v>514.1630021680824</v>
      </c>
      <c r="G174" s="76">
        <v>1105.0832085580685</v>
      </c>
      <c r="H174" s="76">
        <v>784.5076858975058</v>
      </c>
      <c r="I174" s="76">
        <v>5262.58996211587</v>
      </c>
      <c r="J174" s="12">
        <v>3237952</v>
      </c>
    </row>
    <row r="175" spans="2:10" ht="12.75">
      <c r="B175" s="14" t="s">
        <v>20</v>
      </c>
      <c r="C175" s="19">
        <v>2991</v>
      </c>
      <c r="D175" s="395">
        <v>3049.2</v>
      </c>
      <c r="E175" s="19">
        <v>2991</v>
      </c>
      <c r="F175" s="76">
        <v>510.48312070463584</v>
      </c>
      <c r="G175" s="76">
        <v>1107.6187805818784</v>
      </c>
      <c r="H175" s="76">
        <v>804.8728474107886</v>
      </c>
      <c r="I175" s="76">
        <v>3960.7365474951566</v>
      </c>
      <c r="J175" s="12">
        <v>16448089</v>
      </c>
    </row>
    <row r="176" spans="2:10" ht="12.75">
      <c r="B176" s="14" t="s">
        <v>21</v>
      </c>
      <c r="C176" s="19">
        <v>9312</v>
      </c>
      <c r="D176" s="395">
        <v>9320.42</v>
      </c>
      <c r="E176" s="19">
        <v>9312</v>
      </c>
      <c r="F176" s="76">
        <v>535.0382390336426</v>
      </c>
      <c r="G176" s="76">
        <v>1172.0161641446177</v>
      </c>
      <c r="H176" s="76">
        <v>756.954858033364</v>
      </c>
      <c r="I176" s="76">
        <v>4694.950093852646</v>
      </c>
      <c r="J176" s="12">
        <v>0</v>
      </c>
    </row>
    <row r="177" spans="2:10" ht="12.75">
      <c r="B177" s="14" t="s">
        <v>22</v>
      </c>
      <c r="C177" s="19">
        <v>6300</v>
      </c>
      <c r="D177" s="395">
        <v>6300</v>
      </c>
      <c r="E177" s="19">
        <v>6300</v>
      </c>
      <c r="F177" s="76">
        <v>561.0876926374877</v>
      </c>
      <c r="G177" s="76">
        <v>1095.8324711521234</v>
      </c>
      <c r="H177" s="76">
        <v>678.7797514003366</v>
      </c>
      <c r="I177" s="76">
        <v>3515.2995425022773</v>
      </c>
      <c r="J177" s="12">
        <v>3935665</v>
      </c>
    </row>
    <row r="178" spans="2:10" ht="12.75">
      <c r="B178" s="14" t="s">
        <v>23</v>
      </c>
      <c r="C178" s="19">
        <v>12211</v>
      </c>
      <c r="D178" s="395">
        <v>12248</v>
      </c>
      <c r="E178" s="19">
        <v>12211</v>
      </c>
      <c r="F178" s="76">
        <v>1141.1661007712455</v>
      </c>
      <c r="G178" s="76">
        <v>1537.6723771642535</v>
      </c>
      <c r="H178" s="76">
        <v>1066.7700501106476</v>
      </c>
      <c r="I178" s="76">
        <v>5713.123335228596</v>
      </c>
      <c r="J178" s="12">
        <v>257093347</v>
      </c>
    </row>
    <row r="179" spans="2:10" ht="12.75">
      <c r="B179" s="14" t="s">
        <v>24</v>
      </c>
      <c r="C179" s="19">
        <v>22741</v>
      </c>
      <c r="D179" s="395">
        <v>22741</v>
      </c>
      <c r="E179" s="19">
        <v>22741</v>
      </c>
      <c r="F179" s="76">
        <v>614.1878470124739</v>
      </c>
      <c r="G179" s="76">
        <v>1089.9828003789032</v>
      </c>
      <c r="H179" s="76">
        <v>641.2341514404723</v>
      </c>
      <c r="I179" s="76">
        <v>3564.653012727981</v>
      </c>
      <c r="J179" s="12">
        <v>254542575</v>
      </c>
    </row>
    <row r="180" spans="2:10" ht="12.75">
      <c r="B180" s="14" t="s">
        <v>25</v>
      </c>
      <c r="C180" s="19">
        <v>5362</v>
      </c>
      <c r="D180" s="395">
        <v>5371.75</v>
      </c>
      <c r="E180" s="19">
        <v>5362</v>
      </c>
      <c r="F180" s="76">
        <v>509.68881377526014</v>
      </c>
      <c r="G180" s="76">
        <v>1087.1865153970298</v>
      </c>
      <c r="H180" s="76">
        <v>717.4849151067014</v>
      </c>
      <c r="I180" s="76">
        <v>4142.610155231973</v>
      </c>
      <c r="J180" s="12">
        <v>3812804</v>
      </c>
    </row>
    <row r="181" spans="2:10" ht="12.75">
      <c r="B181" s="14" t="s">
        <v>26</v>
      </c>
      <c r="C181" s="19">
        <v>5050</v>
      </c>
      <c r="D181" s="395">
        <v>5050.5</v>
      </c>
      <c r="E181" s="19">
        <v>5050</v>
      </c>
      <c r="F181" s="76">
        <v>547.1669673572966</v>
      </c>
      <c r="G181" s="76">
        <v>1040.8051701745167</v>
      </c>
      <c r="H181" s="76">
        <v>727.9905910373913</v>
      </c>
      <c r="I181" s="76">
        <v>4714.733358459804</v>
      </c>
      <c r="J181" s="12">
        <v>9764216</v>
      </c>
    </row>
    <row r="182" spans="2:10" ht="12.75">
      <c r="B182" s="14" t="s">
        <v>27</v>
      </c>
      <c r="C182" s="19">
        <v>3360</v>
      </c>
      <c r="D182" s="395">
        <v>3430.13</v>
      </c>
      <c r="E182" s="19">
        <v>3360</v>
      </c>
      <c r="F182" s="76">
        <v>644.4585401025269</v>
      </c>
      <c r="G182" s="76">
        <v>1199.1515124781117</v>
      </c>
      <c r="H182" s="76">
        <v>822.3871465093387</v>
      </c>
      <c r="I182" s="76">
        <v>4803.650109406052</v>
      </c>
      <c r="J182" s="12">
        <v>4189820</v>
      </c>
    </row>
    <row r="183" spans="2:10" ht="12.75">
      <c r="B183" s="14" t="s">
        <v>28</v>
      </c>
      <c r="C183" s="19">
        <v>2720</v>
      </c>
      <c r="D183" s="395">
        <v>2767</v>
      </c>
      <c r="E183" s="19">
        <v>2720</v>
      </c>
      <c r="F183" s="76">
        <v>541.9617336247292</v>
      </c>
      <c r="G183" s="76">
        <v>1114.4727980750422</v>
      </c>
      <c r="H183" s="76">
        <v>753.677665003665</v>
      </c>
      <c r="I183" s="76">
        <v>4980.082637802998</v>
      </c>
      <c r="J183" s="12">
        <v>6846241</v>
      </c>
    </row>
    <row r="184" spans="2:10" ht="12.75">
      <c r="B184" s="14" t="s">
        <v>29</v>
      </c>
      <c r="C184" s="19">
        <v>23484</v>
      </c>
      <c r="D184" s="395">
        <v>23484</v>
      </c>
      <c r="E184" s="19">
        <v>23484</v>
      </c>
      <c r="F184" s="76">
        <v>711.2786995214103</v>
      </c>
      <c r="G184" s="76">
        <v>1130.611288248451</v>
      </c>
      <c r="H184" s="76">
        <v>667.7921995068403</v>
      </c>
      <c r="I184" s="76">
        <v>3628.2647735954993</v>
      </c>
      <c r="J184" s="12">
        <v>404518382</v>
      </c>
    </row>
    <row r="185" spans="2:10" ht="13.5" thickBot="1">
      <c r="B185" s="15" t="s">
        <v>30</v>
      </c>
      <c r="C185" s="70">
        <v>0</v>
      </c>
      <c r="D185" s="479">
        <v>0</v>
      </c>
      <c r="E185" s="70">
        <v>0</v>
      </c>
      <c r="F185" s="480" t="e">
        <v>#DIV/0!</v>
      </c>
      <c r="G185" s="480" t="e">
        <v>#DIV/0!</v>
      </c>
      <c r="H185" s="480">
        <v>0</v>
      </c>
      <c r="I185" s="480">
        <v>0</v>
      </c>
      <c r="J185" s="481">
        <v>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4">
    <tabColor indexed="43"/>
  </sheetPr>
  <dimension ref="B1:HG186"/>
  <sheetViews>
    <sheetView zoomScale="85" zoomScaleNormal="85" workbookViewId="0" topLeftCell="A1">
      <pane xSplit="2" ySplit="14" topLeftCell="DB67" activePane="bottomRight" state="frozen"/>
      <selection pane="topLeft" activeCell="D43" sqref="D43"/>
      <selection pane="topRight" activeCell="D43" sqref="D43"/>
      <selection pane="bottomLeft" activeCell="D43" sqref="D43"/>
      <selection pane="bottomRight" activeCell="FD71" sqref="FD71"/>
    </sheetView>
  </sheetViews>
  <sheetFormatPr defaultColWidth="9.140625" defaultRowHeight="12.75"/>
  <cols>
    <col min="1" max="1" width="9.140625" style="410" customWidth="1"/>
    <col min="2" max="2" width="15.8515625" style="410" bestFit="1" customWidth="1"/>
    <col min="3" max="167" width="19.00390625" style="410" customWidth="1"/>
    <col min="168" max="16384" width="9.140625" style="410" customWidth="1"/>
  </cols>
  <sheetData>
    <row r="1" spans="14:107" ht="16.5" thickBot="1">
      <c r="N1" s="279" t="s">
        <v>43</v>
      </c>
      <c r="P1" s="411"/>
      <c r="Q1" s="412"/>
      <c r="R1" s="280" t="s">
        <v>172</v>
      </c>
      <c r="S1" s="413">
        <v>0</v>
      </c>
      <c r="DC1" s="281" t="s">
        <v>192</v>
      </c>
    </row>
    <row r="2" spans="2:109" ht="18.75" thickBot="1">
      <c r="B2" s="458" t="s">
        <v>647</v>
      </c>
      <c r="C2" s="459"/>
      <c r="D2" s="460"/>
      <c r="H2" s="282"/>
      <c r="I2" s="283"/>
      <c r="J2" s="284" t="s">
        <v>648</v>
      </c>
      <c r="K2" s="414">
        <v>522195152.269562</v>
      </c>
      <c r="M2" s="285" t="s">
        <v>44</v>
      </c>
      <c r="N2" s="312">
        <v>0.0223</v>
      </c>
      <c r="AV2" s="415"/>
      <c r="AW2" s="416"/>
      <c r="AX2" s="286" t="s">
        <v>649</v>
      </c>
      <c r="AY2" s="417">
        <v>2791099335.4320755</v>
      </c>
      <c r="CH2" s="415"/>
      <c r="CI2" s="416"/>
      <c r="CJ2" s="287" t="s">
        <v>650</v>
      </c>
      <c r="CK2" s="414">
        <v>0.976213347424862</v>
      </c>
      <c r="DB2" s="309" t="s">
        <v>44</v>
      </c>
      <c r="DC2" s="6">
        <v>0.033</v>
      </c>
      <c r="DD2" s="468" t="s">
        <v>55</v>
      </c>
      <c r="DE2" s="469">
        <v>0.056</v>
      </c>
    </row>
    <row r="3" spans="2:107" ht="13.5" thickBot="1">
      <c r="B3" s="461"/>
      <c r="C3" s="462"/>
      <c r="D3" s="463"/>
      <c r="H3" s="288"/>
      <c r="I3" s="289"/>
      <c r="J3" s="290" t="s">
        <v>651</v>
      </c>
      <c r="K3" s="418">
        <v>1228444218.9027362</v>
      </c>
      <c r="M3" s="291" t="s">
        <v>45</v>
      </c>
      <c r="N3" s="313">
        <v>0.0322</v>
      </c>
      <c r="O3" s="466" t="s">
        <v>55</v>
      </c>
      <c r="P3" s="467">
        <v>0.027</v>
      </c>
      <c r="AV3" s="419"/>
      <c r="AW3" s="420"/>
      <c r="AX3" s="292" t="s">
        <v>652</v>
      </c>
      <c r="AY3" s="421">
        <v>2098982355.6224074</v>
      </c>
      <c r="CH3" s="419"/>
      <c r="CI3" s="420"/>
      <c r="CJ3" s="293" t="s">
        <v>90</v>
      </c>
      <c r="CK3" s="418">
        <v>1266241767.3761716</v>
      </c>
      <c r="DB3" s="310" t="s">
        <v>45</v>
      </c>
      <c r="DC3" s="7">
        <v>0.017</v>
      </c>
    </row>
    <row r="4" spans="8:107" ht="13.5" thickBot="1">
      <c r="H4" s="294"/>
      <c r="I4" s="295"/>
      <c r="J4" s="296" t="s">
        <v>653</v>
      </c>
      <c r="K4" s="422">
        <v>2.352461936047621</v>
      </c>
      <c r="M4" s="291" t="s">
        <v>46</v>
      </c>
      <c r="N4" s="313">
        <v>0.0285</v>
      </c>
      <c r="AV4" s="423"/>
      <c r="AW4" s="424"/>
      <c r="AX4" s="297" t="s">
        <v>654</v>
      </c>
      <c r="AY4" s="425">
        <v>0.752027105942281</v>
      </c>
      <c r="CH4" s="423"/>
      <c r="CI4" s="424"/>
      <c r="CJ4" s="298" t="s">
        <v>655</v>
      </c>
      <c r="CK4" s="426">
        <v>1297095323.1856244</v>
      </c>
      <c r="DB4" s="310" t="s">
        <v>46</v>
      </c>
      <c r="DC4" s="7">
        <v>0.017</v>
      </c>
    </row>
    <row r="5" spans="13:107" ht="12.75">
      <c r="M5" s="291" t="s">
        <v>47</v>
      </c>
      <c r="N5" s="313">
        <v>0.0272</v>
      </c>
      <c r="AL5" s="494"/>
      <c r="DB5" s="310" t="s">
        <v>47</v>
      </c>
      <c r="DC5" s="7">
        <v>0.028000000000000025</v>
      </c>
    </row>
    <row r="6" spans="13:107" ht="12.75">
      <c r="M6" s="291" t="s">
        <v>48</v>
      </c>
      <c r="N6" s="313">
        <v>0.0205</v>
      </c>
      <c r="DB6" s="310" t="s">
        <v>48</v>
      </c>
      <c r="DC6" s="7">
        <v>0.031</v>
      </c>
    </row>
    <row r="7" spans="13:107" ht="13.5" thickBot="1">
      <c r="M7" s="291" t="s">
        <v>49</v>
      </c>
      <c r="N7" s="313">
        <v>0.0269</v>
      </c>
      <c r="DB7" s="310" t="s">
        <v>49</v>
      </c>
      <c r="DC7" s="7">
        <v>0.027</v>
      </c>
    </row>
    <row r="8" spans="4:215" ht="26.25" thickBot="1">
      <c r="D8" s="396" t="s">
        <v>656</v>
      </c>
      <c r="E8" s="397"/>
      <c r="F8" s="398"/>
      <c r="M8" s="291" t="s">
        <v>50</v>
      </c>
      <c r="N8" s="313">
        <v>0.0306</v>
      </c>
      <c r="AR8" s="427"/>
      <c r="AT8" s="396" t="s">
        <v>657</v>
      </c>
      <c r="AU8" s="397"/>
      <c r="AV8" s="398"/>
      <c r="CH8" s="299" t="s">
        <v>173</v>
      </c>
      <c r="DB8" s="310" t="s">
        <v>50</v>
      </c>
      <c r="DC8" s="7">
        <v>0.03600000000000003</v>
      </c>
      <c r="DE8" s="396" t="s">
        <v>658</v>
      </c>
      <c r="DF8" s="397"/>
      <c r="DG8" s="398"/>
      <c r="DS8" s="396" t="s">
        <v>659</v>
      </c>
      <c r="DT8" s="397"/>
      <c r="DU8" s="398"/>
      <c r="EI8" s="396" t="s">
        <v>660</v>
      </c>
      <c r="EJ8" s="397"/>
      <c r="EK8" s="398"/>
      <c r="ET8" s="396" t="s">
        <v>661</v>
      </c>
      <c r="EU8" s="397"/>
      <c r="EV8" s="398"/>
      <c r="FD8" s="300" t="s">
        <v>662</v>
      </c>
      <c r="FE8" s="428">
        <v>40522.46390374</v>
      </c>
      <c r="FG8" s="301" t="s">
        <v>663</v>
      </c>
      <c r="FL8" s="506" t="s">
        <v>381</v>
      </c>
      <c r="FM8" s="503"/>
      <c r="FN8" s="503"/>
      <c r="FO8" s="503"/>
      <c r="FP8" s="504"/>
      <c r="FQ8" s="505" t="s">
        <v>274</v>
      </c>
      <c r="FR8" s="501"/>
      <c r="FS8" s="501"/>
      <c r="FT8" s="501"/>
      <c r="FU8" s="501"/>
      <c r="FV8" s="501"/>
      <c r="FW8" s="501"/>
      <c r="FX8" s="501"/>
      <c r="FY8" s="501"/>
      <c r="FZ8" s="501"/>
      <c r="GA8" s="501"/>
      <c r="GB8" s="501"/>
      <c r="GC8" s="501"/>
      <c r="GD8" s="501"/>
      <c r="GE8" s="501"/>
      <c r="GF8" s="501"/>
      <c r="GG8" s="501"/>
      <c r="GH8" s="501"/>
      <c r="GI8" s="501"/>
      <c r="GJ8" s="501"/>
      <c r="GK8" s="501"/>
      <c r="GL8" s="501"/>
      <c r="GM8" s="501"/>
      <c r="GN8" s="501"/>
      <c r="GO8" s="501"/>
      <c r="GP8" s="501"/>
      <c r="GQ8" s="501"/>
      <c r="GR8" s="501"/>
      <c r="GS8" s="501"/>
      <c r="GT8" s="501"/>
      <c r="GU8" s="501"/>
      <c r="GV8" s="501"/>
      <c r="GW8" s="501"/>
      <c r="GX8" s="501"/>
      <c r="GY8" s="501"/>
      <c r="GZ8" s="501"/>
      <c r="HA8" s="501"/>
      <c r="HB8" s="501"/>
      <c r="HC8" s="501"/>
      <c r="HD8" s="501"/>
      <c r="HE8" s="501"/>
      <c r="HF8" s="501"/>
      <c r="HG8" s="502"/>
    </row>
    <row r="9" spans="13:163" ht="13.5" thickBot="1">
      <c r="M9" s="291" t="s">
        <v>51</v>
      </c>
      <c r="N9" s="313">
        <v>0.03</v>
      </c>
      <c r="AR9" s="427"/>
      <c r="DB9" s="310" t="s">
        <v>51</v>
      </c>
      <c r="DC9" s="7">
        <v>0.039</v>
      </c>
      <c r="FD9" s="302" t="s">
        <v>664</v>
      </c>
      <c r="FE9" s="429">
        <v>488.8343609540624</v>
      </c>
      <c r="FG9" s="382">
        <v>0.00725</v>
      </c>
    </row>
    <row r="10" spans="8:107" ht="23.25" thickBot="1">
      <c r="H10" s="399" t="s">
        <v>665</v>
      </c>
      <c r="M10" s="291" t="s">
        <v>52</v>
      </c>
      <c r="N10" s="313">
        <v>0.0275</v>
      </c>
      <c r="X10" s="399" t="s">
        <v>665</v>
      </c>
      <c r="AB10" s="399" t="s">
        <v>665</v>
      </c>
      <c r="AI10" s="399" t="s">
        <v>666</v>
      </c>
      <c r="AN10" s="399" t="s">
        <v>668</v>
      </c>
      <c r="AR10" s="430"/>
      <c r="BK10" s="401" t="s">
        <v>666</v>
      </c>
      <c r="BZ10" s="403" t="s">
        <v>182</v>
      </c>
      <c r="CC10" s="403" t="s">
        <v>668</v>
      </c>
      <c r="CH10" s="405" t="s">
        <v>669</v>
      </c>
      <c r="DB10" s="310" t="s">
        <v>52</v>
      </c>
      <c r="DC10" s="7">
        <v>0.05</v>
      </c>
    </row>
    <row r="11" spans="8:107" ht="23.25" thickBot="1">
      <c r="H11" s="400"/>
      <c r="M11" s="291" t="s">
        <v>53</v>
      </c>
      <c r="N11" s="313">
        <v>0.0225</v>
      </c>
      <c r="X11" s="400"/>
      <c r="AB11" s="464"/>
      <c r="AI11" s="465"/>
      <c r="AN11" s="400"/>
      <c r="AU11" s="406" t="s">
        <v>214</v>
      </c>
      <c r="AV11" s="407"/>
      <c r="AW11" s="407"/>
      <c r="AX11" s="407"/>
      <c r="AY11" s="407"/>
      <c r="AZ11" s="407"/>
      <c r="BA11" s="407"/>
      <c r="BB11" s="407"/>
      <c r="BC11" s="407"/>
      <c r="BD11" s="407"/>
      <c r="BE11" s="407"/>
      <c r="BF11" s="407"/>
      <c r="BG11" s="407"/>
      <c r="BH11" s="407"/>
      <c r="BI11" s="408"/>
      <c r="BK11" s="402"/>
      <c r="BZ11" s="404"/>
      <c r="CC11" s="404"/>
      <c r="CH11" s="493"/>
      <c r="DB11" s="310" t="s">
        <v>53</v>
      </c>
      <c r="DC11" s="7">
        <v>-0.014</v>
      </c>
    </row>
    <row r="12" spans="8:134" ht="16.5" thickBot="1">
      <c r="H12" s="304">
        <v>0.49254443952950233</v>
      </c>
      <c r="M12" s="303" t="s">
        <v>54</v>
      </c>
      <c r="N12" s="314">
        <v>0.025</v>
      </c>
      <c r="O12" s="410">
        <v>1.2948059100340221</v>
      </c>
      <c r="X12" s="305">
        <v>17.55450105506468</v>
      </c>
      <c r="AB12" s="350">
        <v>0.07866604649597721</v>
      </c>
      <c r="AI12" s="349">
        <v>0.8421099185943604</v>
      </c>
      <c r="AN12" s="306">
        <v>0.9901298020869106</v>
      </c>
      <c r="AU12" s="431">
        <v>192</v>
      </c>
      <c r="AV12" s="432">
        <v>312</v>
      </c>
      <c r="AW12" s="432">
        <v>246</v>
      </c>
      <c r="AX12" s="432">
        <v>180</v>
      </c>
      <c r="AY12" s="432">
        <v>238</v>
      </c>
      <c r="AZ12" s="432">
        <v>171</v>
      </c>
      <c r="BA12" s="432">
        <v>255</v>
      </c>
      <c r="BB12" s="432">
        <v>225</v>
      </c>
      <c r="BC12" s="432">
        <v>118</v>
      </c>
      <c r="BD12" s="432">
        <v>128</v>
      </c>
      <c r="BE12" s="432">
        <v>191</v>
      </c>
      <c r="BF12" s="432">
        <v>144</v>
      </c>
      <c r="BG12" s="432">
        <v>231</v>
      </c>
      <c r="BH12" s="432">
        <v>118</v>
      </c>
      <c r="BI12" s="433">
        <v>128</v>
      </c>
      <c r="BK12" s="305">
        <v>33.532939510174174</v>
      </c>
      <c r="BZ12" s="307">
        <v>0.752027105942281</v>
      </c>
      <c r="CC12" s="306">
        <v>0.9987760794732391</v>
      </c>
      <c r="CH12" s="308">
        <v>430.6019838030847</v>
      </c>
      <c r="CI12" s="308">
        <v>495.8074270646946</v>
      </c>
      <c r="CJ12" s="308">
        <v>508.1103408876399</v>
      </c>
      <c r="CK12" s="308">
        <v>703.7266706724698</v>
      </c>
      <c r="CL12" s="308">
        <v>807.0711467852101</v>
      </c>
      <c r="CM12" s="308">
        <v>797.2288157268538</v>
      </c>
      <c r="CN12" s="308">
        <v>591.7701548836677</v>
      </c>
      <c r="CO12" s="308">
        <v>647.1332670869214</v>
      </c>
      <c r="CP12" s="308">
        <v>564.7037444731882</v>
      </c>
      <c r="CQ12" s="308">
        <v>840.2890141071622</v>
      </c>
      <c r="CR12" s="308">
        <v>852.5919279301077</v>
      </c>
      <c r="CS12" s="308">
        <v>1024.8327214513413</v>
      </c>
      <c r="CT12" s="308">
        <v>645.902975704627</v>
      </c>
      <c r="CU12" s="308">
        <v>564.7037444731882</v>
      </c>
      <c r="CV12" s="308">
        <v>840.2890141071622</v>
      </c>
      <c r="DB12" s="311" t="s">
        <v>54</v>
      </c>
      <c r="DC12" s="8">
        <v>0.046</v>
      </c>
      <c r="DS12" s="18" t="s">
        <v>269</v>
      </c>
      <c r="DT12" s="73">
        <v>10</v>
      </c>
      <c r="DU12" s="73">
        <v>9</v>
      </c>
      <c r="DV12" s="73">
        <v>8</v>
      </c>
      <c r="DW12" s="73">
        <v>7</v>
      </c>
      <c r="DX12" s="73">
        <v>6</v>
      </c>
      <c r="DY12" s="73">
        <v>5</v>
      </c>
      <c r="DZ12" s="73">
        <v>9</v>
      </c>
      <c r="EA12" s="73">
        <v>15</v>
      </c>
      <c r="EB12" s="74">
        <v>3.07</v>
      </c>
      <c r="EC12" s="73">
        <v>5</v>
      </c>
      <c r="ED12" s="73">
        <v>4</v>
      </c>
    </row>
    <row r="13" spans="2:167" ht="13.5" thickBot="1">
      <c r="B13" s="410">
        <v>1</v>
      </c>
      <c r="C13" s="410">
        <v>2</v>
      </c>
      <c r="D13" s="410">
        <v>3</v>
      </c>
      <c r="E13" s="410">
        <v>4</v>
      </c>
      <c r="F13" s="410">
        <v>5</v>
      </c>
      <c r="G13" s="410">
        <v>6</v>
      </c>
      <c r="H13" s="410">
        <v>7</v>
      </c>
      <c r="I13" s="410">
        <v>8</v>
      </c>
      <c r="J13" s="410">
        <v>9</v>
      </c>
      <c r="K13" s="410">
        <v>10</v>
      </c>
      <c r="L13" s="410">
        <v>11</v>
      </c>
      <c r="M13" s="410">
        <v>12</v>
      </c>
      <c r="N13" s="410">
        <v>13</v>
      </c>
      <c r="O13" s="410">
        <v>14</v>
      </c>
      <c r="P13" s="410">
        <v>15</v>
      </c>
      <c r="Q13" s="410">
        <v>16</v>
      </c>
      <c r="R13" s="410">
        <v>17</v>
      </c>
      <c r="S13" s="410">
        <v>18</v>
      </c>
      <c r="T13" s="410">
        <v>19</v>
      </c>
      <c r="U13" s="410">
        <v>20</v>
      </c>
      <c r="V13" s="410">
        <v>21</v>
      </c>
      <c r="W13" s="410">
        <v>22</v>
      </c>
      <c r="X13" s="410">
        <v>23</v>
      </c>
      <c r="Y13" s="410">
        <v>24</v>
      </c>
      <c r="Z13" s="410">
        <v>25</v>
      </c>
      <c r="AA13" s="410">
        <v>26</v>
      </c>
      <c r="AB13" s="410">
        <v>27</v>
      </c>
      <c r="AC13" s="410">
        <v>28</v>
      </c>
      <c r="AD13" s="410">
        <v>29</v>
      </c>
      <c r="AE13" s="410">
        <v>30</v>
      </c>
      <c r="AF13" s="410">
        <v>31</v>
      </c>
      <c r="AG13" s="410">
        <v>32</v>
      </c>
      <c r="AH13" s="410">
        <v>33</v>
      </c>
      <c r="AI13" s="410">
        <v>34</v>
      </c>
      <c r="AJ13" s="410">
        <v>35</v>
      </c>
      <c r="AK13" s="410">
        <v>36</v>
      </c>
      <c r="AL13" s="410">
        <v>37</v>
      </c>
      <c r="AM13" s="410">
        <v>38</v>
      </c>
      <c r="AN13" s="410">
        <v>39</v>
      </c>
      <c r="AO13" s="410">
        <v>40</v>
      </c>
      <c r="AP13" s="410">
        <v>41</v>
      </c>
      <c r="AQ13" s="410">
        <v>42</v>
      </c>
      <c r="AR13" s="410">
        <v>43</v>
      </c>
      <c r="AS13" s="410">
        <v>44</v>
      </c>
      <c r="AT13" s="410">
        <v>45</v>
      </c>
      <c r="AU13" s="410">
        <v>46</v>
      </c>
      <c r="AV13" s="410">
        <v>47</v>
      </c>
      <c r="AW13" s="410">
        <v>48</v>
      </c>
      <c r="AX13" s="410">
        <v>49</v>
      </c>
      <c r="AY13" s="410">
        <v>50</v>
      </c>
      <c r="AZ13" s="410">
        <v>51</v>
      </c>
      <c r="BA13" s="410">
        <v>52</v>
      </c>
      <c r="BB13" s="410">
        <v>53</v>
      </c>
      <c r="BC13" s="410">
        <v>54</v>
      </c>
      <c r="BD13" s="410">
        <v>55</v>
      </c>
      <c r="BE13" s="410">
        <v>56</v>
      </c>
      <c r="BF13" s="410">
        <v>57</v>
      </c>
      <c r="BG13" s="410">
        <v>58</v>
      </c>
      <c r="BH13" s="410">
        <v>59</v>
      </c>
      <c r="BI13" s="410">
        <v>60</v>
      </c>
      <c r="BJ13" s="410">
        <v>61</v>
      </c>
      <c r="BK13" s="410">
        <v>62</v>
      </c>
      <c r="BL13" s="410">
        <v>63</v>
      </c>
      <c r="BM13" s="410">
        <v>64</v>
      </c>
      <c r="BN13" s="410">
        <v>65</v>
      </c>
      <c r="BO13" s="410">
        <v>66</v>
      </c>
      <c r="BP13" s="410">
        <v>67</v>
      </c>
      <c r="BQ13" s="410">
        <v>68</v>
      </c>
      <c r="BR13" s="410">
        <v>69</v>
      </c>
      <c r="BS13" s="410">
        <v>70</v>
      </c>
      <c r="BT13" s="410">
        <v>71</v>
      </c>
      <c r="BU13" s="410">
        <v>72</v>
      </c>
      <c r="BV13" s="410">
        <v>73</v>
      </c>
      <c r="BW13" s="410">
        <v>74</v>
      </c>
      <c r="BX13" s="410">
        <v>75</v>
      </c>
      <c r="BY13" s="410">
        <v>76</v>
      </c>
      <c r="BZ13" s="410">
        <v>77</v>
      </c>
      <c r="CA13" s="410">
        <v>78</v>
      </c>
      <c r="CB13" s="410">
        <v>79</v>
      </c>
      <c r="CC13" s="410">
        <v>80</v>
      </c>
      <c r="CD13" s="410">
        <v>81</v>
      </c>
      <c r="CE13" s="410">
        <v>82</v>
      </c>
      <c r="CF13" s="410">
        <v>83</v>
      </c>
      <c r="CG13" s="410">
        <v>84</v>
      </c>
      <c r="CH13" s="410">
        <v>85</v>
      </c>
      <c r="CI13" s="410">
        <v>86</v>
      </c>
      <c r="CJ13" s="410">
        <v>87</v>
      </c>
      <c r="CK13" s="410">
        <v>88</v>
      </c>
      <c r="CL13" s="410">
        <v>89</v>
      </c>
      <c r="CM13" s="410">
        <v>90</v>
      </c>
      <c r="CN13" s="410">
        <v>91</v>
      </c>
      <c r="CO13" s="410">
        <v>92</v>
      </c>
      <c r="CP13" s="410">
        <v>93</v>
      </c>
      <c r="CQ13" s="410">
        <v>94</v>
      </c>
      <c r="CR13" s="410">
        <v>95</v>
      </c>
      <c r="CS13" s="410">
        <v>96</v>
      </c>
      <c r="CT13" s="410">
        <v>97</v>
      </c>
      <c r="CU13" s="410">
        <v>98</v>
      </c>
      <c r="CV13" s="410">
        <v>99</v>
      </c>
      <c r="CW13" s="410">
        <v>100</v>
      </c>
      <c r="CX13" s="410">
        <v>101</v>
      </c>
      <c r="CY13" s="410">
        <v>102</v>
      </c>
      <c r="CZ13" s="410">
        <v>103</v>
      </c>
      <c r="DA13" s="410">
        <v>104</v>
      </c>
      <c r="DB13" s="410">
        <v>105</v>
      </c>
      <c r="DC13" s="410">
        <v>106</v>
      </c>
      <c r="DD13" s="410">
        <v>107</v>
      </c>
      <c r="DE13" s="410">
        <v>108</v>
      </c>
      <c r="DF13" s="410">
        <v>109</v>
      </c>
      <c r="DG13" s="410">
        <v>110</v>
      </c>
      <c r="DH13" s="410">
        <v>111</v>
      </c>
      <c r="DI13" s="410">
        <v>112</v>
      </c>
      <c r="DJ13" s="410">
        <v>113</v>
      </c>
      <c r="DK13" s="410">
        <v>114</v>
      </c>
      <c r="DL13" s="410">
        <v>115</v>
      </c>
      <c r="DM13" s="410">
        <v>116</v>
      </c>
      <c r="DN13" s="410">
        <v>117</v>
      </c>
      <c r="DO13" s="410">
        <v>118</v>
      </c>
      <c r="DP13" s="410">
        <v>119</v>
      </c>
      <c r="DQ13" s="410">
        <v>120</v>
      </c>
      <c r="DR13" s="410">
        <v>121</v>
      </c>
      <c r="DS13" s="410">
        <v>122</v>
      </c>
      <c r="DT13" s="410">
        <v>123</v>
      </c>
      <c r="DU13" s="410">
        <v>124</v>
      </c>
      <c r="DV13" s="410">
        <v>125</v>
      </c>
      <c r="DW13" s="410">
        <v>126</v>
      </c>
      <c r="DX13" s="410">
        <v>127</v>
      </c>
      <c r="DY13" s="410">
        <v>128</v>
      </c>
      <c r="DZ13" s="410">
        <v>129</v>
      </c>
      <c r="EA13" s="410">
        <v>130</v>
      </c>
      <c r="EB13" s="410">
        <v>131</v>
      </c>
      <c r="EC13" s="410">
        <v>132</v>
      </c>
      <c r="ED13" s="410">
        <v>133</v>
      </c>
      <c r="EE13" s="410">
        <v>134</v>
      </c>
      <c r="EF13" s="410">
        <v>135</v>
      </c>
      <c r="EG13" s="410">
        <v>136</v>
      </c>
      <c r="EH13" s="410">
        <v>137</v>
      </c>
      <c r="EI13" s="410">
        <v>138</v>
      </c>
      <c r="EJ13" s="410">
        <v>139</v>
      </c>
      <c r="EK13" s="410">
        <v>140</v>
      </c>
      <c r="EL13" s="410">
        <v>141</v>
      </c>
      <c r="EM13" s="410">
        <v>142</v>
      </c>
      <c r="EN13" s="410">
        <v>143</v>
      </c>
      <c r="EO13" s="410">
        <v>144</v>
      </c>
      <c r="EP13" s="410">
        <v>145</v>
      </c>
      <c r="EQ13" s="410">
        <v>146</v>
      </c>
      <c r="ER13" s="410">
        <v>147</v>
      </c>
      <c r="ES13" s="410">
        <v>148</v>
      </c>
      <c r="ET13" s="410">
        <v>149</v>
      </c>
      <c r="EU13" s="410">
        <v>150</v>
      </c>
      <c r="EV13" s="410">
        <v>151</v>
      </c>
      <c r="EW13" s="410">
        <v>152</v>
      </c>
      <c r="EX13" s="410">
        <v>153</v>
      </c>
      <c r="EY13" s="410">
        <v>154</v>
      </c>
      <c r="EZ13" s="410">
        <v>155</v>
      </c>
      <c r="FA13" s="410">
        <v>156</v>
      </c>
      <c r="FB13" s="410">
        <v>157</v>
      </c>
      <c r="FC13" s="410">
        <v>158</v>
      </c>
      <c r="FD13" s="410">
        <v>159</v>
      </c>
      <c r="FE13" s="410">
        <v>160</v>
      </c>
      <c r="FF13" s="410">
        <v>161</v>
      </c>
      <c r="FG13" s="410">
        <v>162</v>
      </c>
      <c r="FH13" s="410">
        <v>163</v>
      </c>
      <c r="FI13" s="410">
        <v>164</v>
      </c>
      <c r="FJ13" s="410">
        <v>165</v>
      </c>
      <c r="FK13" s="410">
        <v>166</v>
      </c>
    </row>
    <row r="14" spans="2:215" ht="115.5" thickBot="1">
      <c r="B14" s="315" t="s">
        <v>257</v>
      </c>
      <c r="C14" s="315" t="s">
        <v>56</v>
      </c>
      <c r="D14" s="316" t="s">
        <v>359</v>
      </c>
      <c r="E14" s="316" t="s">
        <v>580</v>
      </c>
      <c r="F14" s="316" t="s">
        <v>581</v>
      </c>
      <c r="G14" s="316" t="s">
        <v>582</v>
      </c>
      <c r="H14" s="317" t="s">
        <v>583</v>
      </c>
      <c r="I14" s="318" t="s">
        <v>584</v>
      </c>
      <c r="J14" s="318" t="s">
        <v>585</v>
      </c>
      <c r="K14" s="316" t="s">
        <v>586</v>
      </c>
      <c r="L14" s="316" t="s">
        <v>587</v>
      </c>
      <c r="M14" s="316" t="s">
        <v>588</v>
      </c>
      <c r="N14" s="316" t="s">
        <v>589</v>
      </c>
      <c r="O14" s="317" t="s">
        <v>590</v>
      </c>
      <c r="P14" s="317" t="s">
        <v>591</v>
      </c>
      <c r="Q14" s="317" t="s">
        <v>592</v>
      </c>
      <c r="R14" s="316" t="s">
        <v>593</v>
      </c>
      <c r="S14" s="316" t="s">
        <v>594</v>
      </c>
      <c r="T14" s="316" t="s">
        <v>595</v>
      </c>
      <c r="U14" s="316" t="s">
        <v>596</v>
      </c>
      <c r="V14" s="316" t="s">
        <v>597</v>
      </c>
      <c r="W14" s="317" t="s">
        <v>598</v>
      </c>
      <c r="X14" s="319" t="s">
        <v>193</v>
      </c>
      <c r="Y14" s="315" t="s">
        <v>599</v>
      </c>
      <c r="Z14" s="315" t="s">
        <v>603</v>
      </c>
      <c r="AA14" s="315" t="s">
        <v>604</v>
      </c>
      <c r="AB14" s="320" t="s">
        <v>605</v>
      </c>
      <c r="AC14" s="315" t="s">
        <v>606</v>
      </c>
      <c r="AD14" s="315" t="s">
        <v>607</v>
      </c>
      <c r="AE14" s="315" t="s">
        <v>608</v>
      </c>
      <c r="AF14" s="315" t="s">
        <v>609</v>
      </c>
      <c r="AG14" s="319" t="s">
        <v>610</v>
      </c>
      <c r="AH14" s="315" t="s">
        <v>611</v>
      </c>
      <c r="AI14" s="315" t="s">
        <v>612</v>
      </c>
      <c r="AJ14" s="315" t="s">
        <v>613</v>
      </c>
      <c r="AK14" s="315" t="s">
        <v>614</v>
      </c>
      <c r="AL14" s="315" t="s">
        <v>615</v>
      </c>
      <c r="AM14" s="315" t="s">
        <v>616</v>
      </c>
      <c r="AN14" s="315" t="s">
        <v>617</v>
      </c>
      <c r="AO14" s="315" t="s">
        <v>739</v>
      </c>
      <c r="AP14" s="315" t="s">
        <v>618</v>
      </c>
      <c r="AQ14" s="315" t="s">
        <v>619</v>
      </c>
      <c r="AR14" s="315" t="s">
        <v>275</v>
      </c>
      <c r="AS14" s="315" t="s">
        <v>276</v>
      </c>
      <c r="AT14" s="315" t="s">
        <v>56</v>
      </c>
      <c r="AU14" s="315" t="s">
        <v>673</v>
      </c>
      <c r="AV14" s="315" t="s">
        <v>674</v>
      </c>
      <c r="AW14" s="315" t="s">
        <v>675</v>
      </c>
      <c r="AX14" s="315" t="s">
        <v>676</v>
      </c>
      <c r="AY14" s="315" t="s">
        <v>677</v>
      </c>
      <c r="AZ14" s="315" t="s">
        <v>678</v>
      </c>
      <c r="BA14" s="315" t="s">
        <v>679</v>
      </c>
      <c r="BB14" s="315" t="s">
        <v>680</v>
      </c>
      <c r="BC14" s="315" t="s">
        <v>681</v>
      </c>
      <c r="BD14" s="315" t="s">
        <v>682</v>
      </c>
      <c r="BE14" s="315" t="s">
        <v>620</v>
      </c>
      <c r="BF14" s="315" t="s">
        <v>621</v>
      </c>
      <c r="BG14" s="315" t="s">
        <v>622</v>
      </c>
      <c r="BH14" s="315" t="s">
        <v>623</v>
      </c>
      <c r="BI14" s="315" t="s">
        <v>683</v>
      </c>
      <c r="BJ14" s="319" t="s">
        <v>624</v>
      </c>
      <c r="BK14" s="319" t="s">
        <v>625</v>
      </c>
      <c r="BL14" s="319" t="s">
        <v>626</v>
      </c>
      <c r="BM14" s="319" t="s">
        <v>194</v>
      </c>
      <c r="BN14" s="315" t="s">
        <v>627</v>
      </c>
      <c r="BO14" s="315" t="s">
        <v>628</v>
      </c>
      <c r="BP14" s="315" t="s">
        <v>231</v>
      </c>
      <c r="BQ14" s="315" t="s">
        <v>232</v>
      </c>
      <c r="BR14" s="315" t="s">
        <v>629</v>
      </c>
      <c r="BS14" s="320" t="s">
        <v>605</v>
      </c>
      <c r="BT14" s="315" t="s">
        <v>606</v>
      </c>
      <c r="BU14" s="315" t="s">
        <v>607</v>
      </c>
      <c r="BV14" s="315" t="s">
        <v>233</v>
      </c>
      <c r="BW14" s="320" t="s">
        <v>630</v>
      </c>
      <c r="BX14" s="315" t="s">
        <v>234</v>
      </c>
      <c r="BY14" s="315" t="s">
        <v>613</v>
      </c>
      <c r="BZ14" s="319" t="s">
        <v>631</v>
      </c>
      <c r="CA14" s="315" t="s">
        <v>615</v>
      </c>
      <c r="CB14" s="315" t="s">
        <v>616</v>
      </c>
      <c r="CC14" s="321" t="s">
        <v>617</v>
      </c>
      <c r="CD14" s="321" t="s">
        <v>271</v>
      </c>
      <c r="CE14" s="315" t="s">
        <v>632</v>
      </c>
      <c r="CF14" s="315" t="s">
        <v>272</v>
      </c>
      <c r="CG14" s="315" t="s">
        <v>57</v>
      </c>
      <c r="CH14" s="315" t="s">
        <v>75</v>
      </c>
      <c r="CI14" s="315" t="s">
        <v>76</v>
      </c>
      <c r="CJ14" s="315" t="s">
        <v>77</v>
      </c>
      <c r="CK14" s="315" t="s">
        <v>78</v>
      </c>
      <c r="CL14" s="315" t="s">
        <v>79</v>
      </c>
      <c r="CM14" s="315" t="s">
        <v>80</v>
      </c>
      <c r="CN14" s="315" t="s">
        <v>81</v>
      </c>
      <c r="CO14" s="315" t="s">
        <v>82</v>
      </c>
      <c r="CP14" s="315" t="s">
        <v>83</v>
      </c>
      <c r="CQ14" s="315" t="s">
        <v>84</v>
      </c>
      <c r="CR14" s="315" t="s">
        <v>85</v>
      </c>
      <c r="CS14" s="315" t="s">
        <v>86</v>
      </c>
      <c r="CT14" s="315" t="s">
        <v>87</v>
      </c>
      <c r="CU14" s="315" t="s">
        <v>88</v>
      </c>
      <c r="CV14" s="315" t="s">
        <v>89</v>
      </c>
      <c r="CW14" s="315" t="s">
        <v>90</v>
      </c>
      <c r="CX14" s="315" t="s">
        <v>92</v>
      </c>
      <c r="CY14" s="315" t="s">
        <v>91</v>
      </c>
      <c r="CZ14" s="315" t="s">
        <v>839</v>
      </c>
      <c r="DA14" s="322" t="s">
        <v>840</v>
      </c>
      <c r="DB14" s="323" t="s">
        <v>56</v>
      </c>
      <c r="DC14" s="315" t="s">
        <v>58</v>
      </c>
      <c r="DD14" s="315" t="s">
        <v>59</v>
      </c>
      <c r="DE14" s="315" t="s">
        <v>60</v>
      </c>
      <c r="DF14" s="315" t="s">
        <v>61</v>
      </c>
      <c r="DG14" s="315" t="s">
        <v>62</v>
      </c>
      <c r="DH14" s="315" t="s">
        <v>63</v>
      </c>
      <c r="DI14" s="315" t="s">
        <v>64</v>
      </c>
      <c r="DJ14" s="315" t="s">
        <v>65</v>
      </c>
      <c r="DK14" s="315" t="s">
        <v>66</v>
      </c>
      <c r="DL14" s="315" t="s">
        <v>67</v>
      </c>
      <c r="DM14" s="315" t="s">
        <v>68</v>
      </c>
      <c r="DN14" s="315" t="s">
        <v>69</v>
      </c>
      <c r="DO14" s="315" t="s">
        <v>70</v>
      </c>
      <c r="DP14" s="315" t="s">
        <v>71</v>
      </c>
      <c r="DQ14" s="322" t="s">
        <v>72</v>
      </c>
      <c r="DR14" s="409" t="s">
        <v>73</v>
      </c>
      <c r="DS14" s="323" t="s">
        <v>633</v>
      </c>
      <c r="DT14" s="315" t="s">
        <v>260</v>
      </c>
      <c r="DU14" s="315" t="s">
        <v>261</v>
      </c>
      <c r="DV14" s="315" t="s">
        <v>262</v>
      </c>
      <c r="DW14" s="315" t="s">
        <v>263</v>
      </c>
      <c r="DX14" s="315" t="s">
        <v>264</v>
      </c>
      <c r="DY14" s="315" t="s">
        <v>265</v>
      </c>
      <c r="DZ14" s="315" t="s">
        <v>266</v>
      </c>
      <c r="EA14" s="315" t="s">
        <v>267</v>
      </c>
      <c r="EB14" s="315" t="s">
        <v>268</v>
      </c>
      <c r="EC14" s="315" t="s">
        <v>270</v>
      </c>
      <c r="ED14" s="315" t="s">
        <v>837</v>
      </c>
      <c r="EE14" s="315" t="s">
        <v>634</v>
      </c>
      <c r="EF14" s="315" t="s">
        <v>838</v>
      </c>
      <c r="EG14" s="315" t="s">
        <v>600</v>
      </c>
      <c r="EH14" s="315" t="s">
        <v>601</v>
      </c>
      <c r="EI14" s="315" t="s">
        <v>635</v>
      </c>
      <c r="EJ14" s="315" t="s">
        <v>636</v>
      </c>
      <c r="EK14" s="315" t="s">
        <v>637</v>
      </c>
      <c r="EL14" s="315" t="s">
        <v>638</v>
      </c>
      <c r="EM14" s="315" t="s">
        <v>639</v>
      </c>
      <c r="EN14" s="315" t="s">
        <v>640</v>
      </c>
      <c r="EO14" s="315" t="s">
        <v>641</v>
      </c>
      <c r="EP14" s="315" t="s">
        <v>642</v>
      </c>
      <c r="EQ14" s="315" t="s">
        <v>643</v>
      </c>
      <c r="ER14" s="315" t="s">
        <v>644</v>
      </c>
      <c r="ES14" s="315" t="s">
        <v>671</v>
      </c>
      <c r="ET14" s="315" t="s">
        <v>602</v>
      </c>
      <c r="EU14" s="315" t="s">
        <v>190</v>
      </c>
      <c r="EV14" s="315" t="s">
        <v>189</v>
      </c>
      <c r="EW14" s="315" t="s">
        <v>841</v>
      </c>
      <c r="EX14" s="315" t="s">
        <v>236</v>
      </c>
      <c r="EY14" s="315" t="s">
        <v>237</v>
      </c>
      <c r="EZ14" s="315" t="s">
        <v>842</v>
      </c>
      <c r="FA14" s="315" t="s">
        <v>238</v>
      </c>
      <c r="FB14" s="315" t="s">
        <v>239</v>
      </c>
      <c r="FC14" s="315" t="s">
        <v>106</v>
      </c>
      <c r="FD14" s="315" t="s">
        <v>843</v>
      </c>
      <c r="FE14" s="315" t="s">
        <v>170</v>
      </c>
      <c r="FF14" s="315" t="s">
        <v>844</v>
      </c>
      <c r="FG14" s="315" t="s">
        <v>191</v>
      </c>
      <c r="FH14" s="315" t="s">
        <v>240</v>
      </c>
      <c r="FI14" s="315" t="s">
        <v>241</v>
      </c>
      <c r="FJ14" s="315" t="s">
        <v>645</v>
      </c>
      <c r="FK14" s="315" t="s">
        <v>175</v>
      </c>
      <c r="FL14" s="315" t="s">
        <v>685</v>
      </c>
      <c r="FM14" s="315" t="s">
        <v>686</v>
      </c>
      <c r="FN14" s="315" t="s">
        <v>687</v>
      </c>
      <c r="FO14" s="315" t="s">
        <v>688</v>
      </c>
      <c r="FP14" s="315" t="s">
        <v>689</v>
      </c>
      <c r="FQ14" s="315" t="s">
        <v>845</v>
      </c>
      <c r="FR14" s="315" t="s">
        <v>846</v>
      </c>
      <c r="FS14" s="315" t="s">
        <v>847</v>
      </c>
      <c r="FT14" s="315" t="s">
        <v>848</v>
      </c>
      <c r="FU14" s="315" t="s">
        <v>849</v>
      </c>
      <c r="FV14" s="315" t="s">
        <v>850</v>
      </c>
      <c r="FW14" s="315" t="s">
        <v>851</v>
      </c>
      <c r="FX14" s="315" t="s">
        <v>852</v>
      </c>
      <c r="FY14" s="315" t="s">
        <v>853</v>
      </c>
      <c r="FZ14" s="315" t="s">
        <v>854</v>
      </c>
      <c r="GA14" s="315" t="s">
        <v>855</v>
      </c>
      <c r="GB14" s="315" t="s">
        <v>856</v>
      </c>
      <c r="GC14" s="315" t="s">
        <v>857</v>
      </c>
      <c r="GD14" s="315" t="s">
        <v>858</v>
      </c>
      <c r="GE14" s="315" t="s">
        <v>859</v>
      </c>
      <c r="GF14" s="315" t="s">
        <v>860</v>
      </c>
      <c r="GG14" s="315" t="s">
        <v>861</v>
      </c>
      <c r="GH14" s="315" t="s">
        <v>862</v>
      </c>
      <c r="GI14" s="315" t="s">
        <v>863</v>
      </c>
      <c r="GJ14" s="315" t="s">
        <v>864</v>
      </c>
      <c r="GK14" s="315" t="s">
        <v>865</v>
      </c>
      <c r="GL14" s="315" t="s">
        <v>866</v>
      </c>
      <c r="GM14" s="315" t="s">
        <v>867</v>
      </c>
      <c r="GN14" s="315" t="s">
        <v>868</v>
      </c>
      <c r="GO14" s="315" t="s">
        <v>869</v>
      </c>
      <c r="GP14" s="315" t="s">
        <v>870</v>
      </c>
      <c r="GQ14" s="315" t="s">
        <v>871</v>
      </c>
      <c r="GR14" s="315" t="s">
        <v>872</v>
      </c>
      <c r="GS14" s="315" t="s">
        <v>873</v>
      </c>
      <c r="GT14" s="315" t="s">
        <v>874</v>
      </c>
      <c r="GU14" s="315" t="s">
        <v>875</v>
      </c>
      <c r="GV14" s="315" t="s">
        <v>876</v>
      </c>
      <c r="GW14" s="315" t="s">
        <v>877</v>
      </c>
      <c r="GX14" s="315" t="s">
        <v>878</v>
      </c>
      <c r="GY14" s="315" t="s">
        <v>879</v>
      </c>
      <c r="GZ14" s="315" t="s">
        <v>880</v>
      </c>
      <c r="HA14" s="315" t="s">
        <v>881</v>
      </c>
      <c r="HB14" s="315" t="s">
        <v>882</v>
      </c>
      <c r="HC14" s="315" t="s">
        <v>883</v>
      </c>
      <c r="HD14" s="315" t="s">
        <v>884</v>
      </c>
      <c r="HE14" s="315" t="s">
        <v>885</v>
      </c>
      <c r="HF14" s="315" t="s">
        <v>886</v>
      </c>
      <c r="HG14" s="315" t="s">
        <v>887</v>
      </c>
    </row>
    <row r="15" spans="2:215" ht="12.75">
      <c r="B15" s="434" t="s">
        <v>690</v>
      </c>
      <c r="C15" s="446">
        <v>2658</v>
      </c>
      <c r="D15" s="435">
        <v>650114</v>
      </c>
      <c r="E15" s="435">
        <v>557797.812</v>
      </c>
      <c r="F15" s="435">
        <v>101536.42350763302</v>
      </c>
      <c r="G15" s="435">
        <v>92316.18800000001</v>
      </c>
      <c r="H15" s="436">
        <v>0.5417381489841986</v>
      </c>
      <c r="I15" s="437">
        <v>1281.6</v>
      </c>
      <c r="J15" s="437">
        <v>158.34</v>
      </c>
      <c r="K15" s="435">
        <v>659334.2355076331</v>
      </c>
      <c r="L15" s="435">
        <v>527467.3884061065</v>
      </c>
      <c r="M15" s="435">
        <v>181721.24689547846</v>
      </c>
      <c r="N15" s="435">
        <v>131866.8471015266</v>
      </c>
      <c r="O15" s="438">
        <v>1.3780662151993979</v>
      </c>
      <c r="P15" s="439">
        <v>0.7091798344620015</v>
      </c>
      <c r="Q15" s="440">
        <v>0.2908201655379985</v>
      </c>
      <c r="R15" s="435">
        <v>709188.635301585</v>
      </c>
      <c r="S15" s="435">
        <v>479411.51746387145</v>
      </c>
      <c r="T15" s="435">
        <v>46887.0804975447</v>
      </c>
      <c r="U15" s="435">
        <v>96158.36091310962</v>
      </c>
      <c r="V15" s="435">
        <v>161695.00884876138</v>
      </c>
      <c r="W15" s="438">
        <v>0.5946897285063986</v>
      </c>
      <c r="X15" s="440">
        <v>10.439481466501702</v>
      </c>
      <c r="Y15" s="435">
        <v>46887.0804975447</v>
      </c>
      <c r="Z15" s="435">
        <v>68082.10898895215</v>
      </c>
      <c r="AA15" s="436">
        <v>0.688684313600702</v>
      </c>
      <c r="AB15" s="436">
        <v>0.05417607223476298</v>
      </c>
      <c r="AC15" s="437">
        <v>130</v>
      </c>
      <c r="AD15" s="437">
        <v>158</v>
      </c>
      <c r="AE15" s="435">
        <v>622456.9588745257</v>
      </c>
      <c r="AF15" s="435">
        <v>0</v>
      </c>
      <c r="AG15" s="439">
        <v>0</v>
      </c>
      <c r="AH15" s="438">
        <v>0.12768480513523958</v>
      </c>
      <c r="AI15" s="440">
        <v>0.10752464085817337</v>
      </c>
      <c r="AJ15" s="435">
        <v>622456.9588745257</v>
      </c>
      <c r="AK15" s="441">
        <v>1</v>
      </c>
      <c r="AL15" s="435">
        <v>622456.9588745257</v>
      </c>
      <c r="AM15" s="435">
        <v>1464306.3025802814</v>
      </c>
      <c r="AN15" s="435">
        <v>1449853.3095684298</v>
      </c>
      <c r="AO15" s="435">
        <v>1452184.8438950586</v>
      </c>
      <c r="AP15" s="435">
        <v>1452184.8438950586</v>
      </c>
      <c r="AQ15" s="435">
        <v>10632</v>
      </c>
      <c r="AR15" s="435">
        <v>1462816.8438950586</v>
      </c>
      <c r="AS15" s="442">
        <v>550.3449375075465</v>
      </c>
      <c r="AT15" s="438">
        <v>2658</v>
      </c>
      <c r="AU15" s="438">
        <v>74</v>
      </c>
      <c r="AV15" s="438">
        <v>174</v>
      </c>
      <c r="AW15" s="438">
        <v>59</v>
      </c>
      <c r="AX15" s="438">
        <v>59</v>
      </c>
      <c r="AY15" s="438">
        <v>303</v>
      </c>
      <c r="AZ15" s="438">
        <v>159</v>
      </c>
      <c r="BA15" s="438">
        <v>163</v>
      </c>
      <c r="BB15" s="438">
        <v>56</v>
      </c>
      <c r="BC15" s="438">
        <v>85</v>
      </c>
      <c r="BD15" s="438">
        <v>582</v>
      </c>
      <c r="BE15" s="438">
        <v>745</v>
      </c>
      <c r="BF15" s="438">
        <v>28</v>
      </c>
      <c r="BG15" s="438">
        <v>171</v>
      </c>
      <c r="BH15" s="438">
        <v>0</v>
      </c>
      <c r="BI15" s="438">
        <v>0</v>
      </c>
      <c r="BJ15" s="440">
        <v>1.4363466480464666</v>
      </c>
      <c r="BK15" s="440">
        <v>8.780935746879802</v>
      </c>
      <c r="BL15" s="440">
        <v>6.39935211097652</v>
      </c>
      <c r="BM15" s="440">
        <v>4.763167271806566</v>
      </c>
      <c r="BN15" s="437">
        <v>1885</v>
      </c>
      <c r="BO15" s="437">
        <v>773</v>
      </c>
      <c r="BP15" s="435">
        <v>743240.4457249403</v>
      </c>
      <c r="BQ15" s="435">
        <v>2925539</v>
      </c>
      <c r="BR15" s="435">
        <v>3547013</v>
      </c>
      <c r="BS15" s="436">
        <v>0.05417607223476298</v>
      </c>
      <c r="BT15" s="437">
        <v>130</v>
      </c>
      <c r="BU15" s="437">
        <v>158</v>
      </c>
      <c r="BV15" s="435">
        <v>192163.23250564333</v>
      </c>
      <c r="BW15" s="436">
        <v>0.003107720136474156</v>
      </c>
      <c r="BX15" s="435">
        <v>1146.4151634838659</v>
      </c>
      <c r="BY15" s="435">
        <v>3862089.0933940676</v>
      </c>
      <c r="BZ15" s="443">
        <v>1.0633333333333332</v>
      </c>
      <c r="CA15" s="435">
        <v>4106688.069309025</v>
      </c>
      <c r="CB15" s="435">
        <v>3088340.7437701593</v>
      </c>
      <c r="CC15" s="435">
        <v>3084560.860140227</v>
      </c>
      <c r="CD15" s="435">
        <v>3105079.1336327875</v>
      </c>
      <c r="CE15" s="435">
        <v>3105079.1336327875</v>
      </c>
      <c r="CF15" s="442">
        <v>1168.2013294329524</v>
      </c>
      <c r="CG15" s="438">
        <v>2658</v>
      </c>
      <c r="CH15" s="438">
        <v>74</v>
      </c>
      <c r="CI15" s="438">
        <v>174</v>
      </c>
      <c r="CJ15" s="438">
        <v>59</v>
      </c>
      <c r="CK15" s="438">
        <v>59</v>
      </c>
      <c r="CL15" s="438">
        <v>303</v>
      </c>
      <c r="CM15" s="438">
        <v>159</v>
      </c>
      <c r="CN15" s="438">
        <v>163</v>
      </c>
      <c r="CO15" s="438">
        <v>56</v>
      </c>
      <c r="CP15" s="438">
        <v>85</v>
      </c>
      <c r="CQ15" s="438">
        <v>582</v>
      </c>
      <c r="CR15" s="438">
        <v>745</v>
      </c>
      <c r="CS15" s="438">
        <v>28</v>
      </c>
      <c r="CT15" s="438">
        <v>171</v>
      </c>
      <c r="CU15" s="438">
        <v>0</v>
      </c>
      <c r="CV15" s="438">
        <v>0</v>
      </c>
      <c r="CW15" s="435">
        <v>2005007.0960167737</v>
      </c>
      <c r="CX15" s="440">
        <v>1.0380401927617697</v>
      </c>
      <c r="CY15" s="440">
        <v>1.0633333333333332</v>
      </c>
      <c r="CZ15" s="435">
        <v>2081277.952437968</v>
      </c>
      <c r="DA15" s="442">
        <v>783.0240603604093</v>
      </c>
      <c r="DB15" s="437">
        <v>2658</v>
      </c>
      <c r="DC15" s="440">
        <v>0.9936794582392777</v>
      </c>
      <c r="DD15" s="442">
        <v>332.5</v>
      </c>
      <c r="DE15" s="435">
        <v>52565</v>
      </c>
      <c r="DF15" s="442">
        <v>57.23874660501011</v>
      </c>
      <c r="DG15" s="442">
        <v>59.700012709025536</v>
      </c>
      <c r="DH15" s="442">
        <v>61.01341298862408</v>
      </c>
      <c r="DI15" s="442">
        <v>62.3557080743738</v>
      </c>
      <c r="DJ15" s="442">
        <v>64.41344644082812</v>
      </c>
      <c r="DK15" s="442">
        <v>66.73233051269793</v>
      </c>
      <c r="DL15" s="442">
        <v>68.86776508910425</v>
      </c>
      <c r="DM15" s="442">
        <v>71.69134345775753</v>
      </c>
      <c r="DN15" s="442">
        <v>74.84576256989884</v>
      </c>
      <c r="DO15" s="442">
        <v>78.96227951124327</v>
      </c>
      <c r="DP15" s="442">
        <v>78.25161899564208</v>
      </c>
      <c r="DQ15" s="442">
        <v>82.24245156441982</v>
      </c>
      <c r="DR15" s="442">
        <v>87.25924110984943</v>
      </c>
      <c r="DS15" s="442">
        <v>45.42</v>
      </c>
      <c r="DT15" s="442">
        <v>47.87865729886241</v>
      </c>
      <c r="DU15" s="442">
        <v>50.42351223887475</v>
      </c>
      <c r="DV15" s="442">
        <v>53.62823293001643</v>
      </c>
      <c r="DW15" s="442">
        <v>57.155060915097145</v>
      </c>
      <c r="DX15" s="442">
        <v>60.63131323516758</v>
      </c>
      <c r="DY15" s="442">
        <v>64.83202635379907</v>
      </c>
      <c r="DZ15" s="442">
        <v>68.4803162974254</v>
      </c>
      <c r="EA15" s="442">
        <v>70.57154694306091</v>
      </c>
      <c r="EB15" s="442">
        <v>72.64494242613321</v>
      </c>
      <c r="EC15" s="442">
        <v>77.52835790477677</v>
      </c>
      <c r="ED15" s="442">
        <v>83.50800108018846</v>
      </c>
      <c r="EE15" s="442">
        <v>0</v>
      </c>
      <c r="EF15" s="442">
        <v>83.50800108018846</v>
      </c>
      <c r="EG15" s="442">
        <v>4342.4160561698</v>
      </c>
      <c r="EH15" s="435">
        <v>11311299.03975334</v>
      </c>
      <c r="EI15" s="442">
        <v>49.51</v>
      </c>
      <c r="EJ15" s="442">
        <v>51.640639298862396</v>
      </c>
      <c r="EK15" s="442">
        <v>53.84106388687474</v>
      </c>
      <c r="EL15" s="442">
        <v>56.71727242585242</v>
      </c>
      <c r="EM15" s="442">
        <v>59.898127987399505</v>
      </c>
      <c r="EN15" s="442">
        <v>62.990350917347605</v>
      </c>
      <c r="EO15" s="442">
        <v>66.79663293551859</v>
      </c>
      <c r="EP15" s="442">
        <v>70.30347120526112</v>
      </c>
      <c r="EQ15" s="442">
        <v>72.31022900683357</v>
      </c>
      <c r="ER15" s="442">
        <v>73.80672751576229</v>
      </c>
      <c r="ES15" s="442">
        <v>78.50518680813688</v>
      </c>
      <c r="ET15" s="442">
        <v>84.28531268003728</v>
      </c>
      <c r="EU15" s="435">
        <v>12887156</v>
      </c>
      <c r="EV15" s="435">
        <v>0</v>
      </c>
      <c r="EW15" s="435">
        <v>0</v>
      </c>
      <c r="EX15" s="435">
        <v>0</v>
      </c>
      <c r="EY15" s="435">
        <v>0</v>
      </c>
      <c r="EZ15" s="435">
        <v>0</v>
      </c>
      <c r="FA15" s="435">
        <v>0</v>
      </c>
      <c r="FB15" s="435">
        <v>0</v>
      </c>
      <c r="FC15" s="435">
        <v>0</v>
      </c>
      <c r="FD15" s="435">
        <v>12887156</v>
      </c>
      <c r="FE15" s="435">
        <v>46822.14857151531</v>
      </c>
      <c r="FF15" s="435">
        <v>0</v>
      </c>
      <c r="FG15" s="435">
        <v>0</v>
      </c>
      <c r="FH15" s="435">
        <v>6310</v>
      </c>
      <c r="FI15" s="444">
        <v>0.061200000000000004</v>
      </c>
      <c r="FJ15" s="435">
        <v>386.172</v>
      </c>
      <c r="FK15" s="470">
        <v>386.172</v>
      </c>
      <c r="FL15" s="497">
        <v>75.72</v>
      </c>
      <c r="FM15" s="32">
        <v>75.93</v>
      </c>
      <c r="FN15" s="32">
        <v>75.94</v>
      </c>
      <c r="FO15" s="32">
        <v>0</v>
      </c>
      <c r="FP15" s="35">
        <v>76.17</v>
      </c>
      <c r="FQ15" s="499">
        <v>231522</v>
      </c>
      <c r="FR15" s="438">
        <v>0</v>
      </c>
      <c r="FS15" s="438">
        <v>0</v>
      </c>
      <c r="FT15" s="438">
        <v>0</v>
      </c>
      <c r="FU15" s="438">
        <v>0</v>
      </c>
      <c r="FV15" s="438">
        <v>0</v>
      </c>
      <c r="FW15" s="438">
        <v>0</v>
      </c>
      <c r="FX15" s="438">
        <v>0</v>
      </c>
      <c r="FY15" s="438">
        <v>0</v>
      </c>
      <c r="FZ15" s="438">
        <v>0</v>
      </c>
      <c r="GA15" s="438">
        <v>0</v>
      </c>
      <c r="GB15" s="438">
        <v>0</v>
      </c>
      <c r="GC15" s="438">
        <v>0</v>
      </c>
      <c r="GD15" s="438">
        <v>0</v>
      </c>
      <c r="GE15" s="438">
        <v>0</v>
      </c>
      <c r="GF15" s="438">
        <v>0</v>
      </c>
      <c r="GG15" s="438">
        <v>0</v>
      </c>
      <c r="GH15" s="438">
        <v>0</v>
      </c>
      <c r="GI15" s="438">
        <v>0</v>
      </c>
      <c r="GJ15" s="438">
        <v>0</v>
      </c>
      <c r="GK15" s="438">
        <v>0</v>
      </c>
      <c r="GL15" s="438">
        <v>0</v>
      </c>
      <c r="GM15" s="438">
        <v>0</v>
      </c>
      <c r="GN15" s="438">
        <v>0</v>
      </c>
      <c r="GO15" s="438">
        <v>0</v>
      </c>
      <c r="GP15" s="438">
        <v>0</v>
      </c>
      <c r="GQ15" s="438">
        <v>0</v>
      </c>
      <c r="GR15" s="438">
        <v>0</v>
      </c>
      <c r="GS15" s="438">
        <v>0</v>
      </c>
      <c r="GT15" s="438">
        <v>0</v>
      </c>
      <c r="GU15" s="438">
        <v>0</v>
      </c>
      <c r="GV15" s="438">
        <v>0</v>
      </c>
      <c r="GW15" s="438">
        <v>0</v>
      </c>
      <c r="GX15" s="438">
        <v>17491283</v>
      </c>
      <c r="GY15" s="438">
        <v>17727283</v>
      </c>
      <c r="GZ15" s="438">
        <v>0</v>
      </c>
      <c r="HA15" s="438" t="s">
        <v>888</v>
      </c>
      <c r="HB15" s="438" t="s">
        <v>888</v>
      </c>
      <c r="HC15" s="438">
        <v>0</v>
      </c>
      <c r="HD15" s="438">
        <v>0</v>
      </c>
      <c r="HE15" s="438">
        <v>0</v>
      </c>
      <c r="HF15" s="438">
        <v>0</v>
      </c>
      <c r="HG15" s="500">
        <v>0</v>
      </c>
    </row>
    <row r="16" spans="2:215" ht="12.75">
      <c r="B16" s="445" t="s">
        <v>691</v>
      </c>
      <c r="C16" s="446">
        <v>3443.25</v>
      </c>
      <c r="D16" s="447">
        <v>833077.25</v>
      </c>
      <c r="E16" s="447">
        <v>714780.2805</v>
      </c>
      <c r="F16" s="447">
        <v>124415.40289547326</v>
      </c>
      <c r="G16" s="447">
        <v>118296.9695</v>
      </c>
      <c r="H16" s="448">
        <v>0.5180193131489146</v>
      </c>
      <c r="I16" s="449">
        <v>1564.62</v>
      </c>
      <c r="J16" s="449">
        <v>219.05</v>
      </c>
      <c r="K16" s="447">
        <v>839195.6833954733</v>
      </c>
      <c r="L16" s="447">
        <v>671356.5467163787</v>
      </c>
      <c r="M16" s="447">
        <v>207368.4034735219</v>
      </c>
      <c r="N16" s="447">
        <v>167839.13667909463</v>
      </c>
      <c r="O16" s="450">
        <v>1.235518768605242</v>
      </c>
      <c r="P16" s="451">
        <v>0.8187032600014521</v>
      </c>
      <c r="Q16" s="452">
        <v>0.18122413417556088</v>
      </c>
      <c r="R16" s="447">
        <v>878724.9501899006</v>
      </c>
      <c r="S16" s="447">
        <v>594018.0663283728</v>
      </c>
      <c r="T16" s="447">
        <v>73031.65748267817</v>
      </c>
      <c r="U16" s="447">
        <v>147682.13740344686</v>
      </c>
      <c r="V16" s="447">
        <v>200349.28864329733</v>
      </c>
      <c r="W16" s="450">
        <v>0.7371233429552162</v>
      </c>
      <c r="X16" s="452">
        <v>12.939832501620147</v>
      </c>
      <c r="Y16" s="447">
        <v>73031.65748267817</v>
      </c>
      <c r="Z16" s="447">
        <v>84357.59521823046</v>
      </c>
      <c r="AA16" s="448">
        <v>0.8657389686577427</v>
      </c>
      <c r="AB16" s="448">
        <v>0.06810426196180934</v>
      </c>
      <c r="AC16" s="449">
        <v>233</v>
      </c>
      <c r="AD16" s="449">
        <v>236</v>
      </c>
      <c r="AE16" s="447">
        <v>814731.8612144978</v>
      </c>
      <c r="AF16" s="447">
        <v>0</v>
      </c>
      <c r="AG16" s="451">
        <v>0</v>
      </c>
      <c r="AH16" s="450">
        <v>0.07978501952823631</v>
      </c>
      <c r="AI16" s="452">
        <v>0.06718775629997253</v>
      </c>
      <c r="AJ16" s="447">
        <v>814731.8612144978</v>
      </c>
      <c r="AK16" s="453">
        <v>1</v>
      </c>
      <c r="AL16" s="447">
        <v>814731.8612144978</v>
      </c>
      <c r="AM16" s="447">
        <v>1916625.6915923392</v>
      </c>
      <c r="AN16" s="447">
        <v>1897708.2166910109</v>
      </c>
      <c r="AO16" s="447">
        <v>1860275.0431082773</v>
      </c>
      <c r="AP16" s="447">
        <v>1897708.2166910109</v>
      </c>
      <c r="AQ16" s="447">
        <v>13773</v>
      </c>
      <c r="AR16" s="447">
        <v>1911481.2166910109</v>
      </c>
      <c r="AS16" s="454">
        <v>555.1386674481989</v>
      </c>
      <c r="AT16" s="450">
        <v>3403</v>
      </c>
      <c r="AU16" s="450">
        <v>17</v>
      </c>
      <c r="AV16" s="450">
        <v>148</v>
      </c>
      <c r="AW16" s="450">
        <v>322</v>
      </c>
      <c r="AX16" s="450">
        <v>21</v>
      </c>
      <c r="AY16" s="450">
        <v>419</v>
      </c>
      <c r="AZ16" s="450">
        <v>167</v>
      </c>
      <c r="BA16" s="450">
        <v>198</v>
      </c>
      <c r="BB16" s="450">
        <v>0</v>
      </c>
      <c r="BC16" s="450">
        <v>16</v>
      </c>
      <c r="BD16" s="450">
        <v>1118</v>
      </c>
      <c r="BE16" s="450">
        <v>612</v>
      </c>
      <c r="BF16" s="450">
        <v>0</v>
      </c>
      <c r="BG16" s="450">
        <v>363</v>
      </c>
      <c r="BH16" s="450">
        <v>2</v>
      </c>
      <c r="BI16" s="450">
        <v>0</v>
      </c>
      <c r="BJ16" s="452">
        <v>1.3674878279525027</v>
      </c>
      <c r="BK16" s="452">
        <v>8.774368626077823</v>
      </c>
      <c r="BL16" s="452">
        <v>6.101588830043332</v>
      </c>
      <c r="BM16" s="452">
        <v>5.34555959206898</v>
      </c>
      <c r="BN16" s="449">
        <v>2791</v>
      </c>
      <c r="BO16" s="449">
        <v>612</v>
      </c>
      <c r="BP16" s="447">
        <v>898677.445846858</v>
      </c>
      <c r="BQ16" s="447">
        <v>3666815</v>
      </c>
      <c r="BR16" s="447">
        <v>4499963</v>
      </c>
      <c r="BS16" s="448">
        <v>0.068909785483397</v>
      </c>
      <c r="BT16" s="449">
        <v>233</v>
      </c>
      <c r="BU16" s="449">
        <v>236</v>
      </c>
      <c r="BV16" s="447">
        <v>310091.48501322366</v>
      </c>
      <c r="BW16" s="448">
        <v>0.007792490170427436</v>
      </c>
      <c r="BX16" s="447">
        <v>3677.547849931193</v>
      </c>
      <c r="BY16" s="447">
        <v>4879261.4787100125</v>
      </c>
      <c r="BZ16" s="455">
        <v>1.0633333333333332</v>
      </c>
      <c r="CA16" s="447">
        <v>5188281.372361646</v>
      </c>
      <c r="CB16" s="447">
        <v>3901728.2252713745</v>
      </c>
      <c r="CC16" s="447">
        <v>3896952.8200066225</v>
      </c>
      <c r="CD16" s="447">
        <v>3879448.123343343</v>
      </c>
      <c r="CE16" s="447">
        <v>3896952.8200066225</v>
      </c>
      <c r="CF16" s="454">
        <v>1145.1521657380613</v>
      </c>
      <c r="CG16" s="450">
        <v>3403</v>
      </c>
      <c r="CH16" s="450">
        <v>17</v>
      </c>
      <c r="CI16" s="450">
        <v>148</v>
      </c>
      <c r="CJ16" s="450">
        <v>322</v>
      </c>
      <c r="CK16" s="450">
        <v>21</v>
      </c>
      <c r="CL16" s="450">
        <v>419</v>
      </c>
      <c r="CM16" s="450">
        <v>167</v>
      </c>
      <c r="CN16" s="450">
        <v>198</v>
      </c>
      <c r="CO16" s="450">
        <v>0</v>
      </c>
      <c r="CP16" s="450">
        <v>16</v>
      </c>
      <c r="CQ16" s="450">
        <v>1118</v>
      </c>
      <c r="CR16" s="450">
        <v>612</v>
      </c>
      <c r="CS16" s="450">
        <v>0</v>
      </c>
      <c r="CT16" s="450">
        <v>363</v>
      </c>
      <c r="CU16" s="450">
        <v>2</v>
      </c>
      <c r="CV16" s="450">
        <v>0</v>
      </c>
      <c r="CW16" s="447">
        <v>2553416.8614228535</v>
      </c>
      <c r="CX16" s="452">
        <v>1.0380401927617697</v>
      </c>
      <c r="CY16" s="452">
        <v>1.0633333333333332</v>
      </c>
      <c r="CZ16" s="447">
        <v>2650549.331032532</v>
      </c>
      <c r="DA16" s="454">
        <v>778.8860802328921</v>
      </c>
      <c r="DB16" s="449">
        <v>3443.25</v>
      </c>
      <c r="DC16" s="452">
        <v>0.9873154723008785</v>
      </c>
      <c r="DD16" s="454">
        <v>332.5</v>
      </c>
      <c r="DE16" s="447">
        <v>49931</v>
      </c>
      <c r="DF16" s="454">
        <v>56.11549236551832</v>
      </c>
      <c r="DG16" s="454">
        <v>58.52845853723561</v>
      </c>
      <c r="DH16" s="454">
        <v>59.81608462505478</v>
      </c>
      <c r="DI16" s="454">
        <v>61.13203848680597</v>
      </c>
      <c r="DJ16" s="454">
        <v>63.14939575687056</v>
      </c>
      <c r="DK16" s="454">
        <v>65.42277400411788</v>
      </c>
      <c r="DL16" s="454">
        <v>67.51630277224965</v>
      </c>
      <c r="DM16" s="454">
        <v>70.28447118591187</v>
      </c>
      <c r="DN16" s="454">
        <v>73.37698791809198</v>
      </c>
      <c r="DO16" s="454">
        <v>77.41272225358703</v>
      </c>
      <c r="DP16" s="454">
        <v>76.71600775330475</v>
      </c>
      <c r="DQ16" s="454">
        <v>80.62852414872329</v>
      </c>
      <c r="DR16" s="454">
        <v>85.54686412179541</v>
      </c>
      <c r="DS16" s="454">
        <v>44.63</v>
      </c>
      <c r="DT16" s="454">
        <v>47.03228246250547</v>
      </c>
      <c r="DU16" s="454">
        <v>49.51866443336118</v>
      </c>
      <c r="DV16" s="454">
        <v>52.652357284313155</v>
      </c>
      <c r="DW16" s="454">
        <v>56.10140384048692</v>
      </c>
      <c r="DX16" s="454">
        <v>59.49992443152701</v>
      </c>
      <c r="DY16" s="454">
        <v>63.60843130375807</v>
      </c>
      <c r="DZ16" s="454">
        <v>67.18162290745325</v>
      </c>
      <c r="EA16" s="454">
        <v>69.22972252964705</v>
      </c>
      <c r="EB16" s="454">
        <v>71.24813799965693</v>
      </c>
      <c r="EC16" s="454">
        <v>76.0311392598562</v>
      </c>
      <c r="ED16" s="454">
        <v>81.88849509647943</v>
      </c>
      <c r="EE16" s="454">
        <v>-0.34</v>
      </c>
      <c r="EF16" s="454">
        <v>81.54849509647943</v>
      </c>
      <c r="EG16" s="454">
        <v>4240.52174501693</v>
      </c>
      <c r="EH16" s="447">
        <v>14309152.968558954</v>
      </c>
      <c r="EI16" s="454">
        <v>59.51</v>
      </c>
      <c r="EJ16" s="454">
        <v>60.718906462505466</v>
      </c>
      <c r="EK16" s="454">
        <v>61.95220196936118</v>
      </c>
      <c r="EL16" s="454">
        <v>63.89072102466515</v>
      </c>
      <c r="EM16" s="454">
        <v>66.08107084191947</v>
      </c>
      <c r="EN16" s="454">
        <v>68.082438052759</v>
      </c>
      <c r="EO16" s="454">
        <v>70.75594864752007</v>
      </c>
      <c r="EP16" s="454">
        <v>73.8145190024644</v>
      </c>
      <c r="EQ16" s="454">
        <v>75.55529443892269</v>
      </c>
      <c r="ER16" s="454">
        <v>75.47487690764741</v>
      </c>
      <c r="ES16" s="454">
        <v>79.5849813336946</v>
      </c>
      <c r="ET16" s="454">
        <v>84.71646492673634</v>
      </c>
      <c r="EU16" s="447">
        <v>10802296</v>
      </c>
      <c r="EV16" s="447">
        <v>0</v>
      </c>
      <c r="EW16" s="447">
        <v>0</v>
      </c>
      <c r="EX16" s="447">
        <v>0</v>
      </c>
      <c r="EY16" s="447">
        <v>0</v>
      </c>
      <c r="EZ16" s="447">
        <v>0</v>
      </c>
      <c r="FA16" s="447">
        <v>74230</v>
      </c>
      <c r="FB16" s="447">
        <v>0</v>
      </c>
      <c r="FC16" s="447">
        <v>0</v>
      </c>
      <c r="FD16" s="447">
        <v>10728066</v>
      </c>
      <c r="FE16" s="447">
        <v>45766.711191123</v>
      </c>
      <c r="FF16" s="447">
        <v>0</v>
      </c>
      <c r="FG16" s="447">
        <v>0</v>
      </c>
      <c r="FH16" s="447">
        <v>1481</v>
      </c>
      <c r="FI16" s="456">
        <v>0.0313</v>
      </c>
      <c r="FJ16" s="447">
        <v>46.3553</v>
      </c>
      <c r="FK16" s="471">
        <v>46.3553</v>
      </c>
      <c r="FL16" s="498">
        <v>80.57</v>
      </c>
      <c r="FM16" s="37">
        <v>78.33</v>
      </c>
      <c r="FN16" s="37">
        <v>77.99</v>
      </c>
      <c r="FO16" s="37">
        <v>-0.34</v>
      </c>
      <c r="FP16" s="40">
        <v>76.79</v>
      </c>
      <c r="FQ16" s="446">
        <v>163625</v>
      </c>
      <c r="FR16" s="450">
        <v>0</v>
      </c>
      <c r="FS16" s="450">
        <v>0</v>
      </c>
      <c r="FT16" s="450">
        <v>0</v>
      </c>
      <c r="FU16" s="450">
        <v>0</v>
      </c>
      <c r="FV16" s="450">
        <v>0</v>
      </c>
      <c r="FW16" s="450">
        <v>0</v>
      </c>
      <c r="FX16" s="450">
        <v>0</v>
      </c>
      <c r="FY16" s="450">
        <v>0</v>
      </c>
      <c r="FZ16" s="450">
        <v>0</v>
      </c>
      <c r="GA16" s="450">
        <v>0</v>
      </c>
      <c r="GB16" s="450">
        <v>0</v>
      </c>
      <c r="GC16" s="450">
        <v>0</v>
      </c>
      <c r="GD16" s="450">
        <v>0</v>
      </c>
      <c r="GE16" s="450">
        <v>0</v>
      </c>
      <c r="GF16" s="450">
        <v>0</v>
      </c>
      <c r="GG16" s="450">
        <v>0</v>
      </c>
      <c r="GH16" s="450">
        <v>0</v>
      </c>
      <c r="GI16" s="450">
        <v>0</v>
      </c>
      <c r="GJ16" s="450">
        <v>0</v>
      </c>
      <c r="GK16" s="450">
        <v>0</v>
      </c>
      <c r="GL16" s="450">
        <v>0</v>
      </c>
      <c r="GM16" s="450">
        <v>0</v>
      </c>
      <c r="GN16" s="450">
        <v>0</v>
      </c>
      <c r="GO16" s="450">
        <v>0</v>
      </c>
      <c r="GP16" s="450">
        <v>0</v>
      </c>
      <c r="GQ16" s="450">
        <v>0</v>
      </c>
      <c r="GR16" s="450">
        <v>0</v>
      </c>
      <c r="GS16" s="450">
        <v>0</v>
      </c>
      <c r="GT16" s="450">
        <v>0</v>
      </c>
      <c r="GU16" s="450">
        <v>0</v>
      </c>
      <c r="GV16" s="450">
        <v>0</v>
      </c>
      <c r="GW16" s="450">
        <v>0</v>
      </c>
      <c r="GX16" s="450">
        <v>2342000</v>
      </c>
      <c r="GY16" s="450">
        <v>2342000</v>
      </c>
      <c r="GZ16" s="450">
        <v>2</v>
      </c>
      <c r="HA16" s="450" t="s">
        <v>888</v>
      </c>
      <c r="HB16" s="450" t="s">
        <v>888</v>
      </c>
      <c r="HC16" s="450">
        <v>0</v>
      </c>
      <c r="HD16" s="450">
        <v>0</v>
      </c>
      <c r="HE16" s="450">
        <v>0</v>
      </c>
      <c r="HF16" s="450">
        <v>0</v>
      </c>
      <c r="HG16" s="472">
        <v>0</v>
      </c>
    </row>
    <row r="17" spans="2:215" ht="12.75">
      <c r="B17" s="445" t="s">
        <v>692</v>
      </c>
      <c r="C17" s="446">
        <v>6936</v>
      </c>
      <c r="D17" s="447">
        <v>1646888</v>
      </c>
      <c r="E17" s="447">
        <v>1413029.9039999999</v>
      </c>
      <c r="F17" s="447">
        <v>175814.14053859044</v>
      </c>
      <c r="G17" s="447">
        <v>233858.09600000002</v>
      </c>
      <c r="H17" s="448">
        <v>0.37029411764705883</v>
      </c>
      <c r="I17" s="449">
        <v>1951.77</v>
      </c>
      <c r="J17" s="449">
        <v>616.59</v>
      </c>
      <c r="K17" s="447">
        <v>1588844.0445385904</v>
      </c>
      <c r="L17" s="447">
        <v>1271075.2356308724</v>
      </c>
      <c r="M17" s="447">
        <v>345940.0950376713</v>
      </c>
      <c r="N17" s="447">
        <v>317768.808907718</v>
      </c>
      <c r="O17" s="450">
        <v>1.0886534025374857</v>
      </c>
      <c r="P17" s="451">
        <v>0.9318050749711649</v>
      </c>
      <c r="Q17" s="452">
        <v>0.06819492502883506</v>
      </c>
      <c r="R17" s="447">
        <v>1617015.3306685437</v>
      </c>
      <c r="S17" s="447">
        <v>1093102.3635319357</v>
      </c>
      <c r="T17" s="447">
        <v>193889.73705926217</v>
      </c>
      <c r="U17" s="447">
        <v>354713.4350462655</v>
      </c>
      <c r="V17" s="447">
        <v>368679.49539242795</v>
      </c>
      <c r="W17" s="450">
        <v>0.9621186951791372</v>
      </c>
      <c r="X17" s="452">
        <v>16.889513649619616</v>
      </c>
      <c r="Y17" s="447">
        <v>193889.73705926217</v>
      </c>
      <c r="Z17" s="447">
        <v>155233.4717441802</v>
      </c>
      <c r="AA17" s="448">
        <v>1.249020168657867</v>
      </c>
      <c r="AB17" s="448">
        <v>0.09825547866205306</v>
      </c>
      <c r="AC17" s="449">
        <v>653</v>
      </c>
      <c r="AD17" s="449">
        <v>710</v>
      </c>
      <c r="AE17" s="447">
        <v>1641705.5356374634</v>
      </c>
      <c r="AF17" s="447">
        <v>97821.53638133782</v>
      </c>
      <c r="AG17" s="451">
        <v>0.5</v>
      </c>
      <c r="AH17" s="450">
        <v>0.2576065630162525</v>
      </c>
      <c r="AI17" s="452">
        <v>0.21693304181098938</v>
      </c>
      <c r="AJ17" s="447">
        <v>1739527.0720188012</v>
      </c>
      <c r="AK17" s="453">
        <v>1</v>
      </c>
      <c r="AL17" s="447">
        <v>1739527.0720188012</v>
      </c>
      <c r="AM17" s="447">
        <v>4092171.223648599</v>
      </c>
      <c r="AN17" s="447">
        <v>4051780.683776938</v>
      </c>
      <c r="AO17" s="447">
        <v>3844573.056413037</v>
      </c>
      <c r="AP17" s="447">
        <v>4051780.683776938</v>
      </c>
      <c r="AQ17" s="447">
        <v>27744</v>
      </c>
      <c r="AR17" s="447">
        <v>4079524.683776938</v>
      </c>
      <c r="AS17" s="454">
        <v>588.1667652504236</v>
      </c>
      <c r="AT17" s="450">
        <v>6936</v>
      </c>
      <c r="AU17" s="450">
        <v>94</v>
      </c>
      <c r="AV17" s="450">
        <v>1038</v>
      </c>
      <c r="AW17" s="450">
        <v>73</v>
      </c>
      <c r="AX17" s="450">
        <v>0</v>
      </c>
      <c r="AY17" s="450">
        <v>1235</v>
      </c>
      <c r="AZ17" s="450">
        <v>217</v>
      </c>
      <c r="BA17" s="450">
        <v>215</v>
      </c>
      <c r="BB17" s="450">
        <v>530</v>
      </c>
      <c r="BC17" s="450">
        <v>18</v>
      </c>
      <c r="BD17" s="450">
        <v>1702</v>
      </c>
      <c r="BE17" s="450">
        <v>473</v>
      </c>
      <c r="BF17" s="450">
        <v>0</v>
      </c>
      <c r="BG17" s="450">
        <v>1327</v>
      </c>
      <c r="BH17" s="450">
        <v>0</v>
      </c>
      <c r="BI17" s="450">
        <v>14</v>
      </c>
      <c r="BJ17" s="452">
        <v>1.8606760703680667</v>
      </c>
      <c r="BK17" s="452">
        <v>25.2958069854522</v>
      </c>
      <c r="BL17" s="452">
        <v>17.212161290862323</v>
      </c>
      <c r="BM17" s="452">
        <v>16.167291389179752</v>
      </c>
      <c r="BN17" s="449">
        <v>6463</v>
      </c>
      <c r="BO17" s="449">
        <v>473</v>
      </c>
      <c r="BP17" s="447">
        <v>2760547.395575893</v>
      </c>
      <c r="BQ17" s="447">
        <v>7100270</v>
      </c>
      <c r="BR17" s="447">
        <v>9442315</v>
      </c>
      <c r="BS17" s="448">
        <v>0.09825547866205306</v>
      </c>
      <c r="BT17" s="449">
        <v>653</v>
      </c>
      <c r="BU17" s="449">
        <v>710</v>
      </c>
      <c r="BV17" s="447">
        <v>927759.1800028835</v>
      </c>
      <c r="BW17" s="448">
        <v>0.017091030104723907</v>
      </c>
      <c r="BX17" s="447">
        <v>47394.73578490534</v>
      </c>
      <c r="BY17" s="447">
        <v>10835971.311363682</v>
      </c>
      <c r="BZ17" s="455">
        <v>0.9</v>
      </c>
      <c r="CA17" s="447">
        <v>9752374.180227315</v>
      </c>
      <c r="CB17" s="447">
        <v>7334049.7308225725</v>
      </c>
      <c r="CC17" s="447">
        <v>7325073.436812733</v>
      </c>
      <c r="CD17" s="447">
        <v>7243750.271541477</v>
      </c>
      <c r="CE17" s="447">
        <v>7325073.436812733</v>
      </c>
      <c r="CF17" s="454">
        <v>1056.0947861610055</v>
      </c>
      <c r="CG17" s="450">
        <v>6936</v>
      </c>
      <c r="CH17" s="450">
        <v>94</v>
      </c>
      <c r="CI17" s="450">
        <v>1038</v>
      </c>
      <c r="CJ17" s="450">
        <v>73</v>
      </c>
      <c r="CK17" s="450">
        <v>0</v>
      </c>
      <c r="CL17" s="450">
        <v>1235</v>
      </c>
      <c r="CM17" s="450">
        <v>217</v>
      </c>
      <c r="CN17" s="450">
        <v>215</v>
      </c>
      <c r="CO17" s="450">
        <v>530</v>
      </c>
      <c r="CP17" s="450">
        <v>18</v>
      </c>
      <c r="CQ17" s="450">
        <v>1702</v>
      </c>
      <c r="CR17" s="450">
        <v>473</v>
      </c>
      <c r="CS17" s="450">
        <v>0</v>
      </c>
      <c r="CT17" s="450">
        <v>1327</v>
      </c>
      <c r="CU17" s="450">
        <v>0</v>
      </c>
      <c r="CV17" s="450">
        <v>14</v>
      </c>
      <c r="CW17" s="447">
        <v>4944649.331083348</v>
      </c>
      <c r="CX17" s="452">
        <v>0.8785920126823759</v>
      </c>
      <c r="CY17" s="452">
        <v>0.9</v>
      </c>
      <c r="CZ17" s="447">
        <v>4344329.407805082</v>
      </c>
      <c r="DA17" s="454">
        <v>626.3450703294525</v>
      </c>
      <c r="DB17" s="449">
        <v>6936</v>
      </c>
      <c r="DC17" s="452">
        <v>1.0110005767012689</v>
      </c>
      <c r="DD17" s="454">
        <v>298</v>
      </c>
      <c r="DE17" s="447">
        <v>17778</v>
      </c>
      <c r="DF17" s="454">
        <v>42.26215115936764</v>
      </c>
      <c r="DG17" s="454">
        <v>44.079423659220446</v>
      </c>
      <c r="DH17" s="454">
        <v>45.049170979723286</v>
      </c>
      <c r="DI17" s="454">
        <v>46.040252741277186</v>
      </c>
      <c r="DJ17" s="454">
        <v>47.55958108173933</v>
      </c>
      <c r="DK17" s="454">
        <v>49.27172600068194</v>
      </c>
      <c r="DL17" s="454">
        <v>50.84842123270375</v>
      </c>
      <c r="DM17" s="454">
        <v>52.9332065032446</v>
      </c>
      <c r="DN17" s="454">
        <v>55.26226758938735</v>
      </c>
      <c r="DO17" s="454">
        <v>58.30169230680365</v>
      </c>
      <c r="DP17" s="454">
        <v>57.77697707604242</v>
      </c>
      <c r="DQ17" s="454">
        <v>60.72360290692058</v>
      </c>
      <c r="DR17" s="454">
        <v>64.42774268424273</v>
      </c>
      <c r="DS17" s="454">
        <v>34.4</v>
      </c>
      <c r="DT17" s="454">
        <v>36.14603709797232</v>
      </c>
      <c r="DU17" s="454">
        <v>37.95225022825542</v>
      </c>
      <c r="DV17" s="454">
        <v>40.249037810281784</v>
      </c>
      <c r="DW17" s="454">
        <v>42.77996357562764</v>
      </c>
      <c r="DX17" s="454">
        <v>45.265505547157055</v>
      </c>
      <c r="DY17" s="454">
        <v>48.283754320321314</v>
      </c>
      <c r="DZ17" s="454">
        <v>50.94757596363454</v>
      </c>
      <c r="EA17" s="454">
        <v>52.47378443110639</v>
      </c>
      <c r="EB17" s="454">
        <v>53.882776626866814</v>
      </c>
      <c r="EC17" s="454">
        <v>57.44935916925373</v>
      </c>
      <c r="ED17" s="454">
        <v>61.82226322999434</v>
      </c>
      <c r="EE17" s="454">
        <v>0</v>
      </c>
      <c r="EF17" s="454">
        <v>61.82226322999434</v>
      </c>
      <c r="EG17" s="454">
        <v>3214.757687959706</v>
      </c>
      <c r="EH17" s="447">
        <v>21851608.137214746</v>
      </c>
      <c r="EI17" s="454">
        <v>35.59</v>
      </c>
      <c r="EJ17" s="454">
        <v>37.24059909797233</v>
      </c>
      <c r="EK17" s="454">
        <v>38.94659899625543</v>
      </c>
      <c r="EL17" s="454">
        <v>41.14780480295779</v>
      </c>
      <c r="EM17" s="454">
        <v>43.578068665123936</v>
      </c>
      <c r="EN17" s="454">
        <v>45.95187592412387</v>
      </c>
      <c r="EO17" s="454">
        <v>48.85536357025928</v>
      </c>
      <c r="EP17" s="454">
        <v>51.47802934757698</v>
      </c>
      <c r="EQ17" s="454">
        <v>52.979660141592824</v>
      </c>
      <c r="ER17" s="454">
        <v>54.220802117492404</v>
      </c>
      <c r="ES17" s="454">
        <v>57.73357100177173</v>
      </c>
      <c r="ET17" s="454">
        <v>62.048424795720535</v>
      </c>
      <c r="EU17" s="447">
        <v>89433939</v>
      </c>
      <c r="EV17" s="447">
        <v>0</v>
      </c>
      <c r="EW17" s="447">
        <v>0</v>
      </c>
      <c r="EX17" s="447">
        <v>0</v>
      </c>
      <c r="EY17" s="447">
        <v>0</v>
      </c>
      <c r="EZ17" s="447">
        <v>0</v>
      </c>
      <c r="FA17" s="447">
        <v>0</v>
      </c>
      <c r="FB17" s="447">
        <v>0</v>
      </c>
      <c r="FC17" s="447">
        <v>0</v>
      </c>
      <c r="FD17" s="447">
        <v>89433939</v>
      </c>
      <c r="FE17" s="447">
        <v>84240.84632240959</v>
      </c>
      <c r="FF17" s="447">
        <v>0</v>
      </c>
      <c r="FG17" s="447">
        <v>0</v>
      </c>
      <c r="FH17" s="447">
        <v>1950</v>
      </c>
      <c r="FI17" s="456">
        <v>0.0507</v>
      </c>
      <c r="FJ17" s="447">
        <v>98.865</v>
      </c>
      <c r="FK17" s="471">
        <v>98.865</v>
      </c>
      <c r="FL17" s="498">
        <v>0</v>
      </c>
      <c r="FM17" s="37">
        <v>0</v>
      </c>
      <c r="FN17" s="37">
        <v>0</v>
      </c>
      <c r="FO17" s="37">
        <v>0</v>
      </c>
      <c r="FP17" s="40">
        <v>0</v>
      </c>
      <c r="FQ17" s="446">
        <v>129578</v>
      </c>
      <c r="FR17" s="450">
        <v>0</v>
      </c>
      <c r="FS17" s="450">
        <v>0</v>
      </c>
      <c r="FT17" s="450">
        <v>0</v>
      </c>
      <c r="FU17" s="450">
        <v>0</v>
      </c>
      <c r="FV17" s="450">
        <v>0</v>
      </c>
      <c r="FW17" s="450">
        <v>0</v>
      </c>
      <c r="FX17" s="450">
        <v>0</v>
      </c>
      <c r="FY17" s="450">
        <v>0</v>
      </c>
      <c r="FZ17" s="450">
        <v>0</v>
      </c>
      <c r="GA17" s="450">
        <v>0</v>
      </c>
      <c r="GB17" s="450">
        <v>0</v>
      </c>
      <c r="GC17" s="450">
        <v>0</v>
      </c>
      <c r="GD17" s="450">
        <v>0</v>
      </c>
      <c r="GE17" s="450">
        <v>0</v>
      </c>
      <c r="GF17" s="450">
        <v>0</v>
      </c>
      <c r="GG17" s="450">
        <v>0</v>
      </c>
      <c r="GH17" s="450">
        <v>0</v>
      </c>
      <c r="GI17" s="450">
        <v>0</v>
      </c>
      <c r="GJ17" s="450">
        <v>0</v>
      </c>
      <c r="GK17" s="450">
        <v>0</v>
      </c>
      <c r="GL17" s="450">
        <v>0</v>
      </c>
      <c r="GM17" s="450">
        <v>0</v>
      </c>
      <c r="GN17" s="450">
        <v>0</v>
      </c>
      <c r="GO17" s="450">
        <v>0</v>
      </c>
      <c r="GP17" s="450">
        <v>0</v>
      </c>
      <c r="GQ17" s="450">
        <v>0</v>
      </c>
      <c r="GR17" s="450">
        <v>0</v>
      </c>
      <c r="GS17" s="450">
        <v>0</v>
      </c>
      <c r="GT17" s="450">
        <v>0</v>
      </c>
      <c r="GU17" s="450">
        <v>0</v>
      </c>
      <c r="GV17" s="450">
        <v>0</v>
      </c>
      <c r="GW17" s="450">
        <v>0</v>
      </c>
      <c r="GX17" s="450">
        <v>83670058</v>
      </c>
      <c r="GY17" s="450">
        <v>86568058</v>
      </c>
      <c r="GZ17" s="450">
        <v>3</v>
      </c>
      <c r="HA17" s="450" t="s">
        <v>889</v>
      </c>
      <c r="HB17" s="450" t="s">
        <v>889</v>
      </c>
      <c r="HC17" s="450">
        <v>0</v>
      </c>
      <c r="HD17" s="450">
        <v>0</v>
      </c>
      <c r="HE17" s="450">
        <v>0</v>
      </c>
      <c r="HF17" s="450">
        <v>0</v>
      </c>
      <c r="HG17" s="472">
        <v>0</v>
      </c>
    </row>
    <row r="18" spans="2:215" ht="12.75">
      <c r="B18" s="445" t="s">
        <v>693</v>
      </c>
      <c r="C18" s="446">
        <v>4988</v>
      </c>
      <c r="D18" s="447">
        <v>1193004</v>
      </c>
      <c r="E18" s="447">
        <v>1023597.432</v>
      </c>
      <c r="F18" s="447">
        <v>121223.58710907053</v>
      </c>
      <c r="G18" s="447">
        <v>169406.56800000003</v>
      </c>
      <c r="H18" s="448">
        <v>0.3524538893344026</v>
      </c>
      <c r="I18" s="449">
        <v>1299.4</v>
      </c>
      <c r="J18" s="449">
        <v>458.64</v>
      </c>
      <c r="K18" s="447">
        <v>1144821.0191090705</v>
      </c>
      <c r="L18" s="447">
        <v>915856.8152872565</v>
      </c>
      <c r="M18" s="447">
        <v>255399.74611952508</v>
      </c>
      <c r="N18" s="447">
        <v>228964.20382181407</v>
      </c>
      <c r="O18" s="450">
        <v>1.1154570970328788</v>
      </c>
      <c r="P18" s="451">
        <v>0.911186848436247</v>
      </c>
      <c r="Q18" s="452">
        <v>0.08881315156375301</v>
      </c>
      <c r="R18" s="447">
        <v>1171256.5614067817</v>
      </c>
      <c r="S18" s="447">
        <v>791769.4355109845</v>
      </c>
      <c r="T18" s="447">
        <v>82098.29292520855</v>
      </c>
      <c r="U18" s="447">
        <v>161841.3692021891</v>
      </c>
      <c r="V18" s="447">
        <v>267046.4960007462</v>
      </c>
      <c r="W18" s="450">
        <v>0.6060419126478142</v>
      </c>
      <c r="X18" s="452">
        <v>10.63876339498947</v>
      </c>
      <c r="Y18" s="447">
        <v>82098.29292520855</v>
      </c>
      <c r="Z18" s="447">
        <v>112440.62989505104</v>
      </c>
      <c r="AA18" s="448">
        <v>0.7301479278605679</v>
      </c>
      <c r="AB18" s="448">
        <v>0.05743785084202085</v>
      </c>
      <c r="AC18" s="449">
        <v>299</v>
      </c>
      <c r="AD18" s="449">
        <v>274</v>
      </c>
      <c r="AE18" s="447">
        <v>1035709.0976383821</v>
      </c>
      <c r="AF18" s="447">
        <v>0</v>
      </c>
      <c r="AG18" s="451">
        <v>0</v>
      </c>
      <c r="AH18" s="450">
        <v>0.05919336050582308</v>
      </c>
      <c r="AI18" s="452">
        <v>0.0498473159968853</v>
      </c>
      <c r="AJ18" s="447">
        <v>1035709.0976383821</v>
      </c>
      <c r="AK18" s="453">
        <v>1.0056</v>
      </c>
      <c r="AL18" s="447">
        <v>1041509.068585157</v>
      </c>
      <c r="AM18" s="447">
        <v>2450110.4398949933</v>
      </c>
      <c r="AN18" s="447">
        <v>2425927.3649443034</v>
      </c>
      <c r="AO18" s="447">
        <v>2348678.792908739</v>
      </c>
      <c r="AP18" s="447">
        <v>2425927.3649443034</v>
      </c>
      <c r="AQ18" s="447">
        <v>19952</v>
      </c>
      <c r="AR18" s="447">
        <v>2445879.3649443034</v>
      </c>
      <c r="AS18" s="454">
        <v>490.35271951569837</v>
      </c>
      <c r="AT18" s="450">
        <v>4988</v>
      </c>
      <c r="AU18" s="450">
        <v>67</v>
      </c>
      <c r="AV18" s="450">
        <v>254</v>
      </c>
      <c r="AW18" s="450">
        <v>154</v>
      </c>
      <c r="AX18" s="450">
        <v>12</v>
      </c>
      <c r="AY18" s="450">
        <v>692</v>
      </c>
      <c r="AZ18" s="450">
        <v>245</v>
      </c>
      <c r="BA18" s="450">
        <v>378</v>
      </c>
      <c r="BB18" s="450">
        <v>650</v>
      </c>
      <c r="BC18" s="450">
        <v>40</v>
      </c>
      <c r="BD18" s="450">
        <v>977</v>
      </c>
      <c r="BE18" s="450">
        <v>348</v>
      </c>
      <c r="BF18" s="450">
        <v>95</v>
      </c>
      <c r="BG18" s="450">
        <v>1076</v>
      </c>
      <c r="BH18" s="450">
        <v>0</v>
      </c>
      <c r="BI18" s="450">
        <v>0</v>
      </c>
      <c r="BJ18" s="452">
        <v>1.349468653324459</v>
      </c>
      <c r="BK18" s="452">
        <v>9.850975699662943</v>
      </c>
      <c r="BL18" s="452">
        <v>6.850458138434864</v>
      </c>
      <c r="BM18" s="452">
        <v>6.001035122456158</v>
      </c>
      <c r="BN18" s="449">
        <v>4545</v>
      </c>
      <c r="BO18" s="449">
        <v>443</v>
      </c>
      <c r="BP18" s="447">
        <v>1403267.9201265452</v>
      </c>
      <c r="BQ18" s="447">
        <v>5173220</v>
      </c>
      <c r="BR18" s="447">
        <v>6819167</v>
      </c>
      <c r="BS18" s="448">
        <v>0.05743785084202085</v>
      </c>
      <c r="BT18" s="449">
        <v>299</v>
      </c>
      <c r="BU18" s="449">
        <v>274</v>
      </c>
      <c r="BV18" s="447">
        <v>391678.2970128308</v>
      </c>
      <c r="BW18" s="448">
        <v>0.0053107676319847225</v>
      </c>
      <c r="BX18" s="447">
        <v>4124.461331812029</v>
      </c>
      <c r="BY18" s="447">
        <v>6972290.678471188</v>
      </c>
      <c r="BZ18" s="455">
        <v>1.0666666666666667</v>
      </c>
      <c r="CA18" s="447">
        <v>7437110.057035934</v>
      </c>
      <c r="CB18" s="447">
        <v>5592908.3527669655</v>
      </c>
      <c r="CC18" s="447">
        <v>5586063.077429721</v>
      </c>
      <c r="CD18" s="447">
        <v>5430086.030142209</v>
      </c>
      <c r="CE18" s="447">
        <v>5586063.077429721</v>
      </c>
      <c r="CF18" s="454">
        <v>1119.9003763892786</v>
      </c>
      <c r="CG18" s="450">
        <v>4665</v>
      </c>
      <c r="CH18" s="450">
        <v>67</v>
      </c>
      <c r="CI18" s="450">
        <v>254</v>
      </c>
      <c r="CJ18" s="450">
        <v>154</v>
      </c>
      <c r="CK18" s="450">
        <v>12</v>
      </c>
      <c r="CL18" s="450">
        <v>692</v>
      </c>
      <c r="CM18" s="450">
        <v>245</v>
      </c>
      <c r="CN18" s="450">
        <v>378</v>
      </c>
      <c r="CO18" s="450">
        <v>329</v>
      </c>
      <c r="CP18" s="450">
        <v>40</v>
      </c>
      <c r="CQ18" s="450">
        <v>977</v>
      </c>
      <c r="CR18" s="450">
        <v>348</v>
      </c>
      <c r="CS18" s="450">
        <v>95</v>
      </c>
      <c r="CT18" s="450">
        <v>1074</v>
      </c>
      <c r="CU18" s="450">
        <v>0</v>
      </c>
      <c r="CV18" s="450">
        <v>0</v>
      </c>
      <c r="CW18" s="447">
        <v>3363200.800706023</v>
      </c>
      <c r="CX18" s="452">
        <v>1.0412942372531862</v>
      </c>
      <c r="CY18" s="452">
        <v>1.0666666666666667</v>
      </c>
      <c r="CZ18" s="447">
        <v>3502081.612500483</v>
      </c>
      <c r="DA18" s="454">
        <v>750.714172025827</v>
      </c>
      <c r="DB18" s="449">
        <v>4988</v>
      </c>
      <c r="DC18" s="452">
        <v>1.0140336808340016</v>
      </c>
      <c r="DD18" s="454">
        <v>316.4</v>
      </c>
      <c r="DE18" s="447">
        <v>49165</v>
      </c>
      <c r="DF18" s="454">
        <v>54.963884155017254</v>
      </c>
      <c r="DG18" s="454">
        <v>57.32733117368299</v>
      </c>
      <c r="DH18" s="454">
        <v>58.58853245950401</v>
      </c>
      <c r="DI18" s="454">
        <v>59.87748017361309</v>
      </c>
      <c r="DJ18" s="454">
        <v>61.853437019342316</v>
      </c>
      <c r="DK18" s="454">
        <v>64.08016075203862</v>
      </c>
      <c r="DL18" s="454">
        <v>66.13072589610384</v>
      </c>
      <c r="DM18" s="454">
        <v>68.8420856578441</v>
      </c>
      <c r="DN18" s="454">
        <v>71.87113742678922</v>
      </c>
      <c r="DO18" s="454">
        <v>75.82404998526262</v>
      </c>
      <c r="DP18" s="454">
        <v>75.14163353539526</v>
      </c>
      <c r="DQ18" s="454">
        <v>78.97385684570041</v>
      </c>
      <c r="DR18" s="454">
        <v>83.79126211328813</v>
      </c>
      <c r="DS18" s="454">
        <v>45.36</v>
      </c>
      <c r="DT18" s="454">
        <v>47.5809812459504</v>
      </c>
      <c r="DU18" s="454">
        <v>49.877731426722605</v>
      </c>
      <c r="DV18" s="454">
        <v>52.814914120746685</v>
      </c>
      <c r="DW18" s="454">
        <v>56.05395241808571</v>
      </c>
      <c r="DX18" s="454">
        <v>59.22818672890434</v>
      </c>
      <c r="DY18" s="454">
        <v>63.09365103940035</v>
      </c>
      <c r="DZ18" s="454">
        <v>66.53659010087343</v>
      </c>
      <c r="EA18" s="454">
        <v>68.50866475855047</v>
      </c>
      <c r="EB18" s="454">
        <v>70.25350265835274</v>
      </c>
      <c r="EC18" s="454">
        <v>74.86391640428306</v>
      </c>
      <c r="ED18" s="454">
        <v>80.52077700703028</v>
      </c>
      <c r="EE18" s="454">
        <v>0</v>
      </c>
      <c r="EF18" s="454">
        <v>80.52077700703028</v>
      </c>
      <c r="EG18" s="454">
        <v>4187.080404365574</v>
      </c>
      <c r="EH18" s="447">
        <v>20467453.915835973</v>
      </c>
      <c r="EI18" s="454">
        <v>55.57</v>
      </c>
      <c r="EJ18" s="454">
        <v>56.97213924595039</v>
      </c>
      <c r="EK18" s="454">
        <v>58.4090767387226</v>
      </c>
      <c r="EL18" s="454">
        <v>60.526183864630674</v>
      </c>
      <c r="EM18" s="454">
        <v>62.90155995065469</v>
      </c>
      <c r="EN18" s="454">
        <v>65.11712920691366</v>
      </c>
      <c r="EO18" s="454">
        <v>67.99796233508651</v>
      </c>
      <c r="EP18" s="454">
        <v>71.08779098327018</v>
      </c>
      <c r="EQ18" s="454">
        <v>72.84899333339618</v>
      </c>
      <c r="ER18" s="454">
        <v>73.15370455691341</v>
      </c>
      <c r="ES18" s="454">
        <v>77.30240616059287</v>
      </c>
      <c r="ET18" s="454">
        <v>82.46120523061381</v>
      </c>
      <c r="EU18" s="447">
        <v>5951150</v>
      </c>
      <c r="EV18" s="447">
        <v>0</v>
      </c>
      <c r="EW18" s="447">
        <v>0</v>
      </c>
      <c r="EX18" s="447">
        <v>0</v>
      </c>
      <c r="EY18" s="447">
        <v>0</v>
      </c>
      <c r="EZ18" s="447">
        <v>0</v>
      </c>
      <c r="FA18" s="447">
        <v>0</v>
      </c>
      <c r="FB18" s="447">
        <v>0</v>
      </c>
      <c r="FC18" s="447">
        <v>0</v>
      </c>
      <c r="FD18" s="447">
        <v>5951150</v>
      </c>
      <c r="FE18" s="447">
        <v>43431.59051093177</v>
      </c>
      <c r="FF18" s="447">
        <v>0</v>
      </c>
      <c r="FG18" s="447">
        <v>0</v>
      </c>
      <c r="FH18" s="447">
        <v>16299</v>
      </c>
      <c r="FI18" s="456">
        <v>0.0313</v>
      </c>
      <c r="FJ18" s="447">
        <v>510.1587</v>
      </c>
      <c r="FK18" s="471">
        <v>510.1587</v>
      </c>
      <c r="FL18" s="498">
        <v>0</v>
      </c>
      <c r="FM18" s="37">
        <v>0</v>
      </c>
      <c r="FN18" s="37">
        <v>0</v>
      </c>
      <c r="FO18" s="37">
        <v>0</v>
      </c>
      <c r="FP18" s="40">
        <v>77.23</v>
      </c>
      <c r="FQ18" s="446">
        <v>0</v>
      </c>
      <c r="FR18" s="450">
        <v>0</v>
      </c>
      <c r="FS18" s="450">
        <v>0</v>
      </c>
      <c r="FT18" s="450">
        <v>0</v>
      </c>
      <c r="FU18" s="450">
        <v>0</v>
      </c>
      <c r="FV18" s="450">
        <v>0</v>
      </c>
      <c r="FW18" s="450">
        <v>0</v>
      </c>
      <c r="FX18" s="450">
        <v>0</v>
      </c>
      <c r="FY18" s="450">
        <v>0</v>
      </c>
      <c r="FZ18" s="450">
        <v>0</v>
      </c>
      <c r="GA18" s="450">
        <v>0</v>
      </c>
      <c r="GB18" s="450">
        <v>0</v>
      </c>
      <c r="GC18" s="450">
        <v>0</v>
      </c>
      <c r="GD18" s="450">
        <v>0</v>
      </c>
      <c r="GE18" s="450">
        <v>0</v>
      </c>
      <c r="GF18" s="450">
        <v>0</v>
      </c>
      <c r="GG18" s="450">
        <v>0</v>
      </c>
      <c r="GH18" s="450">
        <v>0</v>
      </c>
      <c r="GI18" s="450">
        <v>0</v>
      </c>
      <c r="GJ18" s="450">
        <v>0</v>
      </c>
      <c r="GK18" s="450">
        <v>0</v>
      </c>
      <c r="GL18" s="450">
        <v>0</v>
      </c>
      <c r="GM18" s="450">
        <v>0</v>
      </c>
      <c r="GN18" s="450">
        <v>0</v>
      </c>
      <c r="GO18" s="450">
        <v>0</v>
      </c>
      <c r="GP18" s="450">
        <v>0</v>
      </c>
      <c r="GQ18" s="450">
        <v>0</v>
      </c>
      <c r="GR18" s="450">
        <v>0</v>
      </c>
      <c r="GS18" s="450">
        <v>0</v>
      </c>
      <c r="GT18" s="450">
        <v>0</v>
      </c>
      <c r="GU18" s="450">
        <v>0</v>
      </c>
      <c r="GV18" s="450">
        <v>0</v>
      </c>
      <c r="GW18" s="450">
        <v>4668237</v>
      </c>
      <c r="GX18" s="450">
        <v>8576926</v>
      </c>
      <c r="GY18" s="450">
        <v>8576926</v>
      </c>
      <c r="GZ18" s="450">
        <v>0</v>
      </c>
      <c r="HA18" s="450" t="s">
        <v>888</v>
      </c>
      <c r="HB18" s="450" t="s">
        <v>888</v>
      </c>
      <c r="HC18" s="450">
        <v>0</v>
      </c>
      <c r="HD18" s="450">
        <v>0</v>
      </c>
      <c r="HE18" s="450">
        <v>0</v>
      </c>
      <c r="HF18" s="450">
        <v>0</v>
      </c>
      <c r="HG18" s="472">
        <v>0</v>
      </c>
    </row>
    <row r="19" spans="2:215" ht="12.75">
      <c r="B19" s="445" t="s">
        <v>694</v>
      </c>
      <c r="C19" s="446">
        <v>3490</v>
      </c>
      <c r="D19" s="447">
        <v>843970</v>
      </c>
      <c r="E19" s="447">
        <v>724126.26</v>
      </c>
      <c r="F19" s="447">
        <v>65276.901202291665</v>
      </c>
      <c r="G19" s="447">
        <v>119843.74</v>
      </c>
      <c r="H19" s="448">
        <v>0.2682808022922636</v>
      </c>
      <c r="I19" s="449">
        <v>565.15</v>
      </c>
      <c r="J19" s="449">
        <v>371.15</v>
      </c>
      <c r="K19" s="447">
        <v>789403.1612022917</v>
      </c>
      <c r="L19" s="447">
        <v>631522.5289618335</v>
      </c>
      <c r="M19" s="447">
        <v>164878.9513830368</v>
      </c>
      <c r="N19" s="447">
        <v>157880.6322404583</v>
      </c>
      <c r="O19" s="450">
        <v>1.04432664756447</v>
      </c>
      <c r="P19" s="451">
        <v>0.9659025787965616</v>
      </c>
      <c r="Q19" s="452">
        <v>0.034097421203438394</v>
      </c>
      <c r="R19" s="447">
        <v>796401.4803448702</v>
      </c>
      <c r="S19" s="447">
        <v>538367.4007131323</v>
      </c>
      <c r="T19" s="447">
        <v>83264.85470562319</v>
      </c>
      <c r="U19" s="447">
        <v>92160.29934275687</v>
      </c>
      <c r="V19" s="447">
        <v>181579.53751863042</v>
      </c>
      <c r="W19" s="450">
        <v>0.5075478250587627</v>
      </c>
      <c r="X19" s="452">
        <v>8.909748830489834</v>
      </c>
      <c r="Y19" s="447">
        <v>83264.85470562319</v>
      </c>
      <c r="Z19" s="447">
        <v>76454.54211310754</v>
      </c>
      <c r="AA19" s="448">
        <v>1.0890766251982833</v>
      </c>
      <c r="AB19" s="448">
        <v>0.08567335243553009</v>
      </c>
      <c r="AC19" s="449">
        <v>306</v>
      </c>
      <c r="AD19" s="449">
        <v>292</v>
      </c>
      <c r="AE19" s="447">
        <v>713792.5547615124</v>
      </c>
      <c r="AF19" s="447">
        <v>0</v>
      </c>
      <c r="AG19" s="451">
        <v>0</v>
      </c>
      <c r="AH19" s="450">
        <v>0.0017278407116304484</v>
      </c>
      <c r="AI19" s="452">
        <v>0.0014550318010151386</v>
      </c>
      <c r="AJ19" s="447">
        <v>713792.5547615124</v>
      </c>
      <c r="AK19" s="453">
        <v>1</v>
      </c>
      <c r="AL19" s="447">
        <v>713792.5547615124</v>
      </c>
      <c r="AM19" s="447">
        <v>1679169.8153106452</v>
      </c>
      <c r="AN19" s="447">
        <v>1662596.0769038433</v>
      </c>
      <c r="AO19" s="447">
        <v>1570666.8972633777</v>
      </c>
      <c r="AP19" s="447">
        <v>1662596.0769038433</v>
      </c>
      <c r="AQ19" s="447">
        <v>13960</v>
      </c>
      <c r="AR19" s="447">
        <v>1676556.0769038433</v>
      </c>
      <c r="AS19" s="454">
        <v>480.3885607174336</v>
      </c>
      <c r="AT19" s="450">
        <v>3488</v>
      </c>
      <c r="AU19" s="450">
        <v>68</v>
      </c>
      <c r="AV19" s="450">
        <v>216</v>
      </c>
      <c r="AW19" s="450">
        <v>81</v>
      </c>
      <c r="AX19" s="450">
        <v>26</v>
      </c>
      <c r="AY19" s="450">
        <v>612</v>
      </c>
      <c r="AZ19" s="450">
        <v>536</v>
      </c>
      <c r="BA19" s="450">
        <v>164</v>
      </c>
      <c r="BB19" s="450">
        <v>173</v>
      </c>
      <c r="BC19" s="450">
        <v>11</v>
      </c>
      <c r="BD19" s="450">
        <v>505</v>
      </c>
      <c r="BE19" s="450">
        <v>119</v>
      </c>
      <c r="BF19" s="450">
        <v>0</v>
      </c>
      <c r="BG19" s="450">
        <v>977</v>
      </c>
      <c r="BH19" s="450">
        <v>0</v>
      </c>
      <c r="BI19" s="450">
        <v>0</v>
      </c>
      <c r="BJ19" s="452">
        <v>1.2215012459811359</v>
      </c>
      <c r="BK19" s="452">
        <v>7.003748644420447</v>
      </c>
      <c r="BL19" s="452">
        <v>4.9896591071173875</v>
      </c>
      <c r="BM19" s="452">
        <v>4.028179074606118</v>
      </c>
      <c r="BN19" s="449">
        <v>3369</v>
      </c>
      <c r="BO19" s="449">
        <v>119</v>
      </c>
      <c r="BP19" s="447">
        <v>900814.4163674783</v>
      </c>
      <c r="BQ19" s="447">
        <v>3456961</v>
      </c>
      <c r="BR19" s="447">
        <v>4812365</v>
      </c>
      <c r="BS19" s="448">
        <v>0.08572247706422019</v>
      </c>
      <c r="BT19" s="449">
        <v>306</v>
      </c>
      <c r="BU19" s="449">
        <v>292</v>
      </c>
      <c r="BV19" s="447">
        <v>412527.848337156</v>
      </c>
      <c r="BW19" s="448">
        <v>0.010938504679055003</v>
      </c>
      <c r="BX19" s="447">
        <v>4223.468201003553</v>
      </c>
      <c r="BY19" s="447">
        <v>4774526.732905638</v>
      </c>
      <c r="BZ19" s="455">
        <v>0.9566666666666667</v>
      </c>
      <c r="CA19" s="447">
        <v>4567630.574479727</v>
      </c>
      <c r="CB19" s="447">
        <v>3434982.001939467</v>
      </c>
      <c r="CC19" s="447">
        <v>3430777.8569582393</v>
      </c>
      <c r="CD19" s="447">
        <v>3336313.0644095545</v>
      </c>
      <c r="CE19" s="447">
        <v>3430777.8569582393</v>
      </c>
      <c r="CF19" s="454">
        <v>983.594569082064</v>
      </c>
      <c r="CG19" s="450">
        <v>3488</v>
      </c>
      <c r="CH19" s="450">
        <v>68</v>
      </c>
      <c r="CI19" s="450">
        <v>216</v>
      </c>
      <c r="CJ19" s="450">
        <v>81</v>
      </c>
      <c r="CK19" s="450">
        <v>26</v>
      </c>
      <c r="CL19" s="450">
        <v>612</v>
      </c>
      <c r="CM19" s="450">
        <v>536</v>
      </c>
      <c r="CN19" s="450">
        <v>164</v>
      </c>
      <c r="CO19" s="450">
        <v>173</v>
      </c>
      <c r="CP19" s="450">
        <v>11</v>
      </c>
      <c r="CQ19" s="450">
        <v>505</v>
      </c>
      <c r="CR19" s="450">
        <v>119</v>
      </c>
      <c r="CS19" s="450">
        <v>0</v>
      </c>
      <c r="CT19" s="450">
        <v>977</v>
      </c>
      <c r="CU19" s="450">
        <v>0</v>
      </c>
      <c r="CV19" s="450">
        <v>0</v>
      </c>
      <c r="CW19" s="447">
        <v>2489139.0578634934</v>
      </c>
      <c r="CX19" s="452">
        <v>0.9339107690364513</v>
      </c>
      <c r="CY19" s="452">
        <v>0.9566666666666667</v>
      </c>
      <c r="CZ19" s="447">
        <v>2324633.771767963</v>
      </c>
      <c r="DA19" s="454">
        <v>666.4661042912738</v>
      </c>
      <c r="DB19" s="449">
        <v>3490</v>
      </c>
      <c r="DC19" s="452">
        <v>1.0220057306590258</v>
      </c>
      <c r="DD19" s="454">
        <v>304.3</v>
      </c>
      <c r="DE19" s="447">
        <v>53090</v>
      </c>
      <c r="DF19" s="454">
        <v>55.06710359010357</v>
      </c>
      <c r="DG19" s="454">
        <v>57.43498904447802</v>
      </c>
      <c r="DH19" s="454">
        <v>58.69855880345653</v>
      </c>
      <c r="DI19" s="454">
        <v>59.98992709713256</v>
      </c>
      <c r="DJ19" s="454">
        <v>61.969594691337925</v>
      </c>
      <c r="DK19" s="454">
        <v>64.20050010022608</v>
      </c>
      <c r="DL19" s="454">
        <v>66.2549161034333</v>
      </c>
      <c r="DM19" s="454">
        <v>68.97136766367406</v>
      </c>
      <c r="DN19" s="454">
        <v>72.0061078408757</v>
      </c>
      <c r="DO19" s="454">
        <v>75.96644377212385</v>
      </c>
      <c r="DP19" s="454">
        <v>75.28274577817474</v>
      </c>
      <c r="DQ19" s="454">
        <v>79.12216581286165</v>
      </c>
      <c r="DR19" s="454">
        <v>83.94861792744621</v>
      </c>
      <c r="DS19" s="454">
        <v>43.35</v>
      </c>
      <c r="DT19" s="454">
        <v>45.74318588034565</v>
      </c>
      <c r="DU19" s="454">
        <v>48.2206905394265</v>
      </c>
      <c r="DV19" s="454">
        <v>51.331675997741364</v>
      </c>
      <c r="DW19" s="454">
        <v>54.754028300312335</v>
      </c>
      <c r="DX19" s="454">
        <v>58.13095035550749</v>
      </c>
      <c r="DY19" s="454">
        <v>62.20572898880144</v>
      </c>
      <c r="DZ19" s="454">
        <v>65.72759515059391</v>
      </c>
      <c r="EA19" s="454">
        <v>67.74664616009132</v>
      </c>
      <c r="EB19" s="454">
        <v>69.79028772364862</v>
      </c>
      <c r="EC19" s="454">
        <v>74.50410708061608</v>
      </c>
      <c r="ED19" s="454">
        <v>80.27379769126179</v>
      </c>
      <c r="EE19" s="454">
        <v>-1.14</v>
      </c>
      <c r="EF19" s="454">
        <v>79.13379769126179</v>
      </c>
      <c r="EG19" s="454">
        <v>4114.957479945613</v>
      </c>
      <c r="EH19" s="447">
        <v>14073977.572909985</v>
      </c>
      <c r="EI19" s="454">
        <v>47.1</v>
      </c>
      <c r="EJ19" s="454">
        <v>49.19243588034565</v>
      </c>
      <c r="EK19" s="454">
        <v>51.354142539426505</v>
      </c>
      <c r="EL19" s="454">
        <v>54.163924924241364</v>
      </c>
      <c r="EM19" s="454">
        <v>57.26906534704434</v>
      </c>
      <c r="EN19" s="454">
        <v>60.29388221569701</v>
      </c>
      <c r="EO19" s="454">
        <v>64.00701864196728</v>
      </c>
      <c r="EP19" s="454">
        <v>67.39919194873181</v>
      </c>
      <c r="EQ19" s="454">
        <v>69.34079230658216</v>
      </c>
      <c r="ER19" s="454">
        <v>70.85549410167042</v>
      </c>
      <c r="ES19" s="454">
        <v>75.39973260325681</v>
      </c>
      <c r="ET19" s="454">
        <v>80.98649170090316</v>
      </c>
      <c r="EU19" s="447">
        <v>9584522</v>
      </c>
      <c r="EV19" s="447">
        <v>0</v>
      </c>
      <c r="EW19" s="447">
        <v>0</v>
      </c>
      <c r="EX19" s="447">
        <v>0</v>
      </c>
      <c r="EY19" s="447">
        <v>0</v>
      </c>
      <c r="EZ19" s="447">
        <v>0</v>
      </c>
      <c r="FA19" s="447">
        <v>0</v>
      </c>
      <c r="FB19" s="447">
        <v>0</v>
      </c>
      <c r="FC19" s="447">
        <v>0</v>
      </c>
      <c r="FD19" s="447">
        <v>9584522</v>
      </c>
      <c r="FE19" s="447">
        <v>45207.70759066015</v>
      </c>
      <c r="FF19" s="447">
        <v>0</v>
      </c>
      <c r="FG19" s="447">
        <v>0</v>
      </c>
      <c r="FH19" s="447">
        <v>8354</v>
      </c>
      <c r="FI19" s="456">
        <v>0.0313</v>
      </c>
      <c r="FJ19" s="447">
        <v>261.4802</v>
      </c>
      <c r="FK19" s="471">
        <v>261.4802</v>
      </c>
      <c r="FL19" s="498">
        <v>79.13</v>
      </c>
      <c r="FM19" s="37">
        <v>76.74</v>
      </c>
      <c r="FN19" s="37">
        <v>75.6</v>
      </c>
      <c r="FO19" s="37">
        <v>-1.14</v>
      </c>
      <c r="FP19" s="40">
        <v>74.6</v>
      </c>
      <c r="FQ19" s="446">
        <v>188921</v>
      </c>
      <c r="FR19" s="450">
        <v>0</v>
      </c>
      <c r="FS19" s="450">
        <v>0</v>
      </c>
      <c r="FT19" s="450">
        <v>0</v>
      </c>
      <c r="FU19" s="450">
        <v>0</v>
      </c>
      <c r="FV19" s="450">
        <v>0</v>
      </c>
      <c r="FW19" s="450">
        <v>0</v>
      </c>
      <c r="FX19" s="450">
        <v>0</v>
      </c>
      <c r="FY19" s="450">
        <v>0</v>
      </c>
      <c r="FZ19" s="450">
        <v>0</v>
      </c>
      <c r="GA19" s="450">
        <v>0</v>
      </c>
      <c r="GB19" s="450">
        <v>0</v>
      </c>
      <c r="GC19" s="450">
        <v>0</v>
      </c>
      <c r="GD19" s="450">
        <v>0</v>
      </c>
      <c r="GE19" s="450">
        <v>0</v>
      </c>
      <c r="GF19" s="450">
        <v>0</v>
      </c>
      <c r="GG19" s="450">
        <v>0</v>
      </c>
      <c r="GH19" s="450">
        <v>0</v>
      </c>
      <c r="GI19" s="450">
        <v>0</v>
      </c>
      <c r="GJ19" s="450">
        <v>0</v>
      </c>
      <c r="GK19" s="450">
        <v>0</v>
      </c>
      <c r="GL19" s="450">
        <v>0</v>
      </c>
      <c r="GM19" s="450">
        <v>0</v>
      </c>
      <c r="GN19" s="450">
        <v>0</v>
      </c>
      <c r="GO19" s="450">
        <v>0</v>
      </c>
      <c r="GP19" s="450">
        <v>0</v>
      </c>
      <c r="GQ19" s="450">
        <v>0</v>
      </c>
      <c r="GR19" s="450">
        <v>0</v>
      </c>
      <c r="GS19" s="450">
        <v>0</v>
      </c>
      <c r="GT19" s="450">
        <v>0</v>
      </c>
      <c r="GU19" s="450">
        <v>0</v>
      </c>
      <c r="GV19" s="450">
        <v>0</v>
      </c>
      <c r="GW19" s="450">
        <v>0</v>
      </c>
      <c r="GX19" s="450">
        <v>6201371</v>
      </c>
      <c r="GY19" s="450">
        <v>14201371</v>
      </c>
      <c r="GZ19" s="450">
        <v>2</v>
      </c>
      <c r="HA19" s="450" t="s">
        <v>888</v>
      </c>
      <c r="HB19" s="450" t="s">
        <v>888</v>
      </c>
      <c r="HC19" s="450">
        <v>0</v>
      </c>
      <c r="HD19" s="450">
        <v>0</v>
      </c>
      <c r="HE19" s="450">
        <v>0</v>
      </c>
      <c r="HF19" s="450">
        <v>0</v>
      </c>
      <c r="HG19" s="472">
        <v>0</v>
      </c>
    </row>
    <row r="20" spans="2:215" ht="12.75">
      <c r="B20" s="445" t="s">
        <v>695</v>
      </c>
      <c r="C20" s="446">
        <v>19130</v>
      </c>
      <c r="D20" s="447">
        <v>4488090</v>
      </c>
      <c r="E20" s="447">
        <v>3850781.22</v>
      </c>
      <c r="F20" s="447">
        <v>651978.3968606191</v>
      </c>
      <c r="G20" s="447">
        <v>637308.78</v>
      </c>
      <c r="H20" s="448">
        <v>0.5038818609513853</v>
      </c>
      <c r="I20" s="449">
        <v>8375.79</v>
      </c>
      <c r="J20" s="449">
        <v>1263.47</v>
      </c>
      <c r="K20" s="447">
        <v>4502759.616860619</v>
      </c>
      <c r="L20" s="447">
        <v>3602207.6934884954</v>
      </c>
      <c r="M20" s="447">
        <v>1339708.6814878508</v>
      </c>
      <c r="N20" s="447">
        <v>900551.9233721235</v>
      </c>
      <c r="O20" s="450">
        <v>1.4876529012022999</v>
      </c>
      <c r="P20" s="451">
        <v>0.6248823836905384</v>
      </c>
      <c r="Q20" s="452">
        <v>0.37511761630946155</v>
      </c>
      <c r="R20" s="447">
        <v>4941916.374976346</v>
      </c>
      <c r="S20" s="447">
        <v>3340735.4694840102</v>
      </c>
      <c r="T20" s="447">
        <v>497475.07893565315</v>
      </c>
      <c r="U20" s="447">
        <v>1872777.6871635665</v>
      </c>
      <c r="V20" s="447">
        <v>1126756.933494607</v>
      </c>
      <c r="W20" s="450">
        <v>1.662095551837605</v>
      </c>
      <c r="X20" s="452">
        <v>29.17725811835155</v>
      </c>
      <c r="Y20" s="447">
        <v>497475.07893565315</v>
      </c>
      <c r="Z20" s="447">
        <v>474423.97199772927</v>
      </c>
      <c r="AA20" s="448">
        <v>1.048587567868586</v>
      </c>
      <c r="AB20" s="448">
        <v>0.08248823836905385</v>
      </c>
      <c r="AC20" s="449">
        <v>1585</v>
      </c>
      <c r="AD20" s="449">
        <v>1571</v>
      </c>
      <c r="AE20" s="447">
        <v>5710988.23558323</v>
      </c>
      <c r="AF20" s="447">
        <v>988671.8192702073</v>
      </c>
      <c r="AG20" s="451">
        <v>1</v>
      </c>
      <c r="AH20" s="450">
        <v>0.5644672804719052</v>
      </c>
      <c r="AI20" s="452">
        <v>0.4753434956073761</v>
      </c>
      <c r="AJ20" s="447">
        <v>6699660.0548534375</v>
      </c>
      <c r="AK20" s="453">
        <v>1.0703</v>
      </c>
      <c r="AL20" s="447">
        <v>7170646.156709635</v>
      </c>
      <c r="AM20" s="447">
        <v>16868672.14052558</v>
      </c>
      <c r="AN20" s="447">
        <v>16702175.007967575</v>
      </c>
      <c r="AO20" s="447">
        <v>16190309.009761643</v>
      </c>
      <c r="AP20" s="447">
        <v>16702175.007967575</v>
      </c>
      <c r="AQ20" s="447">
        <v>76520</v>
      </c>
      <c r="AR20" s="447">
        <v>16778695.007967576</v>
      </c>
      <c r="AS20" s="454">
        <v>877.0880819638043</v>
      </c>
      <c r="AT20" s="450">
        <v>19129</v>
      </c>
      <c r="AU20" s="450">
        <v>3131</v>
      </c>
      <c r="AV20" s="450">
        <v>809</v>
      </c>
      <c r="AW20" s="450">
        <v>3017</v>
      </c>
      <c r="AX20" s="450">
        <v>163</v>
      </c>
      <c r="AY20" s="450">
        <v>719</v>
      </c>
      <c r="AZ20" s="450">
        <v>62</v>
      </c>
      <c r="BA20" s="450">
        <v>78</v>
      </c>
      <c r="BB20" s="450">
        <v>1568</v>
      </c>
      <c r="BC20" s="450">
        <v>1032</v>
      </c>
      <c r="BD20" s="450">
        <v>1203</v>
      </c>
      <c r="BE20" s="450">
        <v>4594</v>
      </c>
      <c r="BF20" s="450">
        <v>2582</v>
      </c>
      <c r="BG20" s="450">
        <v>169</v>
      </c>
      <c r="BH20" s="450">
        <v>2</v>
      </c>
      <c r="BI20" s="450">
        <v>0</v>
      </c>
      <c r="BJ20" s="452">
        <v>2.224086233979551</v>
      </c>
      <c r="BK20" s="452">
        <v>22.005406490081413</v>
      </c>
      <c r="BL20" s="452">
        <v>10.329063945266215</v>
      </c>
      <c r="BM20" s="452">
        <v>23.352685089630395</v>
      </c>
      <c r="BN20" s="449">
        <v>11953</v>
      </c>
      <c r="BO20" s="449">
        <v>7176</v>
      </c>
      <c r="BP20" s="447">
        <v>8326518.474169006</v>
      </c>
      <c r="BQ20" s="447">
        <v>22440846</v>
      </c>
      <c r="BR20" s="447">
        <v>27100482</v>
      </c>
      <c r="BS20" s="448">
        <v>0.08249255057765696</v>
      </c>
      <c r="BT20" s="449">
        <v>1585</v>
      </c>
      <c r="BU20" s="449">
        <v>1571</v>
      </c>
      <c r="BV20" s="447">
        <v>2235587.882063882</v>
      </c>
      <c r="BW20" s="448">
        <v>0.011830309638674609</v>
      </c>
      <c r="BX20" s="447">
        <v>78708.5693222932</v>
      </c>
      <c r="BY20" s="447">
        <v>33081660.92555518</v>
      </c>
      <c r="BZ20" s="455">
        <v>1.1433333333333333</v>
      </c>
      <c r="CA20" s="447">
        <v>37823365.658218086</v>
      </c>
      <c r="CB20" s="447">
        <v>28444196.212946404</v>
      </c>
      <c r="CC20" s="447">
        <v>28409382.777334165</v>
      </c>
      <c r="CD20" s="447">
        <v>27270869.675883505</v>
      </c>
      <c r="CE20" s="447">
        <v>28409382.777334165</v>
      </c>
      <c r="CF20" s="454">
        <v>1485.1473039539005</v>
      </c>
      <c r="CG20" s="450">
        <v>19129</v>
      </c>
      <c r="CH20" s="450">
        <v>3131</v>
      </c>
      <c r="CI20" s="450">
        <v>809</v>
      </c>
      <c r="CJ20" s="450">
        <v>3017</v>
      </c>
      <c r="CK20" s="450">
        <v>163</v>
      </c>
      <c r="CL20" s="450">
        <v>719</v>
      </c>
      <c r="CM20" s="450">
        <v>62</v>
      </c>
      <c r="CN20" s="450">
        <v>78</v>
      </c>
      <c r="CO20" s="450">
        <v>1568</v>
      </c>
      <c r="CP20" s="450">
        <v>1032</v>
      </c>
      <c r="CQ20" s="450">
        <v>1203</v>
      </c>
      <c r="CR20" s="450">
        <v>4594</v>
      </c>
      <c r="CS20" s="450">
        <v>2582</v>
      </c>
      <c r="CT20" s="450">
        <v>169</v>
      </c>
      <c r="CU20" s="450">
        <v>2</v>
      </c>
      <c r="CV20" s="450">
        <v>0</v>
      </c>
      <c r="CW20" s="447">
        <v>13354429.10389582</v>
      </c>
      <c r="CX20" s="452">
        <v>1.116137260555759</v>
      </c>
      <c r="CY20" s="452">
        <v>1.1433333333333333</v>
      </c>
      <c r="CZ20" s="447">
        <v>14905375.916308379</v>
      </c>
      <c r="DA20" s="454">
        <v>779.2030904024455</v>
      </c>
      <c r="DB20" s="449">
        <v>19130</v>
      </c>
      <c r="DC20" s="452">
        <v>1.005797177208573</v>
      </c>
      <c r="DD20" s="454">
        <v>354.1</v>
      </c>
      <c r="DE20" s="447">
        <v>52368</v>
      </c>
      <c r="DF20" s="454">
        <v>60.28603650494499</v>
      </c>
      <c r="DG20" s="454">
        <v>62.87833607465762</v>
      </c>
      <c r="DH20" s="454">
        <v>64.26165946830007</v>
      </c>
      <c r="DI20" s="454">
        <v>65.67541597660265</v>
      </c>
      <c r="DJ20" s="454">
        <v>67.84270470383053</v>
      </c>
      <c r="DK20" s="454">
        <v>70.28504207316843</v>
      </c>
      <c r="DL20" s="454">
        <v>72.53416341950981</v>
      </c>
      <c r="DM20" s="454">
        <v>75.5080641197097</v>
      </c>
      <c r="DN20" s="454">
        <v>78.83041894097691</v>
      </c>
      <c r="DO20" s="454">
        <v>83.16609198273063</v>
      </c>
      <c r="DP20" s="454">
        <v>82.41759715488605</v>
      </c>
      <c r="DQ20" s="454">
        <v>86.62089460978524</v>
      </c>
      <c r="DR20" s="454">
        <v>91.90476918098213</v>
      </c>
      <c r="DS20" s="454">
        <v>44.3</v>
      </c>
      <c r="DT20" s="454">
        <v>47.17330594682999</v>
      </c>
      <c r="DU20" s="454">
        <v>50.151596155320505</v>
      </c>
      <c r="DV20" s="454">
        <v>53.811112062869135</v>
      </c>
      <c r="DW20" s="454">
        <v>57.8249878079947</v>
      </c>
      <c r="DX20" s="454">
        <v>61.81851675146041</v>
      </c>
      <c r="DY20" s="454">
        <v>66.58407357455816</v>
      </c>
      <c r="DZ20" s="454">
        <v>70.54895571507629</v>
      </c>
      <c r="EA20" s="454">
        <v>72.82459356579312</v>
      </c>
      <c r="EB20" s="454">
        <v>75.50742138695345</v>
      </c>
      <c r="EC20" s="454">
        <v>80.8108188241075</v>
      </c>
      <c r="ED20" s="454">
        <v>87.28140137452907</v>
      </c>
      <c r="EE20" s="454">
        <v>-2.07</v>
      </c>
      <c r="EF20" s="454">
        <v>85.21140137452907</v>
      </c>
      <c r="EG20" s="454">
        <v>4430.9928714755115</v>
      </c>
      <c r="EH20" s="447">
        <v>83069595.75870001</v>
      </c>
      <c r="EI20" s="454">
        <v>44.75</v>
      </c>
      <c r="EJ20" s="454">
        <v>47.58721594683</v>
      </c>
      <c r="EK20" s="454">
        <v>50.527610395320515</v>
      </c>
      <c r="EL20" s="454">
        <v>54.15098193404914</v>
      </c>
      <c r="EM20" s="454">
        <v>58.126792253602545</v>
      </c>
      <c r="EN20" s="454">
        <v>62.078068574683144</v>
      </c>
      <c r="EO20" s="454">
        <v>66.80022833293805</v>
      </c>
      <c r="EP20" s="454">
        <v>70.74954733085282</v>
      </c>
      <c r="EQ20" s="454">
        <v>73.01589110337203</v>
      </c>
      <c r="ER20" s="454">
        <v>75.63524615231607</v>
      </c>
      <c r="ES20" s="454">
        <v>80.91829388682439</v>
      </c>
      <c r="ET20" s="454">
        <v>87.36692465568603</v>
      </c>
      <c r="EU20" s="447">
        <v>-17007670</v>
      </c>
      <c r="EV20" s="447">
        <v>0</v>
      </c>
      <c r="EW20" s="447">
        <v>0</v>
      </c>
      <c r="EX20" s="447">
        <v>0</v>
      </c>
      <c r="EY20" s="447">
        <v>0</v>
      </c>
      <c r="EZ20" s="447">
        <v>0</v>
      </c>
      <c r="FA20" s="447">
        <v>0</v>
      </c>
      <c r="FB20" s="447">
        <v>0</v>
      </c>
      <c r="FC20" s="447">
        <v>0</v>
      </c>
      <c r="FD20" s="447">
        <v>0</v>
      </c>
      <c r="FE20" s="447">
        <v>0</v>
      </c>
      <c r="FF20" s="447">
        <v>0</v>
      </c>
      <c r="FG20" s="447">
        <v>0</v>
      </c>
      <c r="FH20" s="447">
        <v>325014</v>
      </c>
      <c r="FI20" s="456">
        <v>0.0393</v>
      </c>
      <c r="FJ20" s="447">
        <v>12773.0502</v>
      </c>
      <c r="FK20" s="471">
        <v>12773.0502</v>
      </c>
      <c r="FL20" s="498">
        <v>86.62</v>
      </c>
      <c r="FM20" s="37">
        <v>81.26</v>
      </c>
      <c r="FN20" s="37">
        <v>79.03</v>
      </c>
      <c r="FO20" s="37">
        <v>-2.23</v>
      </c>
      <c r="FP20" s="40">
        <v>79.19</v>
      </c>
      <c r="FQ20" s="446">
        <v>0</v>
      </c>
      <c r="FR20" s="450">
        <v>0</v>
      </c>
      <c r="FS20" s="450">
        <v>0</v>
      </c>
      <c r="FT20" s="450">
        <v>0</v>
      </c>
      <c r="FU20" s="450">
        <v>0</v>
      </c>
      <c r="FV20" s="450">
        <v>0</v>
      </c>
      <c r="FW20" s="450">
        <v>0</v>
      </c>
      <c r="FX20" s="450">
        <v>0</v>
      </c>
      <c r="FY20" s="450">
        <v>0</v>
      </c>
      <c r="FZ20" s="450">
        <v>0</v>
      </c>
      <c r="GA20" s="450">
        <v>0</v>
      </c>
      <c r="GB20" s="450">
        <v>0</v>
      </c>
      <c r="GC20" s="450">
        <v>0</v>
      </c>
      <c r="GD20" s="450">
        <v>0</v>
      </c>
      <c r="GE20" s="450">
        <v>0</v>
      </c>
      <c r="GF20" s="450">
        <v>0</v>
      </c>
      <c r="GG20" s="450">
        <v>0</v>
      </c>
      <c r="GH20" s="450">
        <v>0</v>
      </c>
      <c r="GI20" s="450">
        <v>0</v>
      </c>
      <c r="GJ20" s="450">
        <v>0</v>
      </c>
      <c r="GK20" s="450">
        <v>0</v>
      </c>
      <c r="GL20" s="450">
        <v>0</v>
      </c>
      <c r="GM20" s="450">
        <v>0</v>
      </c>
      <c r="GN20" s="450">
        <v>0</v>
      </c>
      <c r="GO20" s="450">
        <v>0</v>
      </c>
      <c r="GP20" s="450">
        <v>0</v>
      </c>
      <c r="GQ20" s="450">
        <v>0</v>
      </c>
      <c r="GR20" s="450">
        <v>0</v>
      </c>
      <c r="GS20" s="450">
        <v>0</v>
      </c>
      <c r="GT20" s="450">
        <v>0</v>
      </c>
      <c r="GU20" s="450">
        <v>0</v>
      </c>
      <c r="GV20" s="450">
        <v>0</v>
      </c>
      <c r="GW20" s="450">
        <v>11736441</v>
      </c>
      <c r="GX20" s="450">
        <v>-15175723</v>
      </c>
      <c r="GY20" s="450">
        <v>5042315</v>
      </c>
      <c r="GZ20" s="450">
        <v>220</v>
      </c>
      <c r="HA20" s="450" t="s">
        <v>888</v>
      </c>
      <c r="HB20" s="450" t="s">
        <v>888</v>
      </c>
      <c r="HC20" s="450">
        <v>250</v>
      </c>
      <c r="HD20" s="450">
        <v>295</v>
      </c>
      <c r="HE20" s="450">
        <v>311</v>
      </c>
      <c r="HF20" s="450">
        <v>311</v>
      </c>
      <c r="HG20" s="472">
        <v>312</v>
      </c>
    </row>
    <row r="21" spans="2:215" ht="12.75">
      <c r="B21" s="445" t="s">
        <v>696</v>
      </c>
      <c r="C21" s="446">
        <v>10912.75</v>
      </c>
      <c r="D21" s="447">
        <v>2573470.75</v>
      </c>
      <c r="E21" s="447">
        <v>2208037.9035</v>
      </c>
      <c r="F21" s="447">
        <v>466516.10681143415</v>
      </c>
      <c r="G21" s="447">
        <v>365432.84650000004</v>
      </c>
      <c r="H21" s="448">
        <v>0.628788343909647</v>
      </c>
      <c r="I21" s="449">
        <v>6374.18</v>
      </c>
      <c r="J21" s="449">
        <v>487.63</v>
      </c>
      <c r="K21" s="447">
        <v>2674554.010311434</v>
      </c>
      <c r="L21" s="447">
        <v>2139643.2082491475</v>
      </c>
      <c r="M21" s="447">
        <v>870229.0820822443</v>
      </c>
      <c r="N21" s="447">
        <v>534910.8020622866</v>
      </c>
      <c r="O21" s="450">
        <v>1.6268676548074499</v>
      </c>
      <c r="P21" s="451">
        <v>0.517834642963506</v>
      </c>
      <c r="Q21" s="452">
        <v>0.4821882660191061</v>
      </c>
      <c r="R21" s="447">
        <v>3009872.2903313916</v>
      </c>
      <c r="S21" s="447">
        <v>2034673.668264021</v>
      </c>
      <c r="T21" s="447">
        <v>230057.4438984883</v>
      </c>
      <c r="U21" s="447">
        <v>561119.2890702194</v>
      </c>
      <c r="V21" s="447">
        <v>686250.8821955574</v>
      </c>
      <c r="W21" s="450">
        <v>0.8176591150965109</v>
      </c>
      <c r="X21" s="452">
        <v>14.353597798644953</v>
      </c>
      <c r="Y21" s="447">
        <v>230057.4438984883</v>
      </c>
      <c r="Z21" s="447">
        <v>288947.7398718136</v>
      </c>
      <c r="AA21" s="448">
        <v>0.7961904945183135</v>
      </c>
      <c r="AB21" s="448">
        <v>0.06263315846143273</v>
      </c>
      <c r="AC21" s="449">
        <v>716</v>
      </c>
      <c r="AD21" s="449">
        <v>651</v>
      </c>
      <c r="AE21" s="447">
        <v>2825850.4012327287</v>
      </c>
      <c r="AF21" s="447">
        <v>158599.17615357973</v>
      </c>
      <c r="AG21" s="451">
        <v>0.75</v>
      </c>
      <c r="AH21" s="450">
        <v>0.142194040525868</v>
      </c>
      <c r="AI21" s="452">
        <v>0.11974301189184189</v>
      </c>
      <c r="AJ21" s="447">
        <v>2984449.5773863085</v>
      </c>
      <c r="AK21" s="453">
        <v>1.1108</v>
      </c>
      <c r="AL21" s="447">
        <v>3315126.5905607115</v>
      </c>
      <c r="AM21" s="447">
        <v>7798709.1174734</v>
      </c>
      <c r="AN21" s="447">
        <v>7721734.315017323</v>
      </c>
      <c r="AO21" s="447">
        <v>7619758.560055697</v>
      </c>
      <c r="AP21" s="447">
        <v>7721734.315017323</v>
      </c>
      <c r="AQ21" s="447">
        <v>43651</v>
      </c>
      <c r="AR21" s="447">
        <v>7765385.315017323</v>
      </c>
      <c r="AS21" s="454">
        <v>711.5883086314011</v>
      </c>
      <c r="AT21" s="450">
        <v>10903</v>
      </c>
      <c r="AU21" s="450">
        <v>447</v>
      </c>
      <c r="AV21" s="450">
        <v>328</v>
      </c>
      <c r="AW21" s="450">
        <v>1140</v>
      </c>
      <c r="AX21" s="450">
        <v>41</v>
      </c>
      <c r="AY21" s="450">
        <v>721</v>
      </c>
      <c r="AZ21" s="450">
        <v>74</v>
      </c>
      <c r="BA21" s="450">
        <v>320</v>
      </c>
      <c r="BB21" s="450">
        <v>466</v>
      </c>
      <c r="BC21" s="450">
        <v>365</v>
      </c>
      <c r="BD21" s="450">
        <v>1532</v>
      </c>
      <c r="BE21" s="450">
        <v>3953</v>
      </c>
      <c r="BF21" s="450">
        <v>1309</v>
      </c>
      <c r="BG21" s="450">
        <v>180</v>
      </c>
      <c r="BH21" s="450">
        <v>23</v>
      </c>
      <c r="BI21" s="450">
        <v>4</v>
      </c>
      <c r="BJ21" s="452">
        <v>1.9725452972324362</v>
      </c>
      <c r="BK21" s="452">
        <v>15.39055248041035</v>
      </c>
      <c r="BL21" s="452">
        <v>4.392393215262724</v>
      </c>
      <c r="BM21" s="452">
        <v>21.99631853029525</v>
      </c>
      <c r="BN21" s="449">
        <v>5641</v>
      </c>
      <c r="BO21" s="449">
        <v>5262</v>
      </c>
      <c r="BP21" s="447">
        <v>4091400.196796494</v>
      </c>
      <c r="BQ21" s="447">
        <v>13051803</v>
      </c>
      <c r="BR21" s="447">
        <v>14629670</v>
      </c>
      <c r="BS21" s="448">
        <v>0.06268916811886636</v>
      </c>
      <c r="BT21" s="449">
        <v>716</v>
      </c>
      <c r="BU21" s="449">
        <v>651</v>
      </c>
      <c r="BV21" s="447">
        <v>917121.8421535357</v>
      </c>
      <c r="BW21" s="448">
        <v>0.021499612992418864</v>
      </c>
      <c r="BX21" s="447">
        <v>57021.036666788976</v>
      </c>
      <c r="BY21" s="447">
        <v>18117346.075616818</v>
      </c>
      <c r="BZ21" s="455">
        <v>1.1433333333333333</v>
      </c>
      <c r="CA21" s="447">
        <v>20714165.67978856</v>
      </c>
      <c r="CB21" s="447">
        <v>15577614.068180311</v>
      </c>
      <c r="CC21" s="447">
        <v>15558548.306564307</v>
      </c>
      <c r="CD21" s="447">
        <v>15080728.72061316</v>
      </c>
      <c r="CE21" s="447">
        <v>15558548.306564307</v>
      </c>
      <c r="CF21" s="454">
        <v>1426.9970014275252</v>
      </c>
      <c r="CG21" s="450">
        <v>10903</v>
      </c>
      <c r="CH21" s="450">
        <v>447</v>
      </c>
      <c r="CI21" s="450">
        <v>328</v>
      </c>
      <c r="CJ21" s="450">
        <v>1140</v>
      </c>
      <c r="CK21" s="450">
        <v>41</v>
      </c>
      <c r="CL21" s="450">
        <v>721</v>
      </c>
      <c r="CM21" s="450">
        <v>74</v>
      </c>
      <c r="CN21" s="450">
        <v>320</v>
      </c>
      <c r="CO21" s="450">
        <v>466</v>
      </c>
      <c r="CP21" s="450">
        <v>365</v>
      </c>
      <c r="CQ21" s="450">
        <v>1532</v>
      </c>
      <c r="CR21" s="450">
        <v>3953</v>
      </c>
      <c r="CS21" s="450">
        <v>1309</v>
      </c>
      <c r="CT21" s="450">
        <v>180</v>
      </c>
      <c r="CU21" s="450">
        <v>23</v>
      </c>
      <c r="CV21" s="450">
        <v>4</v>
      </c>
      <c r="CW21" s="447">
        <v>8432879.723806433</v>
      </c>
      <c r="CX21" s="452">
        <v>1.116137260555759</v>
      </c>
      <c r="CY21" s="452">
        <v>1.1433333333333333</v>
      </c>
      <c r="CZ21" s="447">
        <v>9412251.273525517</v>
      </c>
      <c r="DA21" s="454">
        <v>863.2716934353405</v>
      </c>
      <c r="DB21" s="449">
        <v>10912.75</v>
      </c>
      <c r="DC21" s="452">
        <v>1.0009553962108544</v>
      </c>
      <c r="DD21" s="454">
        <v>354.1</v>
      </c>
      <c r="DE21" s="447">
        <v>70329</v>
      </c>
      <c r="DF21" s="454">
        <v>65.99461588283819</v>
      </c>
      <c r="DG21" s="454">
        <v>68.83238436580022</v>
      </c>
      <c r="DH21" s="454">
        <v>70.34669682184781</v>
      </c>
      <c r="DI21" s="454">
        <v>71.89432415192846</v>
      </c>
      <c r="DJ21" s="454">
        <v>74.26683684894209</v>
      </c>
      <c r="DK21" s="454">
        <v>76.940442975504</v>
      </c>
      <c r="DL21" s="454">
        <v>79.40253715072011</v>
      </c>
      <c r="DM21" s="454">
        <v>82.65804117389962</v>
      </c>
      <c r="DN21" s="454">
        <v>86.29499498555118</v>
      </c>
      <c r="DO21" s="454">
        <v>91.04121970975649</v>
      </c>
      <c r="DP21" s="454">
        <v>90.22184873236868</v>
      </c>
      <c r="DQ21" s="454">
        <v>94.82316301771948</v>
      </c>
      <c r="DR21" s="454">
        <v>100.60737596180036</v>
      </c>
      <c r="DS21" s="454">
        <v>53.35</v>
      </c>
      <c r="DT21" s="454">
        <v>56.10599968218477</v>
      </c>
      <c r="DU21" s="454">
        <v>58.95744195038568</v>
      </c>
      <c r="DV21" s="454">
        <v>62.57351244902261</v>
      </c>
      <c r="DW21" s="454">
        <v>66.5567709083755</v>
      </c>
      <c r="DX21" s="454">
        <v>70.47257917298961</v>
      </c>
      <c r="DY21" s="454">
        <v>75.22117217004566</v>
      </c>
      <c r="DZ21" s="454">
        <v>79.39358054997471</v>
      </c>
      <c r="EA21" s="454">
        <v>81.78442596514299</v>
      </c>
      <c r="EB21" s="454">
        <v>84.03647121318699</v>
      </c>
      <c r="EC21" s="454">
        <v>89.62249759959151</v>
      </c>
      <c r="ED21" s="454">
        <v>96.46894645532502</v>
      </c>
      <c r="EE21" s="454">
        <v>-1.74</v>
      </c>
      <c r="EF21" s="454">
        <v>94.72894645532503</v>
      </c>
      <c r="EG21" s="454">
        <v>4925.905215676901</v>
      </c>
      <c r="EH21" s="447">
        <v>52680068.69953054</v>
      </c>
      <c r="EI21" s="454">
        <v>57.99</v>
      </c>
      <c r="EJ21" s="454">
        <v>60.37387168218478</v>
      </c>
      <c r="EK21" s="454">
        <v>62.834566558385674</v>
      </c>
      <c r="EL21" s="454">
        <v>66.07794845407861</v>
      </c>
      <c r="EM21" s="454">
        <v>69.66871008086521</v>
      </c>
      <c r="EN21" s="454">
        <v>73.14884686133075</v>
      </c>
      <c r="EO21" s="454">
        <v>77.44996790089617</v>
      </c>
      <c r="EP21" s="454">
        <v>81.46190298820399</v>
      </c>
      <c r="EQ21" s="454">
        <v>83.75691613040098</v>
      </c>
      <c r="ER21" s="454">
        <v>85.35448657159262</v>
      </c>
      <c r="ES21" s="454">
        <v>90.73068491293897</v>
      </c>
      <c r="ET21" s="454">
        <v>97.35078650992128</v>
      </c>
      <c r="EU21" s="447">
        <v>139873981</v>
      </c>
      <c r="EV21" s="447">
        <v>0</v>
      </c>
      <c r="EW21" s="447">
        <v>0</v>
      </c>
      <c r="EX21" s="447">
        <v>0</v>
      </c>
      <c r="EY21" s="447">
        <v>0</v>
      </c>
      <c r="EZ21" s="447">
        <v>0</v>
      </c>
      <c r="FA21" s="447">
        <v>0</v>
      </c>
      <c r="FB21" s="447">
        <v>2411500</v>
      </c>
      <c r="FC21" s="447">
        <v>0</v>
      </c>
      <c r="FD21" s="447">
        <v>137462481</v>
      </c>
      <c r="FE21" s="447">
        <v>107718.84795853493</v>
      </c>
      <c r="FF21" s="447">
        <v>0</v>
      </c>
      <c r="FG21" s="447">
        <v>0</v>
      </c>
      <c r="FH21" s="447">
        <v>364054</v>
      </c>
      <c r="FI21" s="456">
        <v>0.0313</v>
      </c>
      <c r="FJ21" s="447">
        <v>11394.8902</v>
      </c>
      <c r="FK21" s="471">
        <v>11394.8902</v>
      </c>
      <c r="FL21" s="498">
        <v>95.52</v>
      </c>
      <c r="FM21" s="37">
        <v>91.44</v>
      </c>
      <c r="FN21" s="37">
        <v>89.7</v>
      </c>
      <c r="FO21" s="37">
        <v>-1.74</v>
      </c>
      <c r="FP21" s="40">
        <v>88.76</v>
      </c>
      <c r="FQ21" s="446">
        <v>497655</v>
      </c>
      <c r="FR21" s="450">
        <v>0</v>
      </c>
      <c r="FS21" s="450">
        <v>28030</v>
      </c>
      <c r="FT21" s="450">
        <v>29260</v>
      </c>
      <c r="FU21" s="450">
        <v>30545</v>
      </c>
      <c r="FV21" s="450">
        <v>31885</v>
      </c>
      <c r="FW21" s="450">
        <v>33285</v>
      </c>
      <c r="FX21" s="450">
        <v>34746</v>
      </c>
      <c r="FY21" s="450">
        <v>36271</v>
      </c>
      <c r="FZ21" s="450">
        <v>37864</v>
      </c>
      <c r="GA21" s="450">
        <v>10592</v>
      </c>
      <c r="GB21" s="450">
        <v>0</v>
      </c>
      <c r="GC21" s="450">
        <v>0</v>
      </c>
      <c r="GD21" s="450">
        <v>0</v>
      </c>
      <c r="GE21" s="450">
        <v>0</v>
      </c>
      <c r="GF21" s="450">
        <v>0</v>
      </c>
      <c r="GG21" s="450">
        <v>0</v>
      </c>
      <c r="GH21" s="450">
        <v>0</v>
      </c>
      <c r="GI21" s="450">
        <v>0</v>
      </c>
      <c r="GJ21" s="450">
        <v>0</v>
      </c>
      <c r="GK21" s="450">
        <v>0</v>
      </c>
      <c r="GL21" s="450">
        <v>0</v>
      </c>
      <c r="GM21" s="450">
        <v>0</v>
      </c>
      <c r="GN21" s="450">
        <v>0</v>
      </c>
      <c r="GO21" s="450">
        <v>0</v>
      </c>
      <c r="GP21" s="450">
        <v>0</v>
      </c>
      <c r="GQ21" s="450">
        <v>0</v>
      </c>
      <c r="GR21" s="450">
        <v>0</v>
      </c>
      <c r="GS21" s="450">
        <v>0</v>
      </c>
      <c r="GT21" s="450">
        <v>0</v>
      </c>
      <c r="GU21" s="450">
        <v>0</v>
      </c>
      <c r="GV21" s="450">
        <v>0</v>
      </c>
      <c r="GW21" s="450">
        <v>0</v>
      </c>
      <c r="GX21" s="450">
        <v>101132179</v>
      </c>
      <c r="GY21" s="450">
        <v>98758679</v>
      </c>
      <c r="GZ21" s="450">
        <v>185</v>
      </c>
      <c r="HA21" s="450" t="s">
        <v>888</v>
      </c>
      <c r="HB21" s="450" t="s">
        <v>888</v>
      </c>
      <c r="HC21" s="450">
        <v>16</v>
      </c>
      <c r="HD21" s="450">
        <v>310</v>
      </c>
      <c r="HE21" s="450">
        <v>235</v>
      </c>
      <c r="HF21" s="450">
        <v>411</v>
      </c>
      <c r="HG21" s="472">
        <v>196</v>
      </c>
    </row>
    <row r="22" spans="2:215" ht="12.75">
      <c r="B22" s="445" t="s">
        <v>697</v>
      </c>
      <c r="C22" s="446">
        <v>19024</v>
      </c>
      <c r="D22" s="447">
        <v>4463392</v>
      </c>
      <c r="E22" s="447">
        <v>3829590.336</v>
      </c>
      <c r="F22" s="447">
        <v>329779.37945380894</v>
      </c>
      <c r="G22" s="447">
        <v>633801.6640000001</v>
      </c>
      <c r="H22" s="448">
        <v>0.256280487804878</v>
      </c>
      <c r="I22" s="449">
        <v>2813.29</v>
      </c>
      <c r="J22" s="449">
        <v>2062.19</v>
      </c>
      <c r="K22" s="447">
        <v>4159369.715453809</v>
      </c>
      <c r="L22" s="447">
        <v>3327495.7723630476</v>
      </c>
      <c r="M22" s="447">
        <v>849837.2429131799</v>
      </c>
      <c r="N22" s="447">
        <v>831873.9430907617</v>
      </c>
      <c r="O22" s="450">
        <v>1.0215937762825904</v>
      </c>
      <c r="P22" s="451">
        <v>0.9833894028595458</v>
      </c>
      <c r="Q22" s="452">
        <v>0.016610597140454163</v>
      </c>
      <c r="R22" s="447">
        <v>4177333.0152762276</v>
      </c>
      <c r="S22" s="447">
        <v>2823877.11832673</v>
      </c>
      <c r="T22" s="447">
        <v>380111.06306859024</v>
      </c>
      <c r="U22" s="447">
        <v>656218.6112634636</v>
      </c>
      <c r="V22" s="447">
        <v>952431.92748298</v>
      </c>
      <c r="W22" s="450">
        <v>0.6889926642817109</v>
      </c>
      <c r="X22" s="452">
        <v>12.09492245206512</v>
      </c>
      <c r="Y22" s="447">
        <v>380111.06306859024</v>
      </c>
      <c r="Z22" s="447">
        <v>401023.96946651785</v>
      </c>
      <c r="AA22" s="448">
        <v>0.9478512308734361</v>
      </c>
      <c r="AB22" s="448">
        <v>0.07456370899915896</v>
      </c>
      <c r="AC22" s="449">
        <v>1385</v>
      </c>
      <c r="AD22" s="449">
        <v>1452</v>
      </c>
      <c r="AE22" s="447">
        <v>3860206.792658784</v>
      </c>
      <c r="AF22" s="447">
        <v>793487.3328927979</v>
      </c>
      <c r="AG22" s="451">
        <v>1</v>
      </c>
      <c r="AH22" s="450">
        <v>0.4341150998070534</v>
      </c>
      <c r="AI22" s="452">
        <v>0.36557263135910034</v>
      </c>
      <c r="AJ22" s="447">
        <v>4653694.125551581</v>
      </c>
      <c r="AK22" s="453">
        <v>1</v>
      </c>
      <c r="AL22" s="447">
        <v>4653694.125551581</v>
      </c>
      <c r="AM22" s="447">
        <v>10947638.292368514</v>
      </c>
      <c r="AN22" s="447">
        <v>10839582.935741922</v>
      </c>
      <c r="AO22" s="447">
        <v>10495191.814349364</v>
      </c>
      <c r="AP22" s="447">
        <v>10839582.935741922</v>
      </c>
      <c r="AQ22" s="447">
        <v>76096</v>
      </c>
      <c r="AR22" s="447">
        <v>10915678.935741922</v>
      </c>
      <c r="AS22" s="454">
        <v>573.7846370764256</v>
      </c>
      <c r="AT22" s="450">
        <v>19024</v>
      </c>
      <c r="AU22" s="450">
        <v>239</v>
      </c>
      <c r="AV22" s="450">
        <v>4103</v>
      </c>
      <c r="AW22" s="450">
        <v>944</v>
      </c>
      <c r="AX22" s="450">
        <v>34</v>
      </c>
      <c r="AY22" s="450">
        <v>3383</v>
      </c>
      <c r="AZ22" s="450">
        <v>585</v>
      </c>
      <c r="BA22" s="450">
        <v>298</v>
      </c>
      <c r="BB22" s="450">
        <v>1649</v>
      </c>
      <c r="BC22" s="450">
        <v>134</v>
      </c>
      <c r="BD22" s="450">
        <v>2711</v>
      </c>
      <c r="BE22" s="450">
        <v>185</v>
      </c>
      <c r="BF22" s="450">
        <v>131</v>
      </c>
      <c r="BG22" s="450">
        <v>4622</v>
      </c>
      <c r="BH22" s="450">
        <v>2</v>
      </c>
      <c r="BI22" s="450">
        <v>4</v>
      </c>
      <c r="BJ22" s="452">
        <v>1.5188844470641052</v>
      </c>
      <c r="BK22" s="452">
        <v>17.071922631777635</v>
      </c>
      <c r="BL22" s="452">
        <v>12.792617275772088</v>
      </c>
      <c r="BM22" s="452">
        <v>8.558610712011093</v>
      </c>
      <c r="BN22" s="449">
        <v>18708</v>
      </c>
      <c r="BO22" s="449">
        <v>316</v>
      </c>
      <c r="BP22" s="447">
        <v>6686161.23254958</v>
      </c>
      <c r="BQ22" s="447">
        <v>19231464</v>
      </c>
      <c r="BR22" s="447">
        <v>26769023</v>
      </c>
      <c r="BS22" s="448">
        <v>0.07456370899915896</v>
      </c>
      <c r="BT22" s="449">
        <v>1385</v>
      </c>
      <c r="BU22" s="449">
        <v>1452</v>
      </c>
      <c r="BV22" s="447">
        <v>1995997.6411637932</v>
      </c>
      <c r="BW22" s="448">
        <v>0.010282211433815013</v>
      </c>
      <c r="BX22" s="447">
        <v>52780.68779766261</v>
      </c>
      <c r="BY22" s="447">
        <v>27966403.561511032</v>
      </c>
      <c r="BZ22" s="455">
        <v>0.9433333333333334</v>
      </c>
      <c r="CA22" s="447">
        <v>26381640.693025406</v>
      </c>
      <c r="CB22" s="447">
        <v>19839708.900385007</v>
      </c>
      <c r="CC22" s="447">
        <v>19815426.673416864</v>
      </c>
      <c r="CD22" s="447">
        <v>19379220.35499735</v>
      </c>
      <c r="CE22" s="447">
        <v>19815426.673416864</v>
      </c>
      <c r="CF22" s="454">
        <v>1041.6014861972699</v>
      </c>
      <c r="CG22" s="450">
        <v>19024</v>
      </c>
      <c r="CH22" s="450">
        <v>239</v>
      </c>
      <c r="CI22" s="450">
        <v>4103</v>
      </c>
      <c r="CJ22" s="450">
        <v>944</v>
      </c>
      <c r="CK22" s="450">
        <v>34</v>
      </c>
      <c r="CL22" s="450">
        <v>3383</v>
      </c>
      <c r="CM22" s="450">
        <v>585</v>
      </c>
      <c r="CN22" s="450">
        <v>298</v>
      </c>
      <c r="CO22" s="450">
        <v>1649</v>
      </c>
      <c r="CP22" s="450">
        <v>134</v>
      </c>
      <c r="CQ22" s="450">
        <v>2711</v>
      </c>
      <c r="CR22" s="450">
        <v>185</v>
      </c>
      <c r="CS22" s="450">
        <v>131</v>
      </c>
      <c r="CT22" s="450">
        <v>4622</v>
      </c>
      <c r="CU22" s="450">
        <v>2</v>
      </c>
      <c r="CV22" s="450">
        <v>4</v>
      </c>
      <c r="CW22" s="447">
        <v>12716495.955765694</v>
      </c>
      <c r="CX22" s="452">
        <v>0.9208945910707865</v>
      </c>
      <c r="CY22" s="452">
        <v>0.9433333333333334</v>
      </c>
      <c r="CZ22" s="447">
        <v>11710552.34303816</v>
      </c>
      <c r="DA22" s="454">
        <v>615.5673014633179</v>
      </c>
      <c r="DB22" s="449">
        <v>19024</v>
      </c>
      <c r="DC22" s="452">
        <v>1.0216726240538268</v>
      </c>
      <c r="DD22" s="454">
        <v>299.1</v>
      </c>
      <c r="DE22" s="447">
        <v>28073</v>
      </c>
      <c r="DF22" s="454">
        <v>46.17309441641461</v>
      </c>
      <c r="DG22" s="454">
        <v>48.15853747632043</v>
      </c>
      <c r="DH22" s="454">
        <v>49.218025300799475</v>
      </c>
      <c r="DI22" s="454">
        <v>50.300821857417056</v>
      </c>
      <c r="DJ22" s="454">
        <v>51.96074897871181</v>
      </c>
      <c r="DK22" s="454">
        <v>53.831335941945426</v>
      </c>
      <c r="DL22" s="454">
        <v>55.55393869208767</v>
      </c>
      <c r="DM22" s="454">
        <v>57.831650178463256</v>
      </c>
      <c r="DN22" s="454">
        <v>60.37624278631563</v>
      </c>
      <c r="DO22" s="454">
        <v>63.696936139562986</v>
      </c>
      <c r="DP22" s="454">
        <v>63.12366371430692</v>
      </c>
      <c r="DQ22" s="454">
        <v>66.34297056373657</v>
      </c>
      <c r="DR22" s="454">
        <v>70.3898917681245</v>
      </c>
      <c r="DS22" s="454">
        <v>35.61</v>
      </c>
      <c r="DT22" s="454">
        <v>37.67588053007994</v>
      </c>
      <c r="DU22" s="454">
        <v>39.8154245634834</v>
      </c>
      <c r="DV22" s="454">
        <v>42.483260499657526</v>
      </c>
      <c r="DW22" s="454">
        <v>45.41532617254522</v>
      </c>
      <c r="DX22" s="454">
        <v>48.31617029040349</v>
      </c>
      <c r="DY22" s="454">
        <v>51.80403665354067</v>
      </c>
      <c r="DZ22" s="454">
        <v>54.78261743518747</v>
      </c>
      <c r="EA22" s="454">
        <v>56.49081856999465</v>
      </c>
      <c r="EB22" s="454">
        <v>58.30854534339963</v>
      </c>
      <c r="EC22" s="454">
        <v>62.29441903747772</v>
      </c>
      <c r="ED22" s="454">
        <v>67.16825689110402</v>
      </c>
      <c r="EE22" s="454">
        <v>-2.26</v>
      </c>
      <c r="EF22" s="454">
        <v>64.90825689110402</v>
      </c>
      <c r="EG22" s="454">
        <v>3375.229358337409</v>
      </c>
      <c r="EH22" s="447">
        <v>62926156.04675064</v>
      </c>
      <c r="EI22" s="454">
        <v>36.17</v>
      </c>
      <c r="EJ22" s="454">
        <v>38.19096853007994</v>
      </c>
      <c r="EK22" s="454">
        <v>40.2833533954834</v>
      </c>
      <c r="EL22" s="454">
        <v>42.906209672681534</v>
      </c>
      <c r="EM22" s="454">
        <v>45.790905038190544</v>
      </c>
      <c r="EN22" s="454">
        <v>48.63916811485847</v>
      </c>
      <c r="EO22" s="454">
        <v>52.07302924174679</v>
      </c>
      <c r="EP22" s="454">
        <v>55.03224255704274</v>
      </c>
      <c r="EQ22" s="454">
        <v>56.72887772787063</v>
      </c>
      <c r="ER22" s="454">
        <v>58.46761616251756</v>
      </c>
      <c r="ES22" s="454">
        <v>62.428165782192075</v>
      </c>
      <c r="ET22" s="454">
        <v>67.27468586321046</v>
      </c>
      <c r="EU22" s="447">
        <v>275179400</v>
      </c>
      <c r="EV22" s="447">
        <v>0</v>
      </c>
      <c r="EW22" s="447">
        <v>0</v>
      </c>
      <c r="EX22" s="447">
        <v>0</v>
      </c>
      <c r="EY22" s="447">
        <v>0</v>
      </c>
      <c r="EZ22" s="447">
        <v>0</v>
      </c>
      <c r="FA22" s="447">
        <v>0</v>
      </c>
      <c r="FB22" s="447">
        <v>0</v>
      </c>
      <c r="FC22" s="447">
        <v>175000</v>
      </c>
      <c r="FD22" s="447">
        <v>275354400</v>
      </c>
      <c r="FE22" s="447">
        <v>175125.15606362926</v>
      </c>
      <c r="FF22" s="447">
        <v>0</v>
      </c>
      <c r="FG22" s="447">
        <v>0</v>
      </c>
      <c r="FH22" s="447">
        <v>7517</v>
      </c>
      <c r="FI22" s="456">
        <v>0.0663</v>
      </c>
      <c r="FJ22" s="447">
        <v>498.3771</v>
      </c>
      <c r="FK22" s="471">
        <v>498.3771</v>
      </c>
      <c r="FL22" s="498">
        <v>66.33</v>
      </c>
      <c r="FM22" s="37">
        <v>61.8</v>
      </c>
      <c r="FN22" s="37">
        <v>59.54</v>
      </c>
      <c r="FO22" s="37">
        <v>-2.26</v>
      </c>
      <c r="FP22" s="40">
        <v>59.41</v>
      </c>
      <c r="FQ22" s="446">
        <v>2908691</v>
      </c>
      <c r="FR22" s="450">
        <v>153630</v>
      </c>
      <c r="FS22" s="450">
        <v>3089</v>
      </c>
      <c r="FT22" s="450">
        <v>3089</v>
      </c>
      <c r="FU22" s="450">
        <v>3089</v>
      </c>
      <c r="FV22" s="450">
        <v>3089</v>
      </c>
      <c r="FW22" s="450">
        <v>3089</v>
      </c>
      <c r="FX22" s="450">
        <v>3089</v>
      </c>
      <c r="FY22" s="450">
        <v>3089</v>
      </c>
      <c r="FZ22" s="450">
        <v>3089</v>
      </c>
      <c r="GA22" s="450">
        <v>3089</v>
      </c>
      <c r="GB22" s="450">
        <v>3089</v>
      </c>
      <c r="GC22" s="450">
        <v>3089</v>
      </c>
      <c r="GD22" s="450">
        <v>3089</v>
      </c>
      <c r="GE22" s="450">
        <v>3089</v>
      </c>
      <c r="GF22" s="450">
        <v>3089</v>
      </c>
      <c r="GG22" s="450">
        <v>3089</v>
      </c>
      <c r="GH22" s="450">
        <v>3089</v>
      </c>
      <c r="GI22" s="450">
        <v>3089</v>
      </c>
      <c r="GJ22" s="450">
        <v>3089</v>
      </c>
      <c r="GK22" s="450">
        <v>0</v>
      </c>
      <c r="GL22" s="450">
        <v>0</v>
      </c>
      <c r="GM22" s="450">
        <v>0</v>
      </c>
      <c r="GN22" s="450">
        <v>0</v>
      </c>
      <c r="GO22" s="450">
        <v>0</v>
      </c>
      <c r="GP22" s="450">
        <v>0</v>
      </c>
      <c r="GQ22" s="450">
        <v>0</v>
      </c>
      <c r="GR22" s="450">
        <v>0</v>
      </c>
      <c r="GS22" s="450">
        <v>0</v>
      </c>
      <c r="GT22" s="450">
        <v>0</v>
      </c>
      <c r="GU22" s="450">
        <v>0</v>
      </c>
      <c r="GV22" s="450">
        <v>0</v>
      </c>
      <c r="GW22" s="450">
        <v>3444712</v>
      </c>
      <c r="GX22" s="450">
        <v>255614470</v>
      </c>
      <c r="GY22" s="450">
        <v>268654505</v>
      </c>
      <c r="GZ22" s="450">
        <v>32</v>
      </c>
      <c r="HA22" s="450" t="s">
        <v>888</v>
      </c>
      <c r="HB22" s="450" t="s">
        <v>889</v>
      </c>
      <c r="HC22" s="450">
        <v>0</v>
      </c>
      <c r="HD22" s="450">
        <v>0</v>
      </c>
      <c r="HE22" s="450">
        <v>0</v>
      </c>
      <c r="HF22" s="450">
        <v>0</v>
      </c>
      <c r="HG22" s="472">
        <v>0</v>
      </c>
    </row>
    <row r="23" spans="2:215" ht="12.75">
      <c r="B23" s="445" t="s">
        <v>698</v>
      </c>
      <c r="C23" s="446">
        <v>2710</v>
      </c>
      <c r="D23" s="447">
        <v>662230</v>
      </c>
      <c r="E23" s="447">
        <v>568193.34</v>
      </c>
      <c r="F23" s="447">
        <v>92336.31305714474</v>
      </c>
      <c r="G23" s="447">
        <v>94036.66</v>
      </c>
      <c r="H23" s="448">
        <v>0.4836383763837638</v>
      </c>
      <c r="I23" s="449">
        <v>1122.29</v>
      </c>
      <c r="J23" s="449">
        <v>188.37</v>
      </c>
      <c r="K23" s="447">
        <v>660529.6530571447</v>
      </c>
      <c r="L23" s="447">
        <v>528423.7224457158</v>
      </c>
      <c r="M23" s="447">
        <v>152321.55032528852</v>
      </c>
      <c r="N23" s="447">
        <v>132105.93061142892</v>
      </c>
      <c r="O23" s="450">
        <v>1.1530258302583025</v>
      </c>
      <c r="P23" s="451">
        <v>0.8822878228782288</v>
      </c>
      <c r="Q23" s="452">
        <v>0.11771217712177122</v>
      </c>
      <c r="R23" s="447">
        <v>680745.2727710044</v>
      </c>
      <c r="S23" s="447">
        <v>460183.804393199</v>
      </c>
      <c r="T23" s="447">
        <v>79855.89464133281</v>
      </c>
      <c r="U23" s="447">
        <v>162551.92642810958</v>
      </c>
      <c r="V23" s="447">
        <v>155209.922191789</v>
      </c>
      <c r="W23" s="450">
        <v>1.0473037041230409</v>
      </c>
      <c r="X23" s="452">
        <v>18.384893979001067</v>
      </c>
      <c r="Y23" s="447">
        <v>79855.89464133281</v>
      </c>
      <c r="Z23" s="447">
        <v>65351.54618601642</v>
      </c>
      <c r="AA23" s="448">
        <v>1.2219434627304955</v>
      </c>
      <c r="AB23" s="448">
        <v>0.09612546125461255</v>
      </c>
      <c r="AC23" s="449">
        <v>253</v>
      </c>
      <c r="AD23" s="449">
        <v>268</v>
      </c>
      <c r="AE23" s="447">
        <v>702591.6254626414</v>
      </c>
      <c r="AF23" s="447">
        <v>121948.10693832787</v>
      </c>
      <c r="AG23" s="451">
        <v>1</v>
      </c>
      <c r="AH23" s="450">
        <v>0.4771150516765688</v>
      </c>
      <c r="AI23" s="452">
        <v>0.4017833173274994</v>
      </c>
      <c r="AJ23" s="447">
        <v>824539.7324009693</v>
      </c>
      <c r="AK23" s="453">
        <v>1</v>
      </c>
      <c r="AL23" s="447">
        <v>824539.7324009693</v>
      </c>
      <c r="AM23" s="447">
        <v>1939698.3352321715</v>
      </c>
      <c r="AN23" s="447">
        <v>1920553.1287717398</v>
      </c>
      <c r="AO23" s="447">
        <v>1878958.3889749076</v>
      </c>
      <c r="AP23" s="447">
        <v>1920553.1287717398</v>
      </c>
      <c r="AQ23" s="447">
        <v>10840</v>
      </c>
      <c r="AR23" s="447">
        <v>1931393.1287717398</v>
      </c>
      <c r="AS23" s="454">
        <v>712.6911914286862</v>
      </c>
      <c r="AT23" s="450">
        <v>2710</v>
      </c>
      <c r="AU23" s="450">
        <v>0</v>
      </c>
      <c r="AV23" s="450">
        <v>95</v>
      </c>
      <c r="AW23" s="450">
        <v>334</v>
      </c>
      <c r="AX23" s="450">
        <v>1</v>
      </c>
      <c r="AY23" s="450">
        <v>658</v>
      </c>
      <c r="AZ23" s="450">
        <v>53</v>
      </c>
      <c r="BA23" s="450">
        <v>151</v>
      </c>
      <c r="BB23" s="450">
        <v>0</v>
      </c>
      <c r="BC23" s="450">
        <v>56</v>
      </c>
      <c r="BD23" s="450">
        <v>886</v>
      </c>
      <c r="BE23" s="450">
        <v>319</v>
      </c>
      <c r="BF23" s="450">
        <v>0</v>
      </c>
      <c r="BG23" s="450">
        <v>157</v>
      </c>
      <c r="BH23" s="450">
        <v>0</v>
      </c>
      <c r="BI23" s="450">
        <v>0</v>
      </c>
      <c r="BJ23" s="452">
        <v>1.525949804721584</v>
      </c>
      <c r="BK23" s="452">
        <v>14.021810016630246</v>
      </c>
      <c r="BL23" s="452">
        <v>11.818500975824298</v>
      </c>
      <c r="BM23" s="452">
        <v>4.406618081611897</v>
      </c>
      <c r="BN23" s="449">
        <v>2391</v>
      </c>
      <c r="BO23" s="449">
        <v>319</v>
      </c>
      <c r="BP23" s="447">
        <v>813892.7954447418</v>
      </c>
      <c r="BQ23" s="447">
        <v>2868530</v>
      </c>
      <c r="BR23" s="447">
        <v>3718867</v>
      </c>
      <c r="BS23" s="448">
        <v>0.09612546125461255</v>
      </c>
      <c r="BT23" s="449">
        <v>253</v>
      </c>
      <c r="BU23" s="449">
        <v>268</v>
      </c>
      <c r="BV23" s="447">
        <v>357477.8057195572</v>
      </c>
      <c r="BW23" s="448">
        <v>0.010978108244887964</v>
      </c>
      <c r="BX23" s="447">
        <v>6593.33469299281</v>
      </c>
      <c r="BY23" s="447">
        <v>4046493.935857292</v>
      </c>
      <c r="BZ23" s="455">
        <v>0.9633333333333333</v>
      </c>
      <c r="CA23" s="447">
        <v>3898122.491542524</v>
      </c>
      <c r="CB23" s="447">
        <v>2931493.775923238</v>
      </c>
      <c r="CC23" s="447">
        <v>2927905.860516814</v>
      </c>
      <c r="CD23" s="447">
        <v>2950044.604211495</v>
      </c>
      <c r="CE23" s="447">
        <v>2950044.604211495</v>
      </c>
      <c r="CF23" s="454">
        <v>1088.577344727489</v>
      </c>
      <c r="CG23" s="450">
        <v>2710</v>
      </c>
      <c r="CH23" s="450">
        <v>0</v>
      </c>
      <c r="CI23" s="450">
        <v>95</v>
      </c>
      <c r="CJ23" s="450">
        <v>334</v>
      </c>
      <c r="CK23" s="450">
        <v>1</v>
      </c>
      <c r="CL23" s="450">
        <v>658</v>
      </c>
      <c r="CM23" s="450">
        <v>53</v>
      </c>
      <c r="CN23" s="450">
        <v>151</v>
      </c>
      <c r="CO23" s="450">
        <v>0</v>
      </c>
      <c r="CP23" s="450">
        <v>56</v>
      </c>
      <c r="CQ23" s="450">
        <v>886</v>
      </c>
      <c r="CR23" s="450">
        <v>319</v>
      </c>
      <c r="CS23" s="450">
        <v>0</v>
      </c>
      <c r="CT23" s="450">
        <v>157</v>
      </c>
      <c r="CU23" s="450">
        <v>0</v>
      </c>
      <c r="CV23" s="450">
        <v>0</v>
      </c>
      <c r="CW23" s="447">
        <v>2029680.5896886904</v>
      </c>
      <c r="CX23" s="452">
        <v>0.9404188580192836</v>
      </c>
      <c r="CY23" s="452">
        <v>0.9633333333333333</v>
      </c>
      <c r="CZ23" s="447">
        <v>1908749.9022989443</v>
      </c>
      <c r="DA23" s="454">
        <v>704.3357573058835</v>
      </c>
      <c r="DB23" s="449">
        <v>2710</v>
      </c>
      <c r="DC23" s="452">
        <v>0.9972324723247232</v>
      </c>
      <c r="DD23" s="454">
        <v>323.7</v>
      </c>
      <c r="DE23" s="447">
        <v>22100</v>
      </c>
      <c r="DF23" s="454">
        <v>46.286889211154715</v>
      </c>
      <c r="DG23" s="454">
        <v>48.277225447234365</v>
      </c>
      <c r="DH23" s="454">
        <v>49.33932440707351</v>
      </c>
      <c r="DI23" s="454">
        <v>50.42478954402912</v>
      </c>
      <c r="DJ23" s="454">
        <v>52.08880759898207</v>
      </c>
      <c r="DK23" s="454">
        <v>53.964004672545414</v>
      </c>
      <c r="DL23" s="454">
        <v>55.69085282206686</v>
      </c>
      <c r="DM23" s="454">
        <v>57.974177787771595</v>
      </c>
      <c r="DN23" s="454">
        <v>60.52504161043353</v>
      </c>
      <c r="DO23" s="454">
        <v>63.853918899007375</v>
      </c>
      <c r="DP23" s="454">
        <v>63.27923362891631</v>
      </c>
      <c r="DQ23" s="454">
        <v>66.50647454399103</v>
      </c>
      <c r="DR23" s="454">
        <v>70.56336949117448</v>
      </c>
      <c r="DS23" s="454">
        <v>39.03</v>
      </c>
      <c r="DT23" s="454">
        <v>40.833726440707345</v>
      </c>
      <c r="DU23" s="454">
        <v>42.69792632480581</v>
      </c>
      <c r="DV23" s="454">
        <v>45.10468910670661</v>
      </c>
      <c r="DW23" s="454">
        <v>47.76210745140481</v>
      </c>
      <c r="DX23" s="454">
        <v>50.357221211885935</v>
      </c>
      <c r="DY23" s="454">
        <v>53.532329382812925</v>
      </c>
      <c r="DZ23" s="454">
        <v>56.403006290631886</v>
      </c>
      <c r="EA23" s="454">
        <v>58.046594925766435</v>
      </c>
      <c r="EB23" s="454">
        <v>59.3987873165426</v>
      </c>
      <c r="EC23" s="454">
        <v>63.243795284547225</v>
      </c>
      <c r="ED23" s="454">
        <v>67.96709247047207</v>
      </c>
      <c r="EE23" s="454">
        <v>0</v>
      </c>
      <c r="EF23" s="454">
        <v>67.96709247047207</v>
      </c>
      <c r="EG23" s="454">
        <v>3534.2888084645474</v>
      </c>
      <c r="EH23" s="447">
        <v>9386364.217520146</v>
      </c>
      <c r="EI23" s="454">
        <v>46.43</v>
      </c>
      <c r="EJ23" s="454">
        <v>47.640246440707344</v>
      </c>
      <c r="EK23" s="454">
        <v>48.88127160480581</v>
      </c>
      <c r="EL23" s="454">
        <v>50.693660321666606</v>
      </c>
      <c r="EM23" s="454">
        <v>52.725113890289286</v>
      </c>
      <c r="EN23" s="454">
        <v>54.62540674932659</v>
      </c>
      <c r="EO23" s="454">
        <v>57.0868742983935</v>
      </c>
      <c r="EP23" s="454">
        <v>59.70162397229066</v>
      </c>
      <c r="EQ23" s="454">
        <v>61.19237665484169</v>
      </c>
      <c r="ER23" s="454">
        <v>61.50079456917228</v>
      </c>
      <c r="ES23" s="454">
        <v>65.01116298255826</v>
      </c>
      <c r="ET23" s="454">
        <v>69.37347531616436</v>
      </c>
      <c r="EU23" s="447">
        <v>18951650</v>
      </c>
      <c r="EV23" s="447">
        <v>0</v>
      </c>
      <c r="EW23" s="447">
        <v>0</v>
      </c>
      <c r="EX23" s="447">
        <v>0</v>
      </c>
      <c r="EY23" s="447">
        <v>0</v>
      </c>
      <c r="EZ23" s="447">
        <v>0</v>
      </c>
      <c r="FA23" s="447">
        <v>0</v>
      </c>
      <c r="FB23" s="447">
        <v>0</v>
      </c>
      <c r="FC23" s="447">
        <v>0</v>
      </c>
      <c r="FD23" s="447">
        <v>18951650</v>
      </c>
      <c r="FE23" s="447">
        <v>49786.68162051505</v>
      </c>
      <c r="FF23" s="447">
        <v>0</v>
      </c>
      <c r="FG23" s="447">
        <v>0</v>
      </c>
      <c r="FH23" s="447">
        <v>0</v>
      </c>
      <c r="FI23" s="456">
        <v>0</v>
      </c>
      <c r="FJ23" s="447">
        <v>0</v>
      </c>
      <c r="FK23" s="471">
        <v>0</v>
      </c>
      <c r="FL23" s="498">
        <v>66.45</v>
      </c>
      <c r="FM23" s="37">
        <v>64.11</v>
      </c>
      <c r="FN23" s="37">
        <v>64.01</v>
      </c>
      <c r="FO23" s="37">
        <v>-0.1</v>
      </c>
      <c r="FP23" s="40">
        <v>64.14</v>
      </c>
      <c r="FQ23" s="446">
        <v>109765</v>
      </c>
      <c r="FR23" s="450">
        <v>47127</v>
      </c>
      <c r="FS23" s="450">
        <v>0</v>
      </c>
      <c r="FT23" s="450">
        <v>0</v>
      </c>
      <c r="FU23" s="450">
        <v>0</v>
      </c>
      <c r="FV23" s="450">
        <v>0</v>
      </c>
      <c r="FW23" s="450">
        <v>0</v>
      </c>
      <c r="FX23" s="450">
        <v>0</v>
      </c>
      <c r="FY23" s="450">
        <v>0</v>
      </c>
      <c r="FZ23" s="450">
        <v>0</v>
      </c>
      <c r="GA23" s="450">
        <v>0</v>
      </c>
      <c r="GB23" s="450">
        <v>0</v>
      </c>
      <c r="GC23" s="450">
        <v>0</v>
      </c>
      <c r="GD23" s="450">
        <v>0</v>
      </c>
      <c r="GE23" s="450">
        <v>0</v>
      </c>
      <c r="GF23" s="450">
        <v>0</v>
      </c>
      <c r="GG23" s="450">
        <v>0</v>
      </c>
      <c r="GH23" s="450">
        <v>0</v>
      </c>
      <c r="GI23" s="450">
        <v>0</v>
      </c>
      <c r="GJ23" s="450">
        <v>0</v>
      </c>
      <c r="GK23" s="450">
        <v>0</v>
      </c>
      <c r="GL23" s="450">
        <v>0</v>
      </c>
      <c r="GM23" s="450">
        <v>0</v>
      </c>
      <c r="GN23" s="450">
        <v>0</v>
      </c>
      <c r="GO23" s="450">
        <v>0</v>
      </c>
      <c r="GP23" s="450">
        <v>0</v>
      </c>
      <c r="GQ23" s="450">
        <v>0</v>
      </c>
      <c r="GR23" s="450">
        <v>0</v>
      </c>
      <c r="GS23" s="450">
        <v>0</v>
      </c>
      <c r="GT23" s="450">
        <v>0</v>
      </c>
      <c r="GU23" s="450">
        <v>0</v>
      </c>
      <c r="GV23" s="450">
        <v>0</v>
      </c>
      <c r="GW23" s="450">
        <v>0</v>
      </c>
      <c r="GX23" s="450">
        <v>9010011</v>
      </c>
      <c r="GY23" s="450">
        <v>9010011</v>
      </c>
      <c r="GZ23" s="450">
        <v>0</v>
      </c>
      <c r="HA23" s="450" t="s">
        <v>888</v>
      </c>
      <c r="HB23" s="450" t="s">
        <v>888</v>
      </c>
      <c r="HC23" s="450">
        <v>0</v>
      </c>
      <c r="HD23" s="450">
        <v>0</v>
      </c>
      <c r="HE23" s="450">
        <v>0</v>
      </c>
      <c r="HF23" s="450">
        <v>0</v>
      </c>
      <c r="HG23" s="472">
        <v>0</v>
      </c>
    </row>
    <row r="24" spans="2:215" ht="12.75">
      <c r="B24" s="445" t="s">
        <v>699</v>
      </c>
      <c r="C24" s="446">
        <v>11336.7</v>
      </c>
      <c r="D24" s="447">
        <v>2672251.1</v>
      </c>
      <c r="E24" s="447">
        <v>2292791.4438</v>
      </c>
      <c r="F24" s="447">
        <v>347433.7084957257</v>
      </c>
      <c r="G24" s="447">
        <v>379459.6562</v>
      </c>
      <c r="H24" s="448">
        <v>0.4509742694082051</v>
      </c>
      <c r="I24" s="449">
        <v>4261.32</v>
      </c>
      <c r="J24" s="449">
        <v>851.24</v>
      </c>
      <c r="K24" s="447">
        <v>2640225.152295726</v>
      </c>
      <c r="L24" s="447">
        <v>2112180.121836581</v>
      </c>
      <c r="M24" s="447">
        <v>654263.1030497748</v>
      </c>
      <c r="N24" s="447">
        <v>528045.0304591451</v>
      </c>
      <c r="O24" s="450">
        <v>1.2390289943281554</v>
      </c>
      <c r="P24" s="451">
        <v>0.8160222992581615</v>
      </c>
      <c r="Q24" s="452">
        <v>0.18391595437825822</v>
      </c>
      <c r="R24" s="447">
        <v>2766443.2248863555</v>
      </c>
      <c r="S24" s="447">
        <v>1870115.6200231763</v>
      </c>
      <c r="T24" s="447">
        <v>200267.88198595712</v>
      </c>
      <c r="U24" s="447">
        <v>512924.82511129027</v>
      </c>
      <c r="V24" s="447">
        <v>630749.0552740891</v>
      </c>
      <c r="W24" s="450">
        <v>0.8131995138516714</v>
      </c>
      <c r="X24" s="452">
        <v>14.275311723887251</v>
      </c>
      <c r="Y24" s="447">
        <v>200267.88198595712</v>
      </c>
      <c r="Z24" s="447">
        <v>265578.5495890901</v>
      </c>
      <c r="AA24" s="448">
        <v>0.754081541208116</v>
      </c>
      <c r="AB24" s="448">
        <v>0.0593206135824358</v>
      </c>
      <c r="AC24" s="449">
        <v>653</v>
      </c>
      <c r="AD24" s="449">
        <v>692</v>
      </c>
      <c r="AE24" s="447">
        <v>2583308.327120424</v>
      </c>
      <c r="AF24" s="447">
        <v>68624.6521732785</v>
      </c>
      <c r="AG24" s="451">
        <v>0.25</v>
      </c>
      <c r="AH24" s="450">
        <v>0.20540225760284705</v>
      </c>
      <c r="AI24" s="452">
        <v>0.17297127842903137</v>
      </c>
      <c r="AJ24" s="447">
        <v>2651932.979293702</v>
      </c>
      <c r="AK24" s="453">
        <v>1.072</v>
      </c>
      <c r="AL24" s="447">
        <v>2842872.153802849</v>
      </c>
      <c r="AM24" s="447">
        <v>6687748.53087092</v>
      </c>
      <c r="AN24" s="447">
        <v>6621739.129278251</v>
      </c>
      <c r="AO24" s="447">
        <v>6341396.919390867</v>
      </c>
      <c r="AP24" s="447">
        <v>6621739.129278251</v>
      </c>
      <c r="AQ24" s="447">
        <v>45346.8</v>
      </c>
      <c r="AR24" s="447">
        <v>6667085.929278251</v>
      </c>
      <c r="AS24" s="454">
        <v>588.0975882997918</v>
      </c>
      <c r="AT24" s="450">
        <v>11213</v>
      </c>
      <c r="AU24" s="450">
        <v>0</v>
      </c>
      <c r="AV24" s="450">
        <v>4</v>
      </c>
      <c r="AW24" s="450">
        <v>1</v>
      </c>
      <c r="AX24" s="450">
        <v>201</v>
      </c>
      <c r="AY24" s="450">
        <v>2180</v>
      </c>
      <c r="AZ24" s="450">
        <v>584</v>
      </c>
      <c r="BA24" s="450">
        <v>703</v>
      </c>
      <c r="BB24" s="450">
        <v>1644</v>
      </c>
      <c r="BC24" s="450">
        <v>0</v>
      </c>
      <c r="BD24" s="450">
        <v>2637</v>
      </c>
      <c r="BE24" s="450">
        <v>2001</v>
      </c>
      <c r="BF24" s="450">
        <v>84</v>
      </c>
      <c r="BG24" s="450">
        <v>1174</v>
      </c>
      <c r="BH24" s="450">
        <v>0</v>
      </c>
      <c r="BI24" s="450">
        <v>0</v>
      </c>
      <c r="BJ24" s="452">
        <v>1.6707025609390338</v>
      </c>
      <c r="BK24" s="452">
        <v>15.85153226397129</v>
      </c>
      <c r="BL24" s="452">
        <v>8.81962694401719</v>
      </c>
      <c r="BM24" s="452">
        <v>14.063810639908203</v>
      </c>
      <c r="BN24" s="449">
        <v>9128</v>
      </c>
      <c r="BO24" s="449">
        <v>2085</v>
      </c>
      <c r="BP24" s="447">
        <v>3689846.8479875126</v>
      </c>
      <c r="BQ24" s="447">
        <v>12104273</v>
      </c>
      <c r="BR24" s="447">
        <v>15327034</v>
      </c>
      <c r="BS24" s="448">
        <v>0.05997502898421475</v>
      </c>
      <c r="BT24" s="449">
        <v>653</v>
      </c>
      <c r="BU24" s="449">
        <v>692</v>
      </c>
      <c r="BV24" s="447">
        <v>919239.308392045</v>
      </c>
      <c r="BW24" s="448">
        <v>0.009420290729599748</v>
      </c>
      <c r="BX24" s="447">
        <v>26464.373755979654</v>
      </c>
      <c r="BY24" s="447">
        <v>16739823.530135537</v>
      </c>
      <c r="BZ24" s="455">
        <v>1.04</v>
      </c>
      <c r="CA24" s="447">
        <v>17409416.471340958</v>
      </c>
      <c r="CB24" s="447">
        <v>13092353.085086418</v>
      </c>
      <c r="CC24" s="447">
        <v>13076329.08540198</v>
      </c>
      <c r="CD24" s="447">
        <v>12751024.199706884</v>
      </c>
      <c r="CE24" s="447">
        <v>13076329.08540198</v>
      </c>
      <c r="CF24" s="454">
        <v>1166.1757857310247</v>
      </c>
      <c r="CG24" s="450">
        <v>11213</v>
      </c>
      <c r="CH24" s="450">
        <v>0</v>
      </c>
      <c r="CI24" s="450">
        <v>4</v>
      </c>
      <c r="CJ24" s="450">
        <v>1</v>
      </c>
      <c r="CK24" s="450">
        <v>201</v>
      </c>
      <c r="CL24" s="450">
        <v>2180</v>
      </c>
      <c r="CM24" s="450">
        <v>584</v>
      </c>
      <c r="CN24" s="450">
        <v>703</v>
      </c>
      <c r="CO24" s="450">
        <v>1644</v>
      </c>
      <c r="CP24" s="450">
        <v>0</v>
      </c>
      <c r="CQ24" s="450">
        <v>2637</v>
      </c>
      <c r="CR24" s="450">
        <v>2001</v>
      </c>
      <c r="CS24" s="450">
        <v>84</v>
      </c>
      <c r="CT24" s="450">
        <v>1174</v>
      </c>
      <c r="CU24" s="450">
        <v>0</v>
      </c>
      <c r="CV24" s="450">
        <v>0</v>
      </c>
      <c r="CW24" s="447">
        <v>8615093.259272547</v>
      </c>
      <c r="CX24" s="452">
        <v>1.0152618813218566</v>
      </c>
      <c r="CY24" s="452">
        <v>1.04</v>
      </c>
      <c r="CZ24" s="447">
        <v>8746575.790172292</v>
      </c>
      <c r="DA24" s="454">
        <v>780.0388647259691</v>
      </c>
      <c r="DB24" s="449">
        <v>11336.7</v>
      </c>
      <c r="DC24" s="452">
        <v>0.999612321045807</v>
      </c>
      <c r="DD24" s="454">
        <v>325.9</v>
      </c>
      <c r="DE24" s="447">
        <v>43158</v>
      </c>
      <c r="DF24" s="454">
        <v>53.58153298738159</v>
      </c>
      <c r="DG24" s="454">
        <v>55.885538905839</v>
      </c>
      <c r="DH24" s="454">
        <v>57.11502076176745</v>
      </c>
      <c r="DI24" s="454">
        <v>58.37155121852632</v>
      </c>
      <c r="DJ24" s="454">
        <v>60.297812408737684</v>
      </c>
      <c r="DK24" s="454">
        <v>62.46853365545223</v>
      </c>
      <c r="DL24" s="454">
        <v>64.46752673242669</v>
      </c>
      <c r="DM24" s="454">
        <v>67.11069532845617</v>
      </c>
      <c r="DN24" s="454">
        <v>70.06356592290824</v>
      </c>
      <c r="DO24" s="454">
        <v>73.91706204866819</v>
      </c>
      <c r="DP24" s="454">
        <v>73.25180849023018</v>
      </c>
      <c r="DQ24" s="454">
        <v>76.98765072323191</v>
      </c>
      <c r="DR24" s="454">
        <v>81.68389741734904</v>
      </c>
      <c r="DS24" s="454">
        <v>44.91</v>
      </c>
      <c r="DT24" s="454">
        <v>47.01972007617673</v>
      </c>
      <c r="DU24" s="454">
        <v>49.20053139570524</v>
      </c>
      <c r="DV24" s="454">
        <v>52.008356866385284</v>
      </c>
      <c r="DW24" s="454">
        <v>55.1074971338433</v>
      </c>
      <c r="DX24" s="454">
        <v>58.137035323843016</v>
      </c>
      <c r="DY24" s="454">
        <v>61.838662083387696</v>
      </c>
      <c r="DZ24" s="454">
        <v>65.17111907148468</v>
      </c>
      <c r="EA24" s="454">
        <v>67.0793280244171</v>
      </c>
      <c r="EB24" s="454">
        <v>68.6828435243253</v>
      </c>
      <c r="EC24" s="454">
        <v>73.1460649798991</v>
      </c>
      <c r="ED24" s="454">
        <v>78.62695556209195</v>
      </c>
      <c r="EE24" s="454">
        <v>-0.2</v>
      </c>
      <c r="EF24" s="454">
        <v>78.42695556209195</v>
      </c>
      <c r="EG24" s="454">
        <v>4078.201689228781</v>
      </c>
      <c r="EH24" s="447">
        <v>45308682.10847433</v>
      </c>
      <c r="EI24" s="454">
        <v>45.72</v>
      </c>
      <c r="EJ24" s="454">
        <v>47.76475807617673</v>
      </c>
      <c r="EK24" s="454">
        <v>49.877357027705244</v>
      </c>
      <c r="EL24" s="454">
        <v>52.620122634509286</v>
      </c>
      <c r="EM24" s="454">
        <v>55.65074513593741</v>
      </c>
      <c r="EN24" s="454">
        <v>58.604228605643954</v>
      </c>
      <c r="EO24" s="454">
        <v>62.22774064847152</v>
      </c>
      <c r="EP24" s="454">
        <v>65.53218397988248</v>
      </c>
      <c r="EQ24" s="454">
        <v>67.42366359205913</v>
      </c>
      <c r="ER24" s="454">
        <v>68.91292810197803</v>
      </c>
      <c r="ES24" s="454">
        <v>73.3395200927895</v>
      </c>
      <c r="ET24" s="454">
        <v>78.7808974681745</v>
      </c>
      <c r="EU24" s="447">
        <v>170688774</v>
      </c>
      <c r="EV24" s="447">
        <v>0</v>
      </c>
      <c r="EW24" s="447">
        <v>0</v>
      </c>
      <c r="EX24" s="447">
        <v>0</v>
      </c>
      <c r="EY24" s="447">
        <v>0</v>
      </c>
      <c r="EZ24" s="447">
        <v>0</v>
      </c>
      <c r="FA24" s="447">
        <v>0</v>
      </c>
      <c r="FB24" s="447">
        <v>0</v>
      </c>
      <c r="FC24" s="447">
        <v>0</v>
      </c>
      <c r="FD24" s="447">
        <v>170688774</v>
      </c>
      <c r="FE24" s="447">
        <v>123961.00166406238</v>
      </c>
      <c r="FF24" s="447">
        <v>0</v>
      </c>
      <c r="FG24" s="447">
        <v>0</v>
      </c>
      <c r="FH24" s="447">
        <v>2944</v>
      </c>
      <c r="FI24" s="456">
        <v>0.0756</v>
      </c>
      <c r="FJ24" s="447">
        <v>222.5664</v>
      </c>
      <c r="FK24" s="471">
        <v>222.5664</v>
      </c>
      <c r="FL24" s="498">
        <v>76.99</v>
      </c>
      <c r="FM24" s="37">
        <v>74.67</v>
      </c>
      <c r="FN24" s="37">
        <v>74.47</v>
      </c>
      <c r="FO24" s="37">
        <v>-0.2</v>
      </c>
      <c r="FP24" s="40">
        <v>74.43</v>
      </c>
      <c r="FQ24" s="446">
        <v>51964</v>
      </c>
      <c r="FR24" s="450">
        <v>67299</v>
      </c>
      <c r="FS24" s="450">
        <v>0</v>
      </c>
      <c r="FT24" s="450">
        <v>0</v>
      </c>
      <c r="FU24" s="450">
        <v>0</v>
      </c>
      <c r="FV24" s="450">
        <v>0</v>
      </c>
      <c r="FW24" s="450">
        <v>0</v>
      </c>
      <c r="FX24" s="450">
        <v>0</v>
      </c>
      <c r="FY24" s="450">
        <v>0</v>
      </c>
      <c r="FZ24" s="450">
        <v>0</v>
      </c>
      <c r="GA24" s="450">
        <v>0</v>
      </c>
      <c r="GB24" s="450">
        <v>0</v>
      </c>
      <c r="GC24" s="450">
        <v>0</v>
      </c>
      <c r="GD24" s="450">
        <v>0</v>
      </c>
      <c r="GE24" s="450">
        <v>0</v>
      </c>
      <c r="GF24" s="450">
        <v>0</v>
      </c>
      <c r="GG24" s="450">
        <v>0</v>
      </c>
      <c r="GH24" s="450">
        <v>0</v>
      </c>
      <c r="GI24" s="450">
        <v>0</v>
      </c>
      <c r="GJ24" s="450">
        <v>0</v>
      </c>
      <c r="GK24" s="450">
        <v>0</v>
      </c>
      <c r="GL24" s="450">
        <v>0</v>
      </c>
      <c r="GM24" s="450">
        <v>0</v>
      </c>
      <c r="GN24" s="450">
        <v>0</v>
      </c>
      <c r="GO24" s="450">
        <v>0</v>
      </c>
      <c r="GP24" s="450">
        <v>0</v>
      </c>
      <c r="GQ24" s="450">
        <v>0</v>
      </c>
      <c r="GR24" s="450">
        <v>0</v>
      </c>
      <c r="GS24" s="450">
        <v>0</v>
      </c>
      <c r="GT24" s="450">
        <v>0</v>
      </c>
      <c r="GU24" s="450">
        <v>0</v>
      </c>
      <c r="GV24" s="450">
        <v>0</v>
      </c>
      <c r="GW24" s="450">
        <v>92000</v>
      </c>
      <c r="GX24" s="450">
        <v>154206838</v>
      </c>
      <c r="GY24" s="450">
        <v>167778582</v>
      </c>
      <c r="GZ24" s="450">
        <v>14</v>
      </c>
      <c r="HA24" s="450" t="s">
        <v>888</v>
      </c>
      <c r="HB24" s="450" t="s">
        <v>888</v>
      </c>
      <c r="HC24" s="450">
        <v>17</v>
      </c>
      <c r="HD24" s="450">
        <v>47</v>
      </c>
      <c r="HE24" s="450">
        <v>0</v>
      </c>
      <c r="HF24" s="450">
        <v>0</v>
      </c>
      <c r="HG24" s="472">
        <v>144</v>
      </c>
    </row>
    <row r="25" spans="2:215" ht="12.75">
      <c r="B25" s="445" t="s">
        <v>700</v>
      </c>
      <c r="C25" s="446">
        <v>6941</v>
      </c>
      <c r="D25" s="447">
        <v>1648053</v>
      </c>
      <c r="E25" s="447">
        <v>1414029.474</v>
      </c>
      <c r="F25" s="447">
        <v>144173.51140102674</v>
      </c>
      <c r="G25" s="447">
        <v>234023.526</v>
      </c>
      <c r="H25" s="448">
        <v>0.3034389857369255</v>
      </c>
      <c r="I25" s="449">
        <v>1409.76</v>
      </c>
      <c r="J25" s="449">
        <v>696.41</v>
      </c>
      <c r="K25" s="447">
        <v>1558202.9854010267</v>
      </c>
      <c r="L25" s="447">
        <v>1246562.3883208213</v>
      </c>
      <c r="M25" s="447">
        <v>343976.5080465161</v>
      </c>
      <c r="N25" s="447">
        <v>311640.5970802053</v>
      </c>
      <c r="O25" s="450">
        <v>1.1037602650914853</v>
      </c>
      <c r="P25" s="451">
        <v>0.9201844114680882</v>
      </c>
      <c r="Q25" s="452">
        <v>0.07981558853191183</v>
      </c>
      <c r="R25" s="447">
        <v>1590538.8963673376</v>
      </c>
      <c r="S25" s="447">
        <v>1075204.2939443202</v>
      </c>
      <c r="T25" s="447">
        <v>173799.00721741933</v>
      </c>
      <c r="U25" s="447">
        <v>291645.7678110277</v>
      </c>
      <c r="V25" s="447">
        <v>362642.86837175296</v>
      </c>
      <c r="W25" s="450">
        <v>0.8042230890145492</v>
      </c>
      <c r="X25" s="452">
        <v>14.11773506461328</v>
      </c>
      <c r="Y25" s="447">
        <v>173799.00721741933</v>
      </c>
      <c r="Z25" s="447">
        <v>152691.73405126442</v>
      </c>
      <c r="AA25" s="448">
        <v>1.1382345501366067</v>
      </c>
      <c r="AB25" s="448">
        <v>0.089540412044374</v>
      </c>
      <c r="AC25" s="449">
        <v>630</v>
      </c>
      <c r="AD25" s="449">
        <v>613</v>
      </c>
      <c r="AE25" s="447">
        <v>1540649.0689727673</v>
      </c>
      <c r="AF25" s="447">
        <v>100386.66803376265</v>
      </c>
      <c r="AG25" s="451">
        <v>0.5</v>
      </c>
      <c r="AH25" s="450">
        <v>0.26700271300216727</v>
      </c>
      <c r="AI25" s="452">
        <v>0.22484563291072845</v>
      </c>
      <c r="AJ25" s="447">
        <v>1641035.73700653</v>
      </c>
      <c r="AK25" s="453">
        <v>1</v>
      </c>
      <c r="AL25" s="447">
        <v>1641035.73700653</v>
      </c>
      <c r="AM25" s="447">
        <v>3860474.1070017163</v>
      </c>
      <c r="AN25" s="447">
        <v>3822370.4635272524</v>
      </c>
      <c r="AO25" s="447">
        <v>3727609.6453448324</v>
      </c>
      <c r="AP25" s="447">
        <v>3822370.4635272524</v>
      </c>
      <c r="AQ25" s="447">
        <v>27764</v>
      </c>
      <c r="AR25" s="447">
        <v>3850134.4635272524</v>
      </c>
      <c r="AS25" s="454">
        <v>554.6944912155673</v>
      </c>
      <c r="AT25" s="450">
        <v>6941</v>
      </c>
      <c r="AU25" s="450">
        <v>82</v>
      </c>
      <c r="AV25" s="450">
        <v>569</v>
      </c>
      <c r="AW25" s="450">
        <v>145</v>
      </c>
      <c r="AX25" s="450">
        <v>65</v>
      </c>
      <c r="AY25" s="450">
        <v>955</v>
      </c>
      <c r="AZ25" s="450">
        <v>250</v>
      </c>
      <c r="BA25" s="450">
        <v>223</v>
      </c>
      <c r="BB25" s="450">
        <v>617</v>
      </c>
      <c r="BC25" s="450">
        <v>20</v>
      </c>
      <c r="BD25" s="450">
        <v>1010</v>
      </c>
      <c r="BE25" s="450">
        <v>554</v>
      </c>
      <c r="BF25" s="450">
        <v>0</v>
      </c>
      <c r="BG25" s="450">
        <v>2451</v>
      </c>
      <c r="BH25" s="450">
        <v>0</v>
      </c>
      <c r="BI25" s="450">
        <v>0</v>
      </c>
      <c r="BJ25" s="452">
        <v>1.6262180636105996</v>
      </c>
      <c r="BK25" s="452">
        <v>17.97292476296568</v>
      </c>
      <c r="BL25" s="452">
        <v>12.559121628271754</v>
      </c>
      <c r="BM25" s="452">
        <v>10.827606269387848</v>
      </c>
      <c r="BN25" s="449">
        <v>6387</v>
      </c>
      <c r="BO25" s="449">
        <v>554</v>
      </c>
      <c r="BP25" s="447">
        <v>2455600.6595784505</v>
      </c>
      <c r="BQ25" s="447">
        <v>7036793</v>
      </c>
      <c r="BR25" s="447">
        <v>9155111</v>
      </c>
      <c r="BS25" s="448">
        <v>0.089540412044374</v>
      </c>
      <c r="BT25" s="449">
        <v>630</v>
      </c>
      <c r="BU25" s="449">
        <v>613</v>
      </c>
      <c r="BV25" s="447">
        <v>819752.4112519809</v>
      </c>
      <c r="BW25" s="448">
        <v>0.009696009353880913</v>
      </c>
      <c r="BX25" s="447">
        <v>19117.806895207596</v>
      </c>
      <c r="BY25" s="447">
        <v>10331263.877725638</v>
      </c>
      <c r="BZ25" s="455">
        <v>0.9</v>
      </c>
      <c r="CA25" s="447">
        <v>9298137.489953075</v>
      </c>
      <c r="CB25" s="447">
        <v>6992451.427222835</v>
      </c>
      <c r="CC25" s="447">
        <v>6983893.222388678</v>
      </c>
      <c r="CD25" s="447">
        <v>6910553.958690028</v>
      </c>
      <c r="CE25" s="447">
        <v>6983893.222388678</v>
      </c>
      <c r="CF25" s="454">
        <v>1006.1796891497879</v>
      </c>
      <c r="CG25" s="450">
        <v>6941</v>
      </c>
      <c r="CH25" s="450">
        <v>82</v>
      </c>
      <c r="CI25" s="450">
        <v>569</v>
      </c>
      <c r="CJ25" s="450">
        <v>145</v>
      </c>
      <c r="CK25" s="450">
        <v>65</v>
      </c>
      <c r="CL25" s="450">
        <v>955</v>
      </c>
      <c r="CM25" s="450">
        <v>250</v>
      </c>
      <c r="CN25" s="450">
        <v>223</v>
      </c>
      <c r="CO25" s="450">
        <v>617</v>
      </c>
      <c r="CP25" s="450">
        <v>20</v>
      </c>
      <c r="CQ25" s="450">
        <v>1010</v>
      </c>
      <c r="CR25" s="450">
        <v>554</v>
      </c>
      <c r="CS25" s="450">
        <v>0</v>
      </c>
      <c r="CT25" s="450">
        <v>2451</v>
      </c>
      <c r="CU25" s="450">
        <v>0</v>
      </c>
      <c r="CV25" s="450">
        <v>0</v>
      </c>
      <c r="CW25" s="447">
        <v>4853578.241800378</v>
      </c>
      <c r="CX25" s="452">
        <v>0.8785920126823759</v>
      </c>
      <c r="CY25" s="452">
        <v>0.9</v>
      </c>
      <c r="CZ25" s="447">
        <v>4264315.076174782</v>
      </c>
      <c r="DA25" s="454">
        <v>614.3660965530589</v>
      </c>
      <c r="DB25" s="449">
        <v>6941</v>
      </c>
      <c r="DC25" s="452">
        <v>1.008341737501801</v>
      </c>
      <c r="DD25" s="454">
        <v>298</v>
      </c>
      <c r="DE25" s="447">
        <v>25448</v>
      </c>
      <c r="DF25" s="454">
        <v>44.692648566112226</v>
      </c>
      <c r="DG25" s="454">
        <v>46.61443245445505</v>
      </c>
      <c r="DH25" s="454">
        <v>47.63994996845305</v>
      </c>
      <c r="DI25" s="454">
        <v>48.68802886775901</v>
      </c>
      <c r="DJ25" s="454">
        <v>50.29473382039505</v>
      </c>
      <c r="DK25" s="454">
        <v>52.105344237929266</v>
      </c>
      <c r="DL25" s="454">
        <v>53.77271525354299</v>
      </c>
      <c r="DM25" s="454">
        <v>55.97739657893825</v>
      </c>
      <c r="DN25" s="454">
        <v>58.44040202841152</v>
      </c>
      <c r="DO25" s="454">
        <v>61.654624139974146</v>
      </c>
      <c r="DP25" s="454">
        <v>61.099732522714376</v>
      </c>
      <c r="DQ25" s="454">
        <v>64.21581888137281</v>
      </c>
      <c r="DR25" s="454">
        <v>68.13298383313655</v>
      </c>
      <c r="DS25" s="454">
        <v>35.46</v>
      </c>
      <c r="DT25" s="454">
        <v>37.380102996845295</v>
      </c>
      <c r="DU25" s="454">
        <v>39.36752788555179</v>
      </c>
      <c r="DV25" s="454">
        <v>41.8701659951025</v>
      </c>
      <c r="DW25" s="454">
        <v>44.62432800906948</v>
      </c>
      <c r="DX25" s="454">
        <v>47.33904129672358</v>
      </c>
      <c r="DY25" s="454">
        <v>50.61943290769904</v>
      </c>
      <c r="DZ25" s="454">
        <v>53.46821174150154</v>
      </c>
      <c r="EA25" s="454">
        <v>55.101159540143584</v>
      </c>
      <c r="EB25" s="454">
        <v>56.72071601582369</v>
      </c>
      <c r="EC25" s="454">
        <v>60.53394180237912</v>
      </c>
      <c r="ED25" s="454">
        <v>65.20313014752732</v>
      </c>
      <c r="EE25" s="454">
        <v>0</v>
      </c>
      <c r="EF25" s="454">
        <v>65.20313014752732</v>
      </c>
      <c r="EG25" s="454">
        <v>3390.5627676714207</v>
      </c>
      <c r="EH25" s="447">
        <v>23063218.246999186</v>
      </c>
      <c r="EI25" s="454">
        <v>40.65</v>
      </c>
      <c r="EJ25" s="454">
        <v>42.1538649968453</v>
      </c>
      <c r="EK25" s="454">
        <v>43.70422545355179</v>
      </c>
      <c r="EL25" s="454">
        <v>45.789998509378506</v>
      </c>
      <c r="EM25" s="454">
        <v>48.105139281746574</v>
      </c>
      <c r="EN25" s="454">
        <v>50.332538991225874</v>
      </c>
      <c r="EO25" s="454">
        <v>53.112417787680556</v>
      </c>
      <c r="EP25" s="454">
        <v>55.78170171012438</v>
      </c>
      <c r="EQ25" s="454">
        <v>57.307457806886895</v>
      </c>
      <c r="ER25" s="454">
        <v>58.19496164300585</v>
      </c>
      <c r="ES25" s="454">
        <v>61.773487525713875</v>
      </c>
      <c r="ET25" s="454">
        <v>66.18949865687095</v>
      </c>
      <c r="EU25" s="447">
        <v>78942791</v>
      </c>
      <c r="EV25" s="447">
        <v>0</v>
      </c>
      <c r="EW25" s="447">
        <v>0</v>
      </c>
      <c r="EX25" s="447">
        <v>40375</v>
      </c>
      <c r="EY25" s="447">
        <v>0</v>
      </c>
      <c r="EZ25" s="447">
        <v>0</v>
      </c>
      <c r="FA25" s="447">
        <v>0</v>
      </c>
      <c r="FB25" s="447">
        <v>0</v>
      </c>
      <c r="FC25" s="447">
        <v>0</v>
      </c>
      <c r="FD25" s="447">
        <v>78983166</v>
      </c>
      <c r="FE25" s="447">
        <v>79132.14938147862</v>
      </c>
      <c r="FF25" s="447">
        <v>0</v>
      </c>
      <c r="FG25" s="447">
        <v>0</v>
      </c>
      <c r="FH25" s="447">
        <v>8000</v>
      </c>
      <c r="FI25" s="456">
        <v>0.0393</v>
      </c>
      <c r="FJ25" s="447">
        <v>314.4</v>
      </c>
      <c r="FK25" s="471">
        <v>314.4</v>
      </c>
      <c r="FL25" s="498">
        <v>64.18</v>
      </c>
      <c r="FM25" s="37">
        <v>63.97</v>
      </c>
      <c r="FN25" s="37">
        <v>63.97</v>
      </c>
      <c r="FO25" s="37">
        <v>0</v>
      </c>
      <c r="FP25" s="40">
        <v>64.62</v>
      </c>
      <c r="FQ25" s="446">
        <v>148088</v>
      </c>
      <c r="FR25" s="450">
        <v>15</v>
      </c>
      <c r="FS25" s="450">
        <v>0</v>
      </c>
      <c r="FT25" s="450">
        <v>0</v>
      </c>
      <c r="FU25" s="450">
        <v>0</v>
      </c>
      <c r="FV25" s="450">
        <v>0</v>
      </c>
      <c r="FW25" s="450">
        <v>0</v>
      </c>
      <c r="FX25" s="450">
        <v>0</v>
      </c>
      <c r="FY25" s="450">
        <v>0</v>
      </c>
      <c r="FZ25" s="450">
        <v>0</v>
      </c>
      <c r="GA25" s="450">
        <v>0</v>
      </c>
      <c r="GB25" s="450">
        <v>0</v>
      </c>
      <c r="GC25" s="450">
        <v>0</v>
      </c>
      <c r="GD25" s="450">
        <v>0</v>
      </c>
      <c r="GE25" s="450">
        <v>0</v>
      </c>
      <c r="GF25" s="450">
        <v>0</v>
      </c>
      <c r="GG25" s="450">
        <v>0</v>
      </c>
      <c r="GH25" s="450">
        <v>0</v>
      </c>
      <c r="GI25" s="450">
        <v>0</v>
      </c>
      <c r="GJ25" s="450">
        <v>0</v>
      </c>
      <c r="GK25" s="450">
        <v>0</v>
      </c>
      <c r="GL25" s="450">
        <v>0</v>
      </c>
      <c r="GM25" s="450">
        <v>0</v>
      </c>
      <c r="GN25" s="450">
        <v>0</v>
      </c>
      <c r="GO25" s="450">
        <v>0</v>
      </c>
      <c r="GP25" s="450">
        <v>0</v>
      </c>
      <c r="GQ25" s="450">
        <v>0</v>
      </c>
      <c r="GR25" s="450">
        <v>0</v>
      </c>
      <c r="GS25" s="450">
        <v>0</v>
      </c>
      <c r="GT25" s="450">
        <v>0</v>
      </c>
      <c r="GU25" s="450">
        <v>0</v>
      </c>
      <c r="GV25" s="450">
        <v>0</v>
      </c>
      <c r="GW25" s="450">
        <v>0</v>
      </c>
      <c r="GX25" s="450">
        <v>64860104</v>
      </c>
      <c r="GY25" s="450">
        <v>68655104</v>
      </c>
      <c r="GZ25" s="450">
        <v>0</v>
      </c>
      <c r="HA25" s="450" t="s">
        <v>888</v>
      </c>
      <c r="HB25" s="450" t="s">
        <v>888</v>
      </c>
      <c r="HC25" s="450">
        <v>0</v>
      </c>
      <c r="HD25" s="450">
        <v>0</v>
      </c>
      <c r="HE25" s="450">
        <v>0</v>
      </c>
      <c r="HF25" s="450">
        <v>0</v>
      </c>
      <c r="HG25" s="472">
        <v>0</v>
      </c>
    </row>
    <row r="26" spans="2:215" ht="12.75">
      <c r="B26" s="445" t="s">
        <v>701</v>
      </c>
      <c r="C26" s="446">
        <v>64501.5</v>
      </c>
      <c r="D26" s="447">
        <v>15059649.5</v>
      </c>
      <c r="E26" s="447">
        <v>12921179.271</v>
      </c>
      <c r="F26" s="447">
        <v>2177636.9800705295</v>
      </c>
      <c r="G26" s="447">
        <v>2138470.2290000003</v>
      </c>
      <c r="H26" s="448">
        <v>0.501565544987326</v>
      </c>
      <c r="I26" s="449">
        <v>28066.15</v>
      </c>
      <c r="J26" s="449">
        <v>4285.58</v>
      </c>
      <c r="K26" s="447">
        <v>15098816.25107053</v>
      </c>
      <c r="L26" s="447">
        <v>12079053.000856424</v>
      </c>
      <c r="M26" s="447">
        <v>4052142.4559034505</v>
      </c>
      <c r="N26" s="447">
        <v>3019763.250214105</v>
      </c>
      <c r="O26" s="450">
        <v>1.3418742199793803</v>
      </c>
      <c r="P26" s="451">
        <v>0.737006116136834</v>
      </c>
      <c r="Q26" s="452">
        <v>0.2629861321054549</v>
      </c>
      <c r="R26" s="447">
        <v>16131195.456759874</v>
      </c>
      <c r="S26" s="447">
        <v>10904688.128769675</v>
      </c>
      <c r="T26" s="447">
        <v>1815771.1708494457</v>
      </c>
      <c r="U26" s="447">
        <v>4236536.214640167</v>
      </c>
      <c r="V26" s="447">
        <v>3677912.564141251</v>
      </c>
      <c r="W26" s="450">
        <v>1.1518860605728802</v>
      </c>
      <c r="X26" s="452">
        <v>20.220785065640925</v>
      </c>
      <c r="Y26" s="447">
        <v>1815771.1708494457</v>
      </c>
      <c r="Z26" s="447">
        <v>1548594.7638489478</v>
      </c>
      <c r="AA26" s="448">
        <v>1.1725282903168583</v>
      </c>
      <c r="AB26" s="448">
        <v>0.09223816500391464</v>
      </c>
      <c r="AC26" s="449">
        <v>5983</v>
      </c>
      <c r="AD26" s="449">
        <v>5916</v>
      </c>
      <c r="AE26" s="447">
        <v>16956995.514259286</v>
      </c>
      <c r="AF26" s="447">
        <v>3796902.72797165</v>
      </c>
      <c r="AG26" s="451">
        <v>1</v>
      </c>
      <c r="AH26" s="450">
        <v>0.6583704575085679</v>
      </c>
      <c r="AI26" s="452">
        <v>0.5544202923774719</v>
      </c>
      <c r="AJ26" s="447">
        <v>20753898.242230937</v>
      </c>
      <c r="AK26" s="453">
        <v>1.0076</v>
      </c>
      <c r="AL26" s="447">
        <v>20911627.868871894</v>
      </c>
      <c r="AM26" s="447">
        <v>49193808.58231376</v>
      </c>
      <c r="AN26" s="447">
        <v>48708255.95550769</v>
      </c>
      <c r="AO26" s="447">
        <v>46961206.91486643</v>
      </c>
      <c r="AP26" s="447">
        <v>48708255.95550769</v>
      </c>
      <c r="AQ26" s="447">
        <v>258006</v>
      </c>
      <c r="AR26" s="447">
        <v>48966261.95550769</v>
      </c>
      <c r="AS26" s="454">
        <v>759.1491973908776</v>
      </c>
      <c r="AT26" s="450">
        <v>64446</v>
      </c>
      <c r="AU26" s="450">
        <v>10985</v>
      </c>
      <c r="AV26" s="450">
        <v>3265</v>
      </c>
      <c r="AW26" s="450">
        <v>161</v>
      </c>
      <c r="AX26" s="450">
        <v>1818</v>
      </c>
      <c r="AY26" s="450">
        <v>1188</v>
      </c>
      <c r="AZ26" s="450">
        <v>2141</v>
      </c>
      <c r="BA26" s="450">
        <v>3903</v>
      </c>
      <c r="BB26" s="450">
        <v>5315</v>
      </c>
      <c r="BC26" s="450">
        <v>3515</v>
      </c>
      <c r="BD26" s="450">
        <v>11043</v>
      </c>
      <c r="BE26" s="450">
        <v>6030</v>
      </c>
      <c r="BF26" s="450">
        <v>10933</v>
      </c>
      <c r="BG26" s="450">
        <v>4067</v>
      </c>
      <c r="BH26" s="450">
        <v>13</v>
      </c>
      <c r="BI26" s="450">
        <v>69</v>
      </c>
      <c r="BJ26" s="452">
        <v>1.9373243238348405</v>
      </c>
      <c r="BK26" s="452">
        <v>19.630026114399698</v>
      </c>
      <c r="BL26" s="452">
        <v>10.574292724362357</v>
      </c>
      <c r="BM26" s="452">
        <v>18.11146678007468</v>
      </c>
      <c r="BN26" s="449">
        <v>47483</v>
      </c>
      <c r="BO26" s="449">
        <v>16963</v>
      </c>
      <c r="BP26" s="447">
        <v>22935672.697988864</v>
      </c>
      <c r="BQ26" s="447">
        <v>69597778</v>
      </c>
      <c r="BR26" s="447">
        <v>89034834</v>
      </c>
      <c r="BS26" s="448">
        <v>0.09231759923036341</v>
      </c>
      <c r="BT26" s="449">
        <v>5983</v>
      </c>
      <c r="BU26" s="449">
        <v>5916</v>
      </c>
      <c r="BV26" s="447">
        <v>8219482.122753934</v>
      </c>
      <c r="BW26" s="448">
        <v>0.01555881936176114</v>
      </c>
      <c r="BX26" s="447">
        <v>311098.3638677459</v>
      </c>
      <c r="BY26" s="447">
        <v>101064031.18461055</v>
      </c>
      <c r="BZ26" s="455">
        <v>0.9533333333333333</v>
      </c>
      <c r="CA26" s="447">
        <v>96347709.7293287</v>
      </c>
      <c r="CB26" s="447">
        <v>72456089.31191401</v>
      </c>
      <c r="CC26" s="447">
        <v>72367408.81691633</v>
      </c>
      <c r="CD26" s="447">
        <v>68588230.63095514</v>
      </c>
      <c r="CE26" s="447">
        <v>72367408.81691633</v>
      </c>
      <c r="CF26" s="454">
        <v>1122.9154457517352</v>
      </c>
      <c r="CG26" s="450">
        <v>64446</v>
      </c>
      <c r="CH26" s="450">
        <v>10985</v>
      </c>
      <c r="CI26" s="450">
        <v>3265</v>
      </c>
      <c r="CJ26" s="450">
        <v>161</v>
      </c>
      <c r="CK26" s="450">
        <v>1818</v>
      </c>
      <c r="CL26" s="450">
        <v>1188</v>
      </c>
      <c r="CM26" s="450">
        <v>2141</v>
      </c>
      <c r="CN26" s="450">
        <v>3903</v>
      </c>
      <c r="CO26" s="450">
        <v>5315</v>
      </c>
      <c r="CP26" s="450">
        <v>3515</v>
      </c>
      <c r="CQ26" s="450">
        <v>11043</v>
      </c>
      <c r="CR26" s="450">
        <v>6030</v>
      </c>
      <c r="CS26" s="450">
        <v>10933</v>
      </c>
      <c r="CT26" s="450">
        <v>4067</v>
      </c>
      <c r="CU26" s="450">
        <v>13</v>
      </c>
      <c r="CV26" s="450">
        <v>69</v>
      </c>
      <c r="CW26" s="447">
        <v>46427093.746035516</v>
      </c>
      <c r="CX26" s="452">
        <v>0.930656724545035</v>
      </c>
      <c r="CY26" s="452">
        <v>0.9533333333333333</v>
      </c>
      <c r="CZ26" s="447">
        <v>43207686.99583069</v>
      </c>
      <c r="DA26" s="454">
        <v>670.4479253302096</v>
      </c>
      <c r="DB26" s="449">
        <v>64501.5</v>
      </c>
      <c r="DC26" s="452">
        <v>1.0094479973333954</v>
      </c>
      <c r="DD26" s="454">
        <v>320.6</v>
      </c>
      <c r="DE26" s="447">
        <v>36597</v>
      </c>
      <c r="DF26" s="454">
        <v>51.161398884930904</v>
      </c>
      <c r="DG26" s="454">
        <v>53.361339036982926</v>
      </c>
      <c r="DH26" s="454">
        <v>54.53528849579654</v>
      </c>
      <c r="DI26" s="454">
        <v>55.735064842704055</v>
      </c>
      <c r="DJ26" s="454">
        <v>57.57432198251328</v>
      </c>
      <c r="DK26" s="454">
        <v>59.64699757388375</v>
      </c>
      <c r="DL26" s="454">
        <v>61.55570149624802</v>
      </c>
      <c r="DM26" s="454">
        <v>64.07948525759419</v>
      </c>
      <c r="DN26" s="454">
        <v>66.89898260892832</v>
      </c>
      <c r="DO26" s="454">
        <v>70.57842665241938</v>
      </c>
      <c r="DP26" s="454">
        <v>69.94322081254761</v>
      </c>
      <c r="DQ26" s="454">
        <v>73.51032507398753</v>
      </c>
      <c r="DR26" s="454">
        <v>77.99445490350077</v>
      </c>
      <c r="DS26" s="454">
        <v>37.79</v>
      </c>
      <c r="DT26" s="454">
        <v>40.21277084957965</v>
      </c>
      <c r="DU26" s="454">
        <v>42.7238532565408</v>
      </c>
      <c r="DV26" s="454">
        <v>45.81381311006997</v>
      </c>
      <c r="DW26" s="454">
        <v>49.20366569515409</v>
      </c>
      <c r="DX26" s="454">
        <v>52.574436080540515</v>
      </c>
      <c r="DY26" s="454">
        <v>56.59988741939298</v>
      </c>
      <c r="DZ26" s="454">
        <v>59.9579158150776</v>
      </c>
      <c r="EA26" s="454">
        <v>61.885094159140294</v>
      </c>
      <c r="EB26" s="454">
        <v>64.1343473673561</v>
      </c>
      <c r="EC26" s="454">
        <v>68.62622428127051</v>
      </c>
      <c r="ED26" s="454">
        <v>74.1079316976962</v>
      </c>
      <c r="EE26" s="454">
        <v>-0.32</v>
      </c>
      <c r="EF26" s="454">
        <v>73.78793169769621</v>
      </c>
      <c r="EG26" s="454">
        <v>3836.972448280203</v>
      </c>
      <c r="EH26" s="447">
        <v>242540668.8052906</v>
      </c>
      <c r="EI26" s="454">
        <v>44.48</v>
      </c>
      <c r="EJ26" s="454">
        <v>46.36623284957964</v>
      </c>
      <c r="EK26" s="454">
        <v>48.31393162454079</v>
      </c>
      <c r="EL26" s="454">
        <v>50.866545194945964</v>
      </c>
      <c r="EM26" s="454">
        <v>53.69049178652397</v>
      </c>
      <c r="EN26" s="454">
        <v>56.43310651911861</v>
      </c>
      <c r="EO26" s="454">
        <v>59.81338816064081</v>
      </c>
      <c r="EP26" s="454">
        <v>62.94004450295559</v>
      </c>
      <c r="EQ26" s="454">
        <v>64.72905088447995</v>
      </c>
      <c r="ER26" s="454">
        <v>66.03467554574698</v>
      </c>
      <c r="ES26" s="454">
        <v>70.22402021366156</v>
      </c>
      <c r="ET26" s="454">
        <v>75.37937781089637</v>
      </c>
      <c r="EU26" s="447">
        <v>682542361</v>
      </c>
      <c r="EV26" s="447">
        <v>0</v>
      </c>
      <c r="EW26" s="447">
        <v>0</v>
      </c>
      <c r="EX26" s="447">
        <v>31027701</v>
      </c>
      <c r="EY26" s="447">
        <v>0</v>
      </c>
      <c r="EZ26" s="447">
        <v>0</v>
      </c>
      <c r="FA26" s="447">
        <v>0</v>
      </c>
      <c r="FB26" s="447">
        <v>4373950</v>
      </c>
      <c r="FC26" s="447">
        <v>0</v>
      </c>
      <c r="FD26" s="447">
        <v>709196112</v>
      </c>
      <c r="FE26" s="447">
        <v>387201.89210436563</v>
      </c>
      <c r="FF26" s="447">
        <v>0</v>
      </c>
      <c r="FG26" s="447">
        <v>0</v>
      </c>
      <c r="FH26" s="447">
        <v>361354</v>
      </c>
      <c r="FI26" s="456">
        <v>0.0611</v>
      </c>
      <c r="FJ26" s="447">
        <v>22078.7294</v>
      </c>
      <c r="FK26" s="471">
        <v>22078.7294</v>
      </c>
      <c r="FL26" s="498">
        <v>73.52</v>
      </c>
      <c r="FM26" s="37">
        <v>70.54</v>
      </c>
      <c r="FN26" s="37">
        <v>70.22</v>
      </c>
      <c r="FO26" s="37">
        <v>-0.32</v>
      </c>
      <c r="FP26" s="40">
        <v>68.09</v>
      </c>
      <c r="FQ26" s="446">
        <v>2809433</v>
      </c>
      <c r="FR26" s="450">
        <v>607922</v>
      </c>
      <c r="FS26" s="450">
        <v>0</v>
      </c>
      <c r="FT26" s="450">
        <v>0</v>
      </c>
      <c r="FU26" s="450">
        <v>0</v>
      </c>
      <c r="FV26" s="450">
        <v>0</v>
      </c>
      <c r="FW26" s="450">
        <v>0</v>
      </c>
      <c r="FX26" s="450">
        <v>0</v>
      </c>
      <c r="FY26" s="450">
        <v>0</v>
      </c>
      <c r="FZ26" s="450">
        <v>0</v>
      </c>
      <c r="GA26" s="450">
        <v>0</v>
      </c>
      <c r="GB26" s="450">
        <v>0</v>
      </c>
      <c r="GC26" s="450">
        <v>0</v>
      </c>
      <c r="GD26" s="450">
        <v>0</v>
      </c>
      <c r="GE26" s="450">
        <v>0</v>
      </c>
      <c r="GF26" s="450">
        <v>0</v>
      </c>
      <c r="GG26" s="450">
        <v>0</v>
      </c>
      <c r="GH26" s="450">
        <v>0</v>
      </c>
      <c r="GI26" s="450">
        <v>0</v>
      </c>
      <c r="GJ26" s="450">
        <v>0</v>
      </c>
      <c r="GK26" s="450">
        <v>0</v>
      </c>
      <c r="GL26" s="450">
        <v>0</v>
      </c>
      <c r="GM26" s="450">
        <v>0</v>
      </c>
      <c r="GN26" s="450">
        <v>0</v>
      </c>
      <c r="GO26" s="450">
        <v>0</v>
      </c>
      <c r="GP26" s="450">
        <v>0</v>
      </c>
      <c r="GQ26" s="450">
        <v>0</v>
      </c>
      <c r="GR26" s="450">
        <v>0</v>
      </c>
      <c r="GS26" s="450">
        <v>0</v>
      </c>
      <c r="GT26" s="450">
        <v>0</v>
      </c>
      <c r="GU26" s="450">
        <v>0</v>
      </c>
      <c r="GV26" s="450">
        <v>0</v>
      </c>
      <c r="GW26" s="450">
        <v>12277000</v>
      </c>
      <c r="GX26" s="450">
        <v>769034523</v>
      </c>
      <c r="GY26" s="450">
        <v>799613523</v>
      </c>
      <c r="GZ26" s="450">
        <v>57</v>
      </c>
      <c r="HA26" s="450" t="s">
        <v>888</v>
      </c>
      <c r="HB26" s="450" t="s">
        <v>889</v>
      </c>
      <c r="HC26" s="450">
        <v>303</v>
      </c>
      <c r="HD26" s="450">
        <v>284</v>
      </c>
      <c r="HE26" s="450">
        <v>226</v>
      </c>
      <c r="HF26" s="450">
        <v>247</v>
      </c>
      <c r="HG26" s="472">
        <v>104</v>
      </c>
    </row>
    <row r="27" spans="2:215" ht="12.75">
      <c r="B27" s="445" t="s">
        <v>702</v>
      </c>
      <c r="C27" s="446">
        <v>5286</v>
      </c>
      <c r="D27" s="447">
        <v>1262438</v>
      </c>
      <c r="E27" s="447">
        <v>1083171.804</v>
      </c>
      <c r="F27" s="447">
        <v>234546.586734551</v>
      </c>
      <c r="G27" s="447">
        <v>179266.19600000003</v>
      </c>
      <c r="H27" s="448">
        <v>0.6444305713204692</v>
      </c>
      <c r="I27" s="449">
        <v>3184.42</v>
      </c>
      <c r="J27" s="449">
        <v>222.04</v>
      </c>
      <c r="K27" s="447">
        <v>1317718.390734551</v>
      </c>
      <c r="L27" s="447">
        <v>1054174.7125876409</v>
      </c>
      <c r="M27" s="447">
        <v>342616.7529749464</v>
      </c>
      <c r="N27" s="447">
        <v>263543.67814691016</v>
      </c>
      <c r="O27" s="450">
        <v>1.3000378357926599</v>
      </c>
      <c r="P27" s="451">
        <v>0.7692016647748771</v>
      </c>
      <c r="Q27" s="452">
        <v>0.23079833522512297</v>
      </c>
      <c r="R27" s="447">
        <v>1396791.4655625871</v>
      </c>
      <c r="S27" s="447">
        <v>944231.030720309</v>
      </c>
      <c r="T27" s="447">
        <v>241368.2420020829</v>
      </c>
      <c r="U27" s="447">
        <v>568873.729063892</v>
      </c>
      <c r="V27" s="447">
        <v>318468.4541482699</v>
      </c>
      <c r="W27" s="450">
        <v>1.7862796821911928</v>
      </c>
      <c r="X27" s="452">
        <v>31.357248565665895</v>
      </c>
      <c r="Y27" s="447">
        <v>241368.2420020829</v>
      </c>
      <c r="Z27" s="447">
        <v>134091.98069400838</v>
      </c>
      <c r="AA27" s="448">
        <v>1.8000199620652477</v>
      </c>
      <c r="AB27" s="448">
        <v>0.1416004540295119</v>
      </c>
      <c r="AC27" s="449">
        <v>713</v>
      </c>
      <c r="AD27" s="449">
        <v>784</v>
      </c>
      <c r="AE27" s="447">
        <v>1754473.0017862841</v>
      </c>
      <c r="AF27" s="447">
        <v>264382.7978220248</v>
      </c>
      <c r="AG27" s="451">
        <v>1</v>
      </c>
      <c r="AH27" s="450">
        <v>0.5426884131520796</v>
      </c>
      <c r="AI27" s="452">
        <v>0.45700329542160034</v>
      </c>
      <c r="AJ27" s="447">
        <v>2018855.7996083088</v>
      </c>
      <c r="AK27" s="453">
        <v>1</v>
      </c>
      <c r="AL27" s="447">
        <v>2018855.7996083088</v>
      </c>
      <c r="AM27" s="447">
        <v>4749281.422947531</v>
      </c>
      <c r="AN27" s="447">
        <v>4702405.07535808</v>
      </c>
      <c r="AO27" s="447">
        <v>4591236.83103761</v>
      </c>
      <c r="AP27" s="447">
        <v>4702405.07535808</v>
      </c>
      <c r="AQ27" s="447">
        <v>21144</v>
      </c>
      <c r="AR27" s="447">
        <v>4723549.07535808</v>
      </c>
      <c r="AS27" s="454">
        <v>893.5961171695194</v>
      </c>
      <c r="AT27" s="450">
        <v>5286</v>
      </c>
      <c r="AU27" s="450">
        <v>81</v>
      </c>
      <c r="AV27" s="450">
        <v>190</v>
      </c>
      <c r="AW27" s="450">
        <v>207</v>
      </c>
      <c r="AX27" s="450">
        <v>161</v>
      </c>
      <c r="AY27" s="450">
        <v>767</v>
      </c>
      <c r="AZ27" s="450">
        <v>95</v>
      </c>
      <c r="BA27" s="450">
        <v>34</v>
      </c>
      <c r="BB27" s="450">
        <v>51</v>
      </c>
      <c r="BC27" s="450">
        <v>160</v>
      </c>
      <c r="BD27" s="450">
        <v>2198</v>
      </c>
      <c r="BE27" s="450">
        <v>837</v>
      </c>
      <c r="BF27" s="450">
        <v>383</v>
      </c>
      <c r="BG27" s="450">
        <v>80</v>
      </c>
      <c r="BH27" s="450">
        <v>2</v>
      </c>
      <c r="BI27" s="450">
        <v>40</v>
      </c>
      <c r="BJ27" s="452">
        <v>2.0186084193696203</v>
      </c>
      <c r="BK27" s="452">
        <v>22.402630917454083</v>
      </c>
      <c r="BL27" s="452">
        <v>16.900183006632947</v>
      </c>
      <c r="BM27" s="452">
        <v>11.004895821642274</v>
      </c>
      <c r="BN27" s="449">
        <v>4066</v>
      </c>
      <c r="BO27" s="449">
        <v>1220</v>
      </c>
      <c r="BP27" s="447">
        <v>1842482.8161712016</v>
      </c>
      <c r="BQ27" s="447">
        <v>5700876</v>
      </c>
      <c r="BR27" s="447">
        <v>6885182</v>
      </c>
      <c r="BS27" s="448">
        <v>0.1416004540295119</v>
      </c>
      <c r="BT27" s="449">
        <v>713</v>
      </c>
      <c r="BU27" s="449">
        <v>784</v>
      </c>
      <c r="BV27" s="447">
        <v>974944.8972758228</v>
      </c>
      <c r="BW27" s="448">
        <v>0.029855508001962714</v>
      </c>
      <c r="BX27" s="447">
        <v>55879.80630849615</v>
      </c>
      <c r="BY27" s="447">
        <v>8574183.51975552</v>
      </c>
      <c r="BZ27" s="455">
        <v>0.93</v>
      </c>
      <c r="CA27" s="447">
        <v>7973990.673372634</v>
      </c>
      <c r="CB27" s="447">
        <v>5996657.128907162</v>
      </c>
      <c r="CC27" s="447">
        <v>5989317.697155145</v>
      </c>
      <c r="CD27" s="447">
        <v>5873991.790983075</v>
      </c>
      <c r="CE27" s="447">
        <v>5989317.697155145</v>
      </c>
      <c r="CF27" s="454">
        <v>1133.052912817848</v>
      </c>
      <c r="CG27" s="450">
        <v>5286</v>
      </c>
      <c r="CH27" s="450">
        <v>81</v>
      </c>
      <c r="CI27" s="450">
        <v>190</v>
      </c>
      <c r="CJ27" s="450">
        <v>207</v>
      </c>
      <c r="CK27" s="450">
        <v>161</v>
      </c>
      <c r="CL27" s="450">
        <v>767</v>
      </c>
      <c r="CM27" s="450">
        <v>95</v>
      </c>
      <c r="CN27" s="450">
        <v>34</v>
      </c>
      <c r="CO27" s="450">
        <v>51</v>
      </c>
      <c r="CP27" s="450">
        <v>160</v>
      </c>
      <c r="CQ27" s="450">
        <v>2198</v>
      </c>
      <c r="CR27" s="450">
        <v>837</v>
      </c>
      <c r="CS27" s="450">
        <v>383</v>
      </c>
      <c r="CT27" s="450">
        <v>80</v>
      </c>
      <c r="CU27" s="450">
        <v>2</v>
      </c>
      <c r="CV27" s="450">
        <v>40</v>
      </c>
      <c r="CW27" s="447">
        <v>4225296.729564355</v>
      </c>
      <c r="CX27" s="452">
        <v>0.9078784131051217</v>
      </c>
      <c r="CY27" s="452">
        <v>0.93</v>
      </c>
      <c r="CZ27" s="447">
        <v>3836055.689735147</v>
      </c>
      <c r="DA27" s="454">
        <v>725.7010385424039</v>
      </c>
      <c r="DB27" s="449">
        <v>5286</v>
      </c>
      <c r="DC27" s="452">
        <v>0.9631479379493</v>
      </c>
      <c r="DD27" s="454">
        <v>302.7</v>
      </c>
      <c r="DE27" s="447">
        <v>25764</v>
      </c>
      <c r="DF27" s="454">
        <v>43.716296916990196</v>
      </c>
      <c r="DG27" s="454">
        <v>45.59609768442077</v>
      </c>
      <c r="DH27" s="454">
        <v>46.599211833478016</v>
      </c>
      <c r="DI27" s="454">
        <v>47.62439449381452</v>
      </c>
      <c r="DJ27" s="454">
        <v>49.1959995121104</v>
      </c>
      <c r="DK27" s="454">
        <v>50.967055494546365</v>
      </c>
      <c r="DL27" s="454">
        <v>52.59800127037184</v>
      </c>
      <c r="DM27" s="454">
        <v>54.75451932245708</v>
      </c>
      <c r="DN27" s="454">
        <v>57.16371817264518</v>
      </c>
      <c r="DO27" s="454">
        <v>60.30772267214066</v>
      </c>
      <c r="DP27" s="454">
        <v>59.764953168091395</v>
      </c>
      <c r="DQ27" s="454">
        <v>62.812965779664054</v>
      </c>
      <c r="DR27" s="454">
        <v>66.64455669222356</v>
      </c>
      <c r="DS27" s="454">
        <v>35.11</v>
      </c>
      <c r="DT27" s="454">
        <v>36.95409918334779</v>
      </c>
      <c r="DU27" s="454">
        <v>38.86234549076289</v>
      </c>
      <c r="DV27" s="454">
        <v>41.276202469477106</v>
      </c>
      <c r="DW27" s="454">
        <v>43.934275720688</v>
      </c>
      <c r="DX27" s="454">
        <v>46.549810664853645</v>
      </c>
      <c r="DY27" s="454">
        <v>49.71758618618153</v>
      </c>
      <c r="DZ27" s="454">
        <v>52.48944422218147</v>
      </c>
      <c r="EA27" s="454">
        <v>54.07794815136311</v>
      </c>
      <c r="EB27" s="454">
        <v>55.60222595027789</v>
      </c>
      <c r="EC27" s="454">
        <v>59.31294473492646</v>
      </c>
      <c r="ED27" s="454">
        <v>63.85941494587362</v>
      </c>
      <c r="EE27" s="454">
        <v>0</v>
      </c>
      <c r="EF27" s="454">
        <v>63.85941494587362</v>
      </c>
      <c r="EG27" s="454">
        <v>3320.689577185428</v>
      </c>
      <c r="EH27" s="447">
        <v>17202101.80290213</v>
      </c>
      <c r="EI27" s="454">
        <v>38.06</v>
      </c>
      <c r="EJ27" s="454">
        <v>39.667509183347796</v>
      </c>
      <c r="EK27" s="454">
        <v>41.327327730762896</v>
      </c>
      <c r="EL27" s="454">
        <v>43.50423829165711</v>
      </c>
      <c r="EM27" s="454">
        <v>45.91277153078384</v>
      </c>
      <c r="EN27" s="454">
        <v>48.25131706153607</v>
      </c>
      <c r="EO27" s="454">
        <v>51.134600713338656</v>
      </c>
      <c r="EP27" s="454">
        <v>53.80443370338329</v>
      </c>
      <c r="EQ27" s="454">
        <v>55.332009786602576</v>
      </c>
      <c r="ER27" s="454">
        <v>56.440188300988375</v>
      </c>
      <c r="ES27" s="454">
        <v>60.017503479403835</v>
      </c>
      <c r="ET27" s="454">
        <v>64.42006756679149</v>
      </c>
      <c r="EU27" s="447">
        <v>73415983</v>
      </c>
      <c r="EV27" s="447">
        <v>0</v>
      </c>
      <c r="EW27" s="447">
        <v>0</v>
      </c>
      <c r="EX27" s="447">
        <v>0</v>
      </c>
      <c r="EY27" s="447">
        <v>0</v>
      </c>
      <c r="EZ27" s="447">
        <v>0</v>
      </c>
      <c r="FA27" s="447">
        <v>0</v>
      </c>
      <c r="FB27" s="447">
        <v>0</v>
      </c>
      <c r="FC27" s="447">
        <v>0</v>
      </c>
      <c r="FD27" s="447">
        <v>73415983</v>
      </c>
      <c r="FE27" s="447">
        <v>76410.7190373593</v>
      </c>
      <c r="FF27" s="447">
        <v>0</v>
      </c>
      <c r="FG27" s="447">
        <v>0</v>
      </c>
      <c r="FH27" s="447">
        <v>39669</v>
      </c>
      <c r="FI27" s="456">
        <v>0.051699999999999996</v>
      </c>
      <c r="FJ27" s="447">
        <v>2050.8873</v>
      </c>
      <c r="FK27" s="471">
        <v>2050.8873</v>
      </c>
      <c r="FL27" s="498">
        <v>0</v>
      </c>
      <c r="FM27" s="37">
        <v>0</v>
      </c>
      <c r="FN27" s="37">
        <v>0</v>
      </c>
      <c r="FO27" s="37">
        <v>0</v>
      </c>
      <c r="FP27" s="40">
        <v>58.79</v>
      </c>
      <c r="FQ27" s="446">
        <v>341720</v>
      </c>
      <c r="FR27" s="450">
        <v>1468</v>
      </c>
      <c r="FS27" s="450">
        <v>0</v>
      </c>
      <c r="FT27" s="450">
        <v>0</v>
      </c>
      <c r="FU27" s="450">
        <v>0</v>
      </c>
      <c r="FV27" s="450">
        <v>0</v>
      </c>
      <c r="FW27" s="450">
        <v>0</v>
      </c>
      <c r="FX27" s="450">
        <v>0</v>
      </c>
      <c r="FY27" s="450">
        <v>0</v>
      </c>
      <c r="FZ27" s="450">
        <v>0</v>
      </c>
      <c r="GA27" s="450">
        <v>0</v>
      </c>
      <c r="GB27" s="450">
        <v>0</v>
      </c>
      <c r="GC27" s="450">
        <v>0</v>
      </c>
      <c r="GD27" s="450">
        <v>0</v>
      </c>
      <c r="GE27" s="450">
        <v>0</v>
      </c>
      <c r="GF27" s="450">
        <v>0</v>
      </c>
      <c r="GG27" s="450">
        <v>0</v>
      </c>
      <c r="GH27" s="450">
        <v>0</v>
      </c>
      <c r="GI27" s="450">
        <v>0</v>
      </c>
      <c r="GJ27" s="450">
        <v>0</v>
      </c>
      <c r="GK27" s="450">
        <v>0</v>
      </c>
      <c r="GL27" s="450">
        <v>0</v>
      </c>
      <c r="GM27" s="450">
        <v>0</v>
      </c>
      <c r="GN27" s="450">
        <v>0</v>
      </c>
      <c r="GO27" s="450">
        <v>0</v>
      </c>
      <c r="GP27" s="450">
        <v>0</v>
      </c>
      <c r="GQ27" s="450">
        <v>0</v>
      </c>
      <c r="GR27" s="450">
        <v>0</v>
      </c>
      <c r="GS27" s="450">
        <v>0</v>
      </c>
      <c r="GT27" s="450">
        <v>0</v>
      </c>
      <c r="GU27" s="450">
        <v>0</v>
      </c>
      <c r="GV27" s="450">
        <v>0</v>
      </c>
      <c r="GW27" s="450">
        <v>3844592</v>
      </c>
      <c r="GX27" s="450">
        <v>52885911</v>
      </c>
      <c r="GY27" s="450">
        <v>58035911</v>
      </c>
      <c r="GZ27" s="450">
        <v>139</v>
      </c>
      <c r="HA27" s="450" t="s">
        <v>888</v>
      </c>
      <c r="HB27" s="450" t="s">
        <v>888</v>
      </c>
      <c r="HC27" s="450">
        <v>135</v>
      </c>
      <c r="HD27" s="450">
        <v>128</v>
      </c>
      <c r="HE27" s="450">
        <v>109</v>
      </c>
      <c r="HF27" s="450">
        <v>17</v>
      </c>
      <c r="HG27" s="472">
        <v>0</v>
      </c>
    </row>
    <row r="28" spans="2:215" ht="12.75">
      <c r="B28" s="445" t="s">
        <v>703</v>
      </c>
      <c r="C28" s="446">
        <v>5344</v>
      </c>
      <c r="D28" s="447">
        <v>1275952</v>
      </c>
      <c r="E28" s="447">
        <v>1094766.8159999999</v>
      </c>
      <c r="F28" s="447">
        <v>96840.16466571957</v>
      </c>
      <c r="G28" s="447">
        <v>181185.184</v>
      </c>
      <c r="H28" s="448">
        <v>0.2632559880239521</v>
      </c>
      <c r="I28" s="449">
        <v>833.93</v>
      </c>
      <c r="J28" s="449">
        <v>572.91</v>
      </c>
      <c r="K28" s="447">
        <v>1191606.9806657194</v>
      </c>
      <c r="L28" s="447">
        <v>953285.5845325756</v>
      </c>
      <c r="M28" s="447">
        <v>238321.39613314383</v>
      </c>
      <c r="N28" s="447">
        <v>238321.39613314383</v>
      </c>
      <c r="O28" s="450">
        <v>1</v>
      </c>
      <c r="P28" s="451">
        <v>1</v>
      </c>
      <c r="Q28" s="452">
        <v>0</v>
      </c>
      <c r="R28" s="447">
        <v>1191606.9806657194</v>
      </c>
      <c r="S28" s="447">
        <v>805526.3189300264</v>
      </c>
      <c r="T28" s="447">
        <v>114151.72087366015</v>
      </c>
      <c r="U28" s="447">
        <v>203382.93397549036</v>
      </c>
      <c r="V28" s="447">
        <v>271686.391591784</v>
      </c>
      <c r="W28" s="450">
        <v>0.7485944834553163</v>
      </c>
      <c r="X28" s="452">
        <v>13.14120264963195</v>
      </c>
      <c r="Y28" s="447">
        <v>114151.72087366015</v>
      </c>
      <c r="Z28" s="447">
        <v>114394.27014390906</v>
      </c>
      <c r="AA28" s="448">
        <v>0.9978797078739714</v>
      </c>
      <c r="AB28" s="448">
        <v>0.07849925149700598</v>
      </c>
      <c r="AC28" s="449">
        <v>363</v>
      </c>
      <c r="AD28" s="449">
        <v>476</v>
      </c>
      <c r="AE28" s="447">
        <v>1123060.9737791768</v>
      </c>
      <c r="AF28" s="447">
        <v>150610.6542126207</v>
      </c>
      <c r="AG28" s="451">
        <v>0.75</v>
      </c>
      <c r="AH28" s="450">
        <v>0.3800981507984706</v>
      </c>
      <c r="AI28" s="452">
        <v>0.32008442282676697</v>
      </c>
      <c r="AJ28" s="447">
        <v>1273671.6279917974</v>
      </c>
      <c r="AK28" s="453">
        <v>1</v>
      </c>
      <c r="AL28" s="447">
        <v>1273671.6279917974</v>
      </c>
      <c r="AM28" s="447">
        <v>2996264.023874509</v>
      </c>
      <c r="AN28" s="447">
        <v>2966690.304958998</v>
      </c>
      <c r="AO28" s="447">
        <v>2923596.830541936</v>
      </c>
      <c r="AP28" s="447">
        <v>2966690.304958998</v>
      </c>
      <c r="AQ28" s="447">
        <v>21376</v>
      </c>
      <c r="AR28" s="447">
        <v>2988066.304958998</v>
      </c>
      <c r="AS28" s="454">
        <v>559.1441438920281</v>
      </c>
      <c r="AT28" s="450">
        <v>5344</v>
      </c>
      <c r="AU28" s="450">
        <v>66</v>
      </c>
      <c r="AV28" s="450">
        <v>682</v>
      </c>
      <c r="AW28" s="450">
        <v>332</v>
      </c>
      <c r="AX28" s="450">
        <v>198</v>
      </c>
      <c r="AY28" s="450">
        <v>1042</v>
      </c>
      <c r="AZ28" s="450">
        <v>0</v>
      </c>
      <c r="BA28" s="450">
        <v>73</v>
      </c>
      <c r="BB28" s="450">
        <v>33</v>
      </c>
      <c r="BC28" s="450">
        <v>2</v>
      </c>
      <c r="BD28" s="450">
        <v>935</v>
      </c>
      <c r="BE28" s="450">
        <v>0</v>
      </c>
      <c r="BF28" s="450">
        <v>0</v>
      </c>
      <c r="BG28" s="450">
        <v>1981</v>
      </c>
      <c r="BH28" s="450">
        <v>0</v>
      </c>
      <c r="BI28" s="450">
        <v>0</v>
      </c>
      <c r="BJ28" s="452">
        <v>1.3731788756979406</v>
      </c>
      <c r="BK28" s="452">
        <v>12.769168025769234</v>
      </c>
      <c r="BL28" s="452">
        <v>7.668289451410861</v>
      </c>
      <c r="BM28" s="452">
        <v>10.201757148716746</v>
      </c>
      <c r="BN28" s="449">
        <v>5344</v>
      </c>
      <c r="BO28" s="449">
        <v>0</v>
      </c>
      <c r="BP28" s="447">
        <v>1640030.099791197</v>
      </c>
      <c r="BQ28" s="447">
        <v>5215631</v>
      </c>
      <c r="BR28" s="447">
        <v>7114154</v>
      </c>
      <c r="BS28" s="448">
        <v>0.07849925149700598</v>
      </c>
      <c r="BT28" s="449">
        <v>363</v>
      </c>
      <c r="BU28" s="449">
        <v>476</v>
      </c>
      <c r="BV28" s="447">
        <v>558455.7640344311</v>
      </c>
      <c r="BW28" s="448">
        <v>0.034905820057909605</v>
      </c>
      <c r="BX28" s="447">
        <v>37647.06647272937</v>
      </c>
      <c r="BY28" s="447">
        <v>7451763.930298357</v>
      </c>
      <c r="BZ28" s="455">
        <v>0.9133333333333334</v>
      </c>
      <c r="CA28" s="447">
        <v>6805944.3896725</v>
      </c>
      <c r="CB28" s="447">
        <v>5118254.662569514</v>
      </c>
      <c r="CC28" s="447">
        <v>5111990.325626805</v>
      </c>
      <c r="CD28" s="447">
        <v>5030944.410665389</v>
      </c>
      <c r="CE28" s="447">
        <v>5111990.325626805</v>
      </c>
      <c r="CF28" s="454">
        <v>956.5850160229801</v>
      </c>
      <c r="CG28" s="450">
        <v>5344</v>
      </c>
      <c r="CH28" s="450">
        <v>66</v>
      </c>
      <c r="CI28" s="450">
        <v>682</v>
      </c>
      <c r="CJ28" s="450">
        <v>332</v>
      </c>
      <c r="CK28" s="450">
        <v>198</v>
      </c>
      <c r="CL28" s="450">
        <v>1042</v>
      </c>
      <c r="CM28" s="450">
        <v>0</v>
      </c>
      <c r="CN28" s="450">
        <v>73</v>
      </c>
      <c r="CO28" s="450">
        <v>33</v>
      </c>
      <c r="CP28" s="450">
        <v>2</v>
      </c>
      <c r="CQ28" s="450">
        <v>935</v>
      </c>
      <c r="CR28" s="450">
        <v>0</v>
      </c>
      <c r="CS28" s="450">
        <v>0</v>
      </c>
      <c r="CT28" s="450">
        <v>1981</v>
      </c>
      <c r="CU28" s="450">
        <v>0</v>
      </c>
      <c r="CV28" s="450">
        <v>0</v>
      </c>
      <c r="CW28" s="447">
        <v>3646447.094777545</v>
      </c>
      <c r="CX28" s="452">
        <v>0.8916081906480408</v>
      </c>
      <c r="CY28" s="452">
        <v>0.9133333333333334</v>
      </c>
      <c r="CZ28" s="447">
        <v>3251202.096468412</v>
      </c>
      <c r="DA28" s="454">
        <v>608.3836258361549</v>
      </c>
      <c r="DB28" s="449">
        <v>5344</v>
      </c>
      <c r="DC28" s="452">
        <v>1.024120508982036</v>
      </c>
      <c r="DD28" s="454">
        <v>321.1</v>
      </c>
      <c r="DE28" s="447">
        <v>32548</v>
      </c>
      <c r="DF28" s="454">
        <v>50.458105861540474</v>
      </c>
      <c r="DG28" s="454">
        <v>52.62780441358671</v>
      </c>
      <c r="DH28" s="454">
        <v>53.78561611068561</v>
      </c>
      <c r="DI28" s="454">
        <v>54.96889966512068</v>
      </c>
      <c r="DJ28" s="454">
        <v>56.78287335406966</v>
      </c>
      <c r="DK28" s="454">
        <v>58.82705679481615</v>
      </c>
      <c r="DL28" s="454">
        <v>60.709522612250254</v>
      </c>
      <c r="DM28" s="454">
        <v>63.19861303935251</v>
      </c>
      <c r="DN28" s="454">
        <v>65.97935201308401</v>
      </c>
      <c r="DO28" s="454">
        <v>69.60821637380363</v>
      </c>
      <c r="DP28" s="454">
        <v>68.9817424264394</v>
      </c>
      <c r="DQ28" s="454">
        <v>72.49981129018781</v>
      </c>
      <c r="DR28" s="454">
        <v>76.92229977888925</v>
      </c>
      <c r="DS28" s="454">
        <v>34.81</v>
      </c>
      <c r="DT28" s="454">
        <v>37.39679961106855</v>
      </c>
      <c r="DU28" s="454">
        <v>40.08057036502412</v>
      </c>
      <c r="DV28" s="454">
        <v>43.32568470794489</v>
      </c>
      <c r="DW28" s="454">
        <v>46.87707327705736</v>
      </c>
      <c r="DX28" s="454">
        <v>50.4325367869777</v>
      </c>
      <c r="DY28" s="454">
        <v>54.63993924406552</v>
      </c>
      <c r="DZ28" s="454">
        <v>58.03690273105769</v>
      </c>
      <c r="EA28" s="454">
        <v>59.98840732943892</v>
      </c>
      <c r="EB28" s="454">
        <v>62.55379855694805</v>
      </c>
      <c r="EC28" s="454">
        <v>67.09519608471948</v>
      </c>
      <c r="ED28" s="454">
        <v>72.62157722913783</v>
      </c>
      <c r="EE28" s="454">
        <v>-3.22</v>
      </c>
      <c r="EF28" s="454">
        <v>69.40157722913783</v>
      </c>
      <c r="EG28" s="454">
        <v>3608.882015915167</v>
      </c>
      <c r="EH28" s="447">
        <v>18900148.18318964</v>
      </c>
      <c r="EI28" s="454">
        <v>34.96</v>
      </c>
      <c r="EJ28" s="454">
        <v>37.534769611068555</v>
      </c>
      <c r="EK28" s="454">
        <v>40.20590844502413</v>
      </c>
      <c r="EL28" s="454">
        <v>43.438974665004885</v>
      </c>
      <c r="EM28" s="454">
        <v>46.97767475892664</v>
      </c>
      <c r="EN28" s="454">
        <v>50.519054061385276</v>
      </c>
      <c r="EO28" s="454">
        <v>54.71199083019216</v>
      </c>
      <c r="EP28" s="454">
        <v>58.10376660298321</v>
      </c>
      <c r="EQ28" s="454">
        <v>60.05217317529856</v>
      </c>
      <c r="ER28" s="454">
        <v>62.59640681206893</v>
      </c>
      <c r="ES28" s="454">
        <v>67.13102110562511</v>
      </c>
      <c r="ET28" s="454">
        <v>72.65008498952349</v>
      </c>
      <c r="EU28" s="447">
        <v>17963761</v>
      </c>
      <c r="EV28" s="447">
        <v>0</v>
      </c>
      <c r="EW28" s="447">
        <v>0</v>
      </c>
      <c r="EX28" s="447">
        <v>0</v>
      </c>
      <c r="EY28" s="447">
        <v>0</v>
      </c>
      <c r="EZ28" s="447">
        <v>0</v>
      </c>
      <c r="FA28" s="447">
        <v>0</v>
      </c>
      <c r="FB28" s="447">
        <v>0</v>
      </c>
      <c r="FC28" s="447">
        <v>0</v>
      </c>
      <c r="FD28" s="447">
        <v>17963761</v>
      </c>
      <c r="FE28" s="447">
        <v>49303.76753250651</v>
      </c>
      <c r="FF28" s="447">
        <v>0</v>
      </c>
      <c r="FG28" s="447">
        <v>0</v>
      </c>
      <c r="FH28" s="447">
        <v>7363</v>
      </c>
      <c r="FI28" s="456">
        <v>0.052000000000000005</v>
      </c>
      <c r="FJ28" s="447">
        <v>382.87600000000003</v>
      </c>
      <c r="FK28" s="471">
        <v>382.87600000000003</v>
      </c>
      <c r="FL28" s="498">
        <v>72.46</v>
      </c>
      <c r="FM28" s="37">
        <v>66.35</v>
      </c>
      <c r="FN28" s="37">
        <v>62.66</v>
      </c>
      <c r="FO28" s="37">
        <v>-3.69</v>
      </c>
      <c r="FP28" s="40">
        <v>63.13</v>
      </c>
      <c r="FQ28" s="446">
        <v>0</v>
      </c>
      <c r="FR28" s="450">
        <v>0</v>
      </c>
      <c r="FS28" s="450">
        <v>0</v>
      </c>
      <c r="FT28" s="450">
        <v>0</v>
      </c>
      <c r="FU28" s="450">
        <v>0</v>
      </c>
      <c r="FV28" s="450">
        <v>0</v>
      </c>
      <c r="FW28" s="450">
        <v>0</v>
      </c>
      <c r="FX28" s="450">
        <v>0</v>
      </c>
      <c r="FY28" s="450">
        <v>0</v>
      </c>
      <c r="FZ28" s="450">
        <v>0</v>
      </c>
      <c r="GA28" s="450">
        <v>0</v>
      </c>
      <c r="GB28" s="450">
        <v>0</v>
      </c>
      <c r="GC28" s="450">
        <v>0</v>
      </c>
      <c r="GD28" s="450">
        <v>0</v>
      </c>
      <c r="GE28" s="450">
        <v>0</v>
      </c>
      <c r="GF28" s="450">
        <v>0</v>
      </c>
      <c r="GG28" s="450">
        <v>0</v>
      </c>
      <c r="GH28" s="450">
        <v>0</v>
      </c>
      <c r="GI28" s="450">
        <v>0</v>
      </c>
      <c r="GJ28" s="450">
        <v>0</v>
      </c>
      <c r="GK28" s="450">
        <v>0</v>
      </c>
      <c r="GL28" s="450">
        <v>0</v>
      </c>
      <c r="GM28" s="450">
        <v>0</v>
      </c>
      <c r="GN28" s="450">
        <v>0</v>
      </c>
      <c r="GO28" s="450">
        <v>0</v>
      </c>
      <c r="GP28" s="450">
        <v>0</v>
      </c>
      <c r="GQ28" s="450">
        <v>0</v>
      </c>
      <c r="GR28" s="450">
        <v>0</v>
      </c>
      <c r="GS28" s="450">
        <v>0</v>
      </c>
      <c r="GT28" s="450">
        <v>0</v>
      </c>
      <c r="GU28" s="450">
        <v>0</v>
      </c>
      <c r="GV28" s="450">
        <v>0</v>
      </c>
      <c r="GW28" s="450">
        <v>0</v>
      </c>
      <c r="GX28" s="450">
        <v>6512085</v>
      </c>
      <c r="GY28" s="450">
        <v>6512085</v>
      </c>
      <c r="GZ28" s="450">
        <v>108</v>
      </c>
      <c r="HA28" s="450" t="s">
        <v>888</v>
      </c>
      <c r="HB28" s="450" t="s">
        <v>888</v>
      </c>
      <c r="HC28" s="450">
        <v>31</v>
      </c>
      <c r="HD28" s="450">
        <v>3</v>
      </c>
      <c r="HE28" s="450">
        <v>0</v>
      </c>
      <c r="HF28" s="450">
        <v>0</v>
      </c>
      <c r="HG28" s="472">
        <v>0</v>
      </c>
    </row>
    <row r="29" spans="2:215" ht="12.75">
      <c r="B29" s="445" t="s">
        <v>704</v>
      </c>
      <c r="C29" s="446">
        <v>5113.13</v>
      </c>
      <c r="D29" s="447">
        <v>1222159.29</v>
      </c>
      <c r="E29" s="447">
        <v>1048612.67082</v>
      </c>
      <c r="F29" s="447">
        <v>194854.102938174</v>
      </c>
      <c r="G29" s="447">
        <v>173546.61918000004</v>
      </c>
      <c r="H29" s="448">
        <v>0.5530174276812833</v>
      </c>
      <c r="I29" s="449">
        <v>2532.94</v>
      </c>
      <c r="J29" s="449">
        <v>294.71</v>
      </c>
      <c r="K29" s="447">
        <v>1243466.7737581742</v>
      </c>
      <c r="L29" s="447">
        <v>994773.4190065394</v>
      </c>
      <c r="M29" s="447">
        <v>355798.0392986602</v>
      </c>
      <c r="N29" s="447">
        <v>248693.3547516348</v>
      </c>
      <c r="O29" s="450">
        <v>1.4306696680898</v>
      </c>
      <c r="P29" s="451">
        <v>0.6686706576989045</v>
      </c>
      <c r="Q29" s="452">
        <v>0.33130391756125893</v>
      </c>
      <c r="R29" s="447">
        <v>1350571.4583051996</v>
      </c>
      <c r="S29" s="447">
        <v>912986.305814315</v>
      </c>
      <c r="T29" s="447">
        <v>121522.3030686369</v>
      </c>
      <c r="U29" s="447">
        <v>439736.7068827789</v>
      </c>
      <c r="V29" s="447">
        <v>307930.29249358556</v>
      </c>
      <c r="W29" s="450">
        <v>1.4280397791391017</v>
      </c>
      <c r="X29" s="452">
        <v>25.068525809571696</v>
      </c>
      <c r="Y29" s="447">
        <v>121522.3030686369</v>
      </c>
      <c r="Z29" s="447">
        <v>129654.85999729917</v>
      </c>
      <c r="AA29" s="448">
        <v>0.9372753406325712</v>
      </c>
      <c r="AB29" s="448">
        <v>0.07373174552573472</v>
      </c>
      <c r="AC29" s="449">
        <v>358</v>
      </c>
      <c r="AD29" s="449">
        <v>396</v>
      </c>
      <c r="AE29" s="447">
        <v>1474245.3157657308</v>
      </c>
      <c r="AF29" s="447">
        <v>32218.703374597884</v>
      </c>
      <c r="AG29" s="451">
        <v>0.25</v>
      </c>
      <c r="AH29" s="450">
        <v>0.21836185064544394</v>
      </c>
      <c r="AI29" s="452">
        <v>0.18388468027114868</v>
      </c>
      <c r="AJ29" s="447">
        <v>1506464.0191403287</v>
      </c>
      <c r="AK29" s="453">
        <v>1</v>
      </c>
      <c r="AL29" s="447">
        <v>1506464.0191403287</v>
      </c>
      <c r="AM29" s="447">
        <v>3543899.2630529385</v>
      </c>
      <c r="AN29" s="447">
        <v>3508920.275942554</v>
      </c>
      <c r="AO29" s="447">
        <v>3365573.65962934</v>
      </c>
      <c r="AP29" s="447">
        <v>3508920.275942554</v>
      </c>
      <c r="AQ29" s="447">
        <v>20452.52</v>
      </c>
      <c r="AR29" s="447">
        <v>3529372.7959425543</v>
      </c>
      <c r="AS29" s="454">
        <v>690.2568086363058</v>
      </c>
      <c r="AT29" s="450">
        <v>5102</v>
      </c>
      <c r="AU29" s="450">
        <v>0</v>
      </c>
      <c r="AV29" s="450">
        <v>282</v>
      </c>
      <c r="AW29" s="450">
        <v>16</v>
      </c>
      <c r="AX29" s="450">
        <v>0</v>
      </c>
      <c r="AY29" s="450">
        <v>852</v>
      </c>
      <c r="AZ29" s="450">
        <v>77</v>
      </c>
      <c r="BA29" s="450">
        <v>424</v>
      </c>
      <c r="BB29" s="450">
        <v>173</v>
      </c>
      <c r="BC29" s="450">
        <v>79</v>
      </c>
      <c r="BD29" s="450">
        <v>1073</v>
      </c>
      <c r="BE29" s="450">
        <v>1694</v>
      </c>
      <c r="BF29" s="450">
        <v>0</v>
      </c>
      <c r="BG29" s="450">
        <v>422</v>
      </c>
      <c r="BH29" s="450">
        <v>0</v>
      </c>
      <c r="BI29" s="450">
        <v>10</v>
      </c>
      <c r="BJ29" s="452">
        <v>1.7682535325697826</v>
      </c>
      <c r="BK29" s="452">
        <v>14.60764850327714</v>
      </c>
      <c r="BL29" s="452">
        <v>8.598973722574042</v>
      </c>
      <c r="BM29" s="452">
        <v>12.017349561406197</v>
      </c>
      <c r="BN29" s="449">
        <v>3408</v>
      </c>
      <c r="BO29" s="449">
        <v>1694</v>
      </c>
      <c r="BP29" s="447">
        <v>1810497.1094628747</v>
      </c>
      <c r="BQ29" s="447">
        <v>5709324</v>
      </c>
      <c r="BR29" s="447">
        <v>6731203</v>
      </c>
      <c r="BS29" s="448">
        <v>0.07389259114072913</v>
      </c>
      <c r="BT29" s="449">
        <v>358</v>
      </c>
      <c r="BU29" s="449">
        <v>396</v>
      </c>
      <c r="BV29" s="447">
        <v>497386.03116424935</v>
      </c>
      <c r="BW29" s="448">
        <v>0.006317308060972755</v>
      </c>
      <c r="BX29" s="447">
        <v>7441.44136484484</v>
      </c>
      <c r="BY29" s="447">
        <v>8024648.58199197</v>
      </c>
      <c r="BZ29" s="455">
        <v>1.0433333333333332</v>
      </c>
      <c r="CA29" s="447">
        <v>8372383.353878288</v>
      </c>
      <c r="CB29" s="447">
        <v>6296259.223456416</v>
      </c>
      <c r="CC29" s="447">
        <v>6288553.102551021</v>
      </c>
      <c r="CD29" s="447">
        <v>5978743.03594144</v>
      </c>
      <c r="CE29" s="447">
        <v>6288553.102551021</v>
      </c>
      <c r="CF29" s="454">
        <v>1232.5662686301491</v>
      </c>
      <c r="CG29" s="450">
        <v>5102</v>
      </c>
      <c r="CH29" s="450">
        <v>0</v>
      </c>
      <c r="CI29" s="450">
        <v>282</v>
      </c>
      <c r="CJ29" s="450">
        <v>16</v>
      </c>
      <c r="CK29" s="450">
        <v>0</v>
      </c>
      <c r="CL29" s="450">
        <v>852</v>
      </c>
      <c r="CM29" s="450">
        <v>77</v>
      </c>
      <c r="CN29" s="450">
        <v>424</v>
      </c>
      <c r="CO29" s="450">
        <v>173</v>
      </c>
      <c r="CP29" s="450">
        <v>79</v>
      </c>
      <c r="CQ29" s="450">
        <v>1073</v>
      </c>
      <c r="CR29" s="450">
        <v>1694</v>
      </c>
      <c r="CS29" s="450">
        <v>0</v>
      </c>
      <c r="CT29" s="450">
        <v>422</v>
      </c>
      <c r="CU29" s="450">
        <v>0</v>
      </c>
      <c r="CV29" s="450">
        <v>10</v>
      </c>
      <c r="CW29" s="447">
        <v>3931329.676387519</v>
      </c>
      <c r="CX29" s="452">
        <v>1.0185159258132725</v>
      </c>
      <c r="CY29" s="452">
        <v>1.0433333333333332</v>
      </c>
      <c r="CZ29" s="447">
        <v>4004121.885023027</v>
      </c>
      <c r="DA29" s="454">
        <v>784.8141679778571</v>
      </c>
      <c r="DB29" s="449">
        <v>5113.13</v>
      </c>
      <c r="DC29" s="452">
        <v>0.972585480908954</v>
      </c>
      <c r="DD29" s="454">
        <v>293.9</v>
      </c>
      <c r="DE29" s="447">
        <v>48623</v>
      </c>
      <c r="DF29" s="454">
        <v>50.55625869840695</v>
      </c>
      <c r="DG29" s="454">
        <v>52.73017782243844</v>
      </c>
      <c r="DH29" s="454">
        <v>53.890241734532076</v>
      </c>
      <c r="DI29" s="454">
        <v>55.07582705269177</v>
      </c>
      <c r="DJ29" s="454">
        <v>56.893329345430594</v>
      </c>
      <c r="DK29" s="454">
        <v>58.941489201866084</v>
      </c>
      <c r="DL29" s="454">
        <v>60.82761685632579</v>
      </c>
      <c r="DM29" s="454">
        <v>63.32154914743514</v>
      </c>
      <c r="DN29" s="454">
        <v>66.10769730992227</v>
      </c>
      <c r="DO29" s="454">
        <v>69.743620661968</v>
      </c>
      <c r="DP29" s="454">
        <v>69.11592807601028</v>
      </c>
      <c r="DQ29" s="454">
        <v>72.6408404078868</v>
      </c>
      <c r="DR29" s="454">
        <v>77.07193167276789</v>
      </c>
      <c r="DS29" s="454">
        <v>43.51</v>
      </c>
      <c r="DT29" s="454">
        <v>45.4095221734532</v>
      </c>
      <c r="DU29" s="454">
        <v>47.37156448253834</v>
      </c>
      <c r="DV29" s="454">
        <v>49.92963901483316</v>
      </c>
      <c r="DW29" s="454">
        <v>52.75773218829556</v>
      </c>
      <c r="DX29" s="454">
        <v>55.50958582465514</v>
      </c>
      <c r="DY29" s="454">
        <v>58.892692904259825</v>
      </c>
      <c r="DZ29" s="454">
        <v>61.997718716255584</v>
      </c>
      <c r="EA29" s="454">
        <v>63.77473245986694</v>
      </c>
      <c r="EB29" s="454">
        <v>65.12752475641939</v>
      </c>
      <c r="EC29" s="454">
        <v>69.28739089677478</v>
      </c>
      <c r="ED29" s="454">
        <v>74.40342422430051</v>
      </c>
      <c r="EE29" s="454">
        <v>-0.02</v>
      </c>
      <c r="EF29" s="454">
        <v>74.38342422430051</v>
      </c>
      <c r="EG29" s="454">
        <v>3867.9380596636265</v>
      </c>
      <c r="EH29" s="447">
        <v>19381724.72838772</v>
      </c>
      <c r="EI29" s="454">
        <v>48.94</v>
      </c>
      <c r="EJ29" s="454">
        <v>50.40403617345319</v>
      </c>
      <c r="EK29" s="454">
        <v>51.90880297853833</v>
      </c>
      <c r="EL29" s="454">
        <v>54.030735460405154</v>
      </c>
      <c r="EM29" s="454">
        <v>56.399505831963495</v>
      </c>
      <c r="EN29" s="454">
        <v>58.64151115820956</v>
      </c>
      <c r="EO29" s="454">
        <v>61.500960322043944</v>
      </c>
      <c r="EP29" s="454">
        <v>64.41819087995924</v>
      </c>
      <c r="EQ29" s="454">
        <v>66.08305607998567</v>
      </c>
      <c r="ER29" s="454">
        <v>66.66994359179493</v>
      </c>
      <c r="ES29" s="454">
        <v>70.58425665355853</v>
      </c>
      <c r="ET29" s="454">
        <v>75.43540515026118</v>
      </c>
      <c r="EU29" s="447">
        <v>23608497</v>
      </c>
      <c r="EV29" s="447">
        <v>0</v>
      </c>
      <c r="EW29" s="447">
        <v>0</v>
      </c>
      <c r="EX29" s="447">
        <v>0</v>
      </c>
      <c r="EY29" s="447">
        <v>0</v>
      </c>
      <c r="EZ29" s="447">
        <v>0</v>
      </c>
      <c r="FA29" s="447">
        <v>0</v>
      </c>
      <c r="FB29" s="447">
        <v>0</v>
      </c>
      <c r="FC29" s="447">
        <v>0</v>
      </c>
      <c r="FD29" s="447">
        <v>23608497</v>
      </c>
      <c r="FE29" s="447">
        <v>52063.108447820894</v>
      </c>
      <c r="FF29" s="447">
        <v>0</v>
      </c>
      <c r="FG29" s="447">
        <v>0</v>
      </c>
      <c r="FH29" s="447">
        <v>9509</v>
      </c>
      <c r="FI29" s="456">
        <v>0.0313</v>
      </c>
      <c r="FJ29" s="447">
        <v>297.6317</v>
      </c>
      <c r="FK29" s="471">
        <v>297.6317</v>
      </c>
      <c r="FL29" s="498">
        <v>72.56</v>
      </c>
      <c r="FM29" s="37">
        <v>69.85</v>
      </c>
      <c r="FN29" s="37">
        <v>69.83</v>
      </c>
      <c r="FO29" s="37">
        <v>-0.02</v>
      </c>
      <c r="FP29" s="40">
        <v>69.83</v>
      </c>
      <c r="FQ29" s="446">
        <v>0</v>
      </c>
      <c r="FR29" s="450">
        <v>2240</v>
      </c>
      <c r="FS29" s="450">
        <v>0</v>
      </c>
      <c r="FT29" s="450">
        <v>0</v>
      </c>
      <c r="FU29" s="450">
        <v>0</v>
      </c>
      <c r="FV29" s="450">
        <v>0</v>
      </c>
      <c r="FW29" s="450">
        <v>0</v>
      </c>
      <c r="FX29" s="450">
        <v>0</v>
      </c>
      <c r="FY29" s="450">
        <v>0</v>
      </c>
      <c r="FZ29" s="450">
        <v>0</v>
      </c>
      <c r="GA29" s="450">
        <v>0</v>
      </c>
      <c r="GB29" s="450">
        <v>0</v>
      </c>
      <c r="GC29" s="450">
        <v>0</v>
      </c>
      <c r="GD29" s="450">
        <v>0</v>
      </c>
      <c r="GE29" s="450">
        <v>0</v>
      </c>
      <c r="GF29" s="450">
        <v>0</v>
      </c>
      <c r="GG29" s="450">
        <v>0</v>
      </c>
      <c r="GH29" s="450">
        <v>0</v>
      </c>
      <c r="GI29" s="450">
        <v>0</v>
      </c>
      <c r="GJ29" s="450">
        <v>0</v>
      </c>
      <c r="GK29" s="450">
        <v>0</v>
      </c>
      <c r="GL29" s="450">
        <v>0</v>
      </c>
      <c r="GM29" s="450">
        <v>0</v>
      </c>
      <c r="GN29" s="450">
        <v>0</v>
      </c>
      <c r="GO29" s="450">
        <v>0</v>
      </c>
      <c r="GP29" s="450">
        <v>0</v>
      </c>
      <c r="GQ29" s="450">
        <v>0</v>
      </c>
      <c r="GR29" s="450">
        <v>0</v>
      </c>
      <c r="GS29" s="450">
        <v>0</v>
      </c>
      <c r="GT29" s="450">
        <v>0</v>
      </c>
      <c r="GU29" s="450">
        <v>0</v>
      </c>
      <c r="GV29" s="450">
        <v>0</v>
      </c>
      <c r="GW29" s="450">
        <v>3200490</v>
      </c>
      <c r="GX29" s="450">
        <v>11869760</v>
      </c>
      <c r="GY29" s="450">
        <v>15179969</v>
      </c>
      <c r="GZ29" s="450">
        <v>0</v>
      </c>
      <c r="HA29" s="450" t="s">
        <v>888</v>
      </c>
      <c r="HB29" s="450" t="s">
        <v>889</v>
      </c>
      <c r="HC29" s="450">
        <v>0</v>
      </c>
      <c r="HD29" s="450">
        <v>0</v>
      </c>
      <c r="HE29" s="450">
        <v>0</v>
      </c>
      <c r="HF29" s="450">
        <v>0</v>
      </c>
      <c r="HG29" s="472">
        <v>0</v>
      </c>
    </row>
    <row r="30" spans="2:215" ht="12.75">
      <c r="B30" s="445" t="s">
        <v>705</v>
      </c>
      <c r="C30" s="446">
        <v>9017</v>
      </c>
      <c r="D30" s="447">
        <v>2131761</v>
      </c>
      <c r="E30" s="447">
        <v>1829050.938</v>
      </c>
      <c r="F30" s="447">
        <v>436377.319919207</v>
      </c>
      <c r="G30" s="447">
        <v>302710.06200000003</v>
      </c>
      <c r="H30" s="448">
        <v>0.7100365975379839</v>
      </c>
      <c r="I30" s="449">
        <v>6124.98</v>
      </c>
      <c r="J30" s="449">
        <v>277.42</v>
      </c>
      <c r="K30" s="447">
        <v>2265428.257919207</v>
      </c>
      <c r="L30" s="447">
        <v>1812342.606335366</v>
      </c>
      <c r="M30" s="447">
        <v>803489.6430798951</v>
      </c>
      <c r="N30" s="447">
        <v>453085.65158384136</v>
      </c>
      <c r="O30" s="450">
        <v>1.7733725185760227</v>
      </c>
      <c r="P30" s="451">
        <v>0.40490185205722523</v>
      </c>
      <c r="Q30" s="452">
        <v>0.5949872463125208</v>
      </c>
      <c r="R30" s="447">
        <v>2615832.2494152607</v>
      </c>
      <c r="S30" s="447">
        <v>1768302.6006047165</v>
      </c>
      <c r="T30" s="447">
        <v>142494.33972697385</v>
      </c>
      <c r="U30" s="447">
        <v>898853.1561676</v>
      </c>
      <c r="V30" s="447">
        <v>596409.7528666795</v>
      </c>
      <c r="W30" s="450">
        <v>1.5071067363456214</v>
      </c>
      <c r="X30" s="452">
        <v>26.456506793274297</v>
      </c>
      <c r="Y30" s="447">
        <v>142494.33972697385</v>
      </c>
      <c r="Z30" s="447">
        <v>251119.89594386503</v>
      </c>
      <c r="AA30" s="448">
        <v>0.5674354841196129</v>
      </c>
      <c r="AB30" s="448">
        <v>0.044637906177220806</v>
      </c>
      <c r="AC30" s="449">
        <v>372</v>
      </c>
      <c r="AD30" s="449">
        <v>433</v>
      </c>
      <c r="AE30" s="447">
        <v>2809650.0964992903</v>
      </c>
      <c r="AF30" s="447">
        <v>296644.0644671212</v>
      </c>
      <c r="AG30" s="451">
        <v>1</v>
      </c>
      <c r="AH30" s="450">
        <v>0.3189321614975942</v>
      </c>
      <c r="AI30" s="452">
        <v>0.2685759365558624</v>
      </c>
      <c r="AJ30" s="447">
        <v>3106294.1609664117</v>
      </c>
      <c r="AK30" s="453">
        <v>1.1108</v>
      </c>
      <c r="AL30" s="447">
        <v>3450471.55400149</v>
      </c>
      <c r="AM30" s="447">
        <v>8117102.9922035895</v>
      </c>
      <c r="AN30" s="447">
        <v>8036985.57918961</v>
      </c>
      <c r="AO30" s="447">
        <v>7637770.710486932</v>
      </c>
      <c r="AP30" s="447">
        <v>8036985.57918961</v>
      </c>
      <c r="AQ30" s="447">
        <v>36068</v>
      </c>
      <c r="AR30" s="447">
        <v>8073053.57918961</v>
      </c>
      <c r="AS30" s="454">
        <v>895.3148030597328</v>
      </c>
      <c r="AT30" s="450">
        <v>9003</v>
      </c>
      <c r="AU30" s="450">
        <v>64</v>
      </c>
      <c r="AV30" s="450">
        <v>384</v>
      </c>
      <c r="AW30" s="450">
        <v>506</v>
      </c>
      <c r="AX30" s="450">
        <v>1</v>
      </c>
      <c r="AY30" s="450">
        <v>140</v>
      </c>
      <c r="AZ30" s="450">
        <v>122</v>
      </c>
      <c r="BA30" s="450">
        <v>478</v>
      </c>
      <c r="BB30" s="450">
        <v>299</v>
      </c>
      <c r="BC30" s="450">
        <v>1071</v>
      </c>
      <c r="BD30" s="450">
        <v>445</v>
      </c>
      <c r="BE30" s="450">
        <v>3173</v>
      </c>
      <c r="BF30" s="450">
        <v>2192</v>
      </c>
      <c r="BG30" s="450">
        <v>128</v>
      </c>
      <c r="BH30" s="450">
        <v>0</v>
      </c>
      <c r="BI30" s="450">
        <v>0</v>
      </c>
      <c r="BJ30" s="452">
        <v>2.3994482273315545</v>
      </c>
      <c r="BK30" s="452">
        <v>19.66498843487069</v>
      </c>
      <c r="BL30" s="452">
        <v>6.595771292445533</v>
      </c>
      <c r="BM30" s="452">
        <v>26.138434284850316</v>
      </c>
      <c r="BN30" s="449">
        <v>3638</v>
      </c>
      <c r="BO30" s="449">
        <v>5365</v>
      </c>
      <c r="BP30" s="447">
        <v>3922368.419425983</v>
      </c>
      <c r="BQ30" s="447">
        <v>10726863</v>
      </c>
      <c r="BR30" s="447">
        <v>11944125</v>
      </c>
      <c r="BS30" s="448">
        <v>0.044707319782294794</v>
      </c>
      <c r="BT30" s="449">
        <v>372</v>
      </c>
      <c r="BU30" s="449">
        <v>433</v>
      </c>
      <c r="BV30" s="447">
        <v>533989.8158947018</v>
      </c>
      <c r="BW30" s="448">
        <v>0.014172233873203221</v>
      </c>
      <c r="BX30" s="447">
        <v>39657.33263849052</v>
      </c>
      <c r="BY30" s="447">
        <v>15222878.567959175</v>
      </c>
      <c r="BZ30" s="455">
        <v>1.1433333333333333</v>
      </c>
      <c r="CA30" s="447">
        <v>17404824.496033322</v>
      </c>
      <c r="CB30" s="447">
        <v>13088899.795185259</v>
      </c>
      <c r="CC30" s="447">
        <v>13072880.022053216</v>
      </c>
      <c r="CD30" s="447">
        <v>12718347.772509549</v>
      </c>
      <c r="CE30" s="447">
        <v>13072880.022053216</v>
      </c>
      <c r="CF30" s="454">
        <v>1452.0582052708226</v>
      </c>
      <c r="CG30" s="450">
        <v>9003</v>
      </c>
      <c r="CH30" s="450">
        <v>64</v>
      </c>
      <c r="CI30" s="450">
        <v>384</v>
      </c>
      <c r="CJ30" s="450">
        <v>506</v>
      </c>
      <c r="CK30" s="450">
        <v>1</v>
      </c>
      <c r="CL30" s="450">
        <v>140</v>
      </c>
      <c r="CM30" s="450">
        <v>122</v>
      </c>
      <c r="CN30" s="450">
        <v>478</v>
      </c>
      <c r="CO30" s="450">
        <v>299</v>
      </c>
      <c r="CP30" s="450">
        <v>1071</v>
      </c>
      <c r="CQ30" s="450">
        <v>445</v>
      </c>
      <c r="CR30" s="450">
        <v>3173</v>
      </c>
      <c r="CS30" s="450">
        <v>2192</v>
      </c>
      <c r="CT30" s="450">
        <v>128</v>
      </c>
      <c r="CU30" s="450">
        <v>0</v>
      </c>
      <c r="CV30" s="450">
        <v>0</v>
      </c>
      <c r="CW30" s="447">
        <v>7175476.410320283</v>
      </c>
      <c r="CX30" s="452">
        <v>1.116137260555759</v>
      </c>
      <c r="CY30" s="452">
        <v>1.1433333333333333</v>
      </c>
      <c r="CZ30" s="447">
        <v>8008816.583797351</v>
      </c>
      <c r="DA30" s="454">
        <v>889.5719853157116</v>
      </c>
      <c r="DB30" s="449">
        <v>9017</v>
      </c>
      <c r="DC30" s="452">
        <v>0.9939004103360319</v>
      </c>
      <c r="DD30" s="454">
        <v>354.1</v>
      </c>
      <c r="DE30" s="447">
        <v>84912</v>
      </c>
      <c r="DF30" s="454">
        <v>70.49589173392397</v>
      </c>
      <c r="DG30" s="454">
        <v>73.5272150784827</v>
      </c>
      <c r="DH30" s="454">
        <v>75.1448138102093</v>
      </c>
      <c r="DI30" s="454">
        <v>76.79799971403389</v>
      </c>
      <c r="DJ30" s="454">
        <v>79.332333704597</v>
      </c>
      <c r="DK30" s="454">
        <v>82.18829771796248</v>
      </c>
      <c r="DL30" s="454">
        <v>84.81832324493726</v>
      </c>
      <c r="DM30" s="454">
        <v>88.29587449797968</v>
      </c>
      <c r="DN30" s="454">
        <v>92.18089297589077</v>
      </c>
      <c r="DO30" s="454">
        <v>97.25084208956476</v>
      </c>
      <c r="DP30" s="454">
        <v>96.37558451075867</v>
      </c>
      <c r="DQ30" s="454">
        <v>101.29073932080736</v>
      </c>
      <c r="DR30" s="454">
        <v>107.46947441937661</v>
      </c>
      <c r="DS30" s="454">
        <v>52.11</v>
      </c>
      <c r="DT30" s="454">
        <v>55.445259381020925</v>
      </c>
      <c r="DU30" s="454">
        <v>58.902048934806764</v>
      </c>
      <c r="DV30" s="454">
        <v>63.156631194023085</v>
      </c>
      <c r="DW30" s="454">
        <v>67.82427388857285</v>
      </c>
      <c r="DX30" s="454">
        <v>72.46526275166218</v>
      </c>
      <c r="DY30" s="454">
        <v>78.0082457191802</v>
      </c>
      <c r="DZ30" s="454">
        <v>82.63397346916484</v>
      </c>
      <c r="EA30" s="454">
        <v>85.28865550439785</v>
      </c>
      <c r="EB30" s="454">
        <v>88.38246702046101</v>
      </c>
      <c r="EC30" s="454">
        <v>94.5701261349651</v>
      </c>
      <c r="ED30" s="454">
        <v>102.12154647674262</v>
      </c>
      <c r="EE30" s="454">
        <v>-1.65</v>
      </c>
      <c r="EF30" s="454">
        <v>100.47154647674262</v>
      </c>
      <c r="EG30" s="454">
        <v>5224.520416790616</v>
      </c>
      <c r="EH30" s="447">
        <v>46167310.58623696</v>
      </c>
      <c r="EI30" s="454">
        <v>65.84</v>
      </c>
      <c r="EJ30" s="454">
        <v>68.07411338102092</v>
      </c>
      <c r="EK30" s="454">
        <v>70.37466119080676</v>
      </c>
      <c r="EL30" s="454">
        <v>73.52643859691509</v>
      </c>
      <c r="EM30" s="454">
        <v>77.03266286234093</v>
      </c>
      <c r="EN30" s="454">
        <v>80.38447726910273</v>
      </c>
      <c r="EO30" s="454">
        <v>84.6033675693047</v>
      </c>
      <c r="EP30" s="454">
        <v>88.75424654608038</v>
      </c>
      <c r="EQ30" s="454">
        <v>91.12535592874964</v>
      </c>
      <c r="ER30" s="454">
        <v>92.28254263919148</v>
      </c>
      <c r="ES30" s="454">
        <v>97.84930971519366</v>
      </c>
      <c r="ET30" s="454">
        <v>104.7309568107095</v>
      </c>
      <c r="EU30" s="447">
        <v>397290867</v>
      </c>
      <c r="EV30" s="447">
        <v>0</v>
      </c>
      <c r="EW30" s="447">
        <v>0</v>
      </c>
      <c r="EX30" s="447">
        <v>0</v>
      </c>
      <c r="EY30" s="447">
        <v>0</v>
      </c>
      <c r="EZ30" s="447">
        <v>0</v>
      </c>
      <c r="FA30" s="447">
        <v>0</v>
      </c>
      <c r="FB30" s="447">
        <v>0</v>
      </c>
      <c r="FC30" s="447">
        <v>0</v>
      </c>
      <c r="FD30" s="447">
        <v>397290867</v>
      </c>
      <c r="FE30" s="447">
        <v>234731.8909865704</v>
      </c>
      <c r="FF30" s="447">
        <v>0</v>
      </c>
      <c r="FG30" s="447">
        <v>0</v>
      </c>
      <c r="FH30" s="447">
        <v>103650</v>
      </c>
      <c r="FI30" s="456">
        <v>0.051699999999999996</v>
      </c>
      <c r="FJ30" s="447">
        <v>5358.705</v>
      </c>
      <c r="FK30" s="471">
        <v>5358.705</v>
      </c>
      <c r="FL30" s="498">
        <v>101.05</v>
      </c>
      <c r="FM30" s="37">
        <v>99.59</v>
      </c>
      <c r="FN30" s="37">
        <v>97.94</v>
      </c>
      <c r="FO30" s="37">
        <v>-1.65</v>
      </c>
      <c r="FP30" s="40">
        <v>95.29</v>
      </c>
      <c r="FQ30" s="446">
        <v>13959831</v>
      </c>
      <c r="FR30" s="450">
        <v>1040587</v>
      </c>
      <c r="FS30" s="450">
        <v>118371</v>
      </c>
      <c r="FT30" s="450">
        <v>118371</v>
      </c>
      <c r="FU30" s="450">
        <v>118034</v>
      </c>
      <c r="FV30" s="450">
        <v>118034</v>
      </c>
      <c r="FW30" s="450">
        <v>231838</v>
      </c>
      <c r="FX30" s="450">
        <v>345649</v>
      </c>
      <c r="FY30" s="450">
        <v>345649</v>
      </c>
      <c r="FZ30" s="450">
        <v>345649</v>
      </c>
      <c r="GA30" s="450">
        <v>345649</v>
      </c>
      <c r="GB30" s="450">
        <v>345649</v>
      </c>
      <c r="GC30" s="450">
        <v>345649</v>
      </c>
      <c r="GD30" s="450">
        <v>345613</v>
      </c>
      <c r="GE30" s="450">
        <v>346613</v>
      </c>
      <c r="GF30" s="450">
        <v>346613</v>
      </c>
      <c r="GG30" s="450">
        <v>345603</v>
      </c>
      <c r="GH30" s="450">
        <v>345603</v>
      </c>
      <c r="GI30" s="450">
        <v>345603</v>
      </c>
      <c r="GJ30" s="450">
        <v>345603</v>
      </c>
      <c r="GK30" s="450">
        <v>345566</v>
      </c>
      <c r="GL30" s="450">
        <v>345566</v>
      </c>
      <c r="GM30" s="450">
        <v>345552</v>
      </c>
      <c r="GN30" s="450">
        <v>345536</v>
      </c>
      <c r="GO30" s="450">
        <v>345516</v>
      </c>
      <c r="GP30" s="450">
        <v>345398</v>
      </c>
      <c r="GQ30" s="450">
        <v>345398</v>
      </c>
      <c r="GR30" s="450">
        <v>345398</v>
      </c>
      <c r="GS30" s="450">
        <v>345398</v>
      </c>
      <c r="GT30" s="450">
        <v>345398</v>
      </c>
      <c r="GU30" s="450">
        <v>345398</v>
      </c>
      <c r="GV30" s="450">
        <v>345398</v>
      </c>
      <c r="GW30" s="450">
        <v>0</v>
      </c>
      <c r="GX30" s="450">
        <v>331263846</v>
      </c>
      <c r="GY30" s="450">
        <v>338425489</v>
      </c>
      <c r="GZ30" s="450">
        <v>7</v>
      </c>
      <c r="HA30" s="450" t="s">
        <v>888</v>
      </c>
      <c r="HB30" s="450" t="s">
        <v>888</v>
      </c>
      <c r="HC30" s="450">
        <v>156</v>
      </c>
      <c r="HD30" s="450">
        <v>256</v>
      </c>
      <c r="HE30" s="450">
        <v>76</v>
      </c>
      <c r="HF30" s="450">
        <v>253</v>
      </c>
      <c r="HG30" s="472">
        <v>0</v>
      </c>
    </row>
    <row r="31" spans="2:215" ht="12.75">
      <c r="B31" s="445" t="s">
        <v>706</v>
      </c>
      <c r="C31" s="446">
        <v>2541.2</v>
      </c>
      <c r="D31" s="447">
        <v>622899.6</v>
      </c>
      <c r="E31" s="447">
        <v>534447.8568</v>
      </c>
      <c r="F31" s="447">
        <v>88974.40788586996</v>
      </c>
      <c r="G31" s="447">
        <v>88451.74320000001</v>
      </c>
      <c r="H31" s="448">
        <v>0.4954549031953408</v>
      </c>
      <c r="I31" s="449">
        <v>1087.58</v>
      </c>
      <c r="J31" s="449">
        <v>171.47</v>
      </c>
      <c r="K31" s="447">
        <v>623422.2646858699</v>
      </c>
      <c r="L31" s="447">
        <v>498737.81174869597</v>
      </c>
      <c r="M31" s="447">
        <v>155992.94869477302</v>
      </c>
      <c r="N31" s="447">
        <v>124684.45293717395</v>
      </c>
      <c r="O31" s="450">
        <v>1.2511018416496145</v>
      </c>
      <c r="P31" s="451">
        <v>0.8067054934676532</v>
      </c>
      <c r="Q31" s="452">
        <v>0.19321580355737447</v>
      </c>
      <c r="R31" s="447">
        <v>654730.760443469</v>
      </c>
      <c r="S31" s="447">
        <v>442597.9940597851</v>
      </c>
      <c r="T31" s="447">
        <v>55652.03807938156</v>
      </c>
      <c r="U31" s="447">
        <v>92056.7489759832</v>
      </c>
      <c r="V31" s="447">
        <v>149278.61338111095</v>
      </c>
      <c r="W31" s="450">
        <v>0.6166774120614363</v>
      </c>
      <c r="X31" s="452">
        <v>10.82546428066704</v>
      </c>
      <c r="Y31" s="447">
        <v>55652.03807938156</v>
      </c>
      <c r="Z31" s="447">
        <v>62854.15300257303</v>
      </c>
      <c r="AA31" s="448">
        <v>0.8854154486355635</v>
      </c>
      <c r="AB31" s="448">
        <v>0.06965213285062176</v>
      </c>
      <c r="AC31" s="449">
        <v>173</v>
      </c>
      <c r="AD31" s="449">
        <v>181</v>
      </c>
      <c r="AE31" s="447">
        <v>590306.7811151498</v>
      </c>
      <c r="AF31" s="447">
        <v>0</v>
      </c>
      <c r="AG31" s="451">
        <v>0</v>
      </c>
      <c r="AH31" s="450">
        <v>0.003956767101893651</v>
      </c>
      <c r="AI31" s="452">
        <v>0.003332032822072506</v>
      </c>
      <c r="AJ31" s="447">
        <v>590306.7811151498</v>
      </c>
      <c r="AK31" s="453">
        <v>1.072</v>
      </c>
      <c r="AL31" s="447">
        <v>632808.8693554407</v>
      </c>
      <c r="AM31" s="447">
        <v>1488658.7779520063</v>
      </c>
      <c r="AN31" s="447">
        <v>1473965.4211885622</v>
      </c>
      <c r="AO31" s="447">
        <v>1447119.1490057544</v>
      </c>
      <c r="AP31" s="447">
        <v>1473965.4211885622</v>
      </c>
      <c r="AQ31" s="447">
        <v>10164.8</v>
      </c>
      <c r="AR31" s="447">
        <v>1484130.2211885622</v>
      </c>
      <c r="AS31" s="454">
        <v>584.0273182703299</v>
      </c>
      <c r="AT31" s="450">
        <v>2533</v>
      </c>
      <c r="AU31" s="450">
        <v>0</v>
      </c>
      <c r="AV31" s="450">
        <v>173</v>
      </c>
      <c r="AW31" s="450">
        <v>31</v>
      </c>
      <c r="AX31" s="450">
        <v>392</v>
      </c>
      <c r="AY31" s="450">
        <v>269</v>
      </c>
      <c r="AZ31" s="450">
        <v>96</v>
      </c>
      <c r="BA31" s="450">
        <v>29</v>
      </c>
      <c r="BB31" s="450">
        <v>3</v>
      </c>
      <c r="BC31" s="450">
        <v>16</v>
      </c>
      <c r="BD31" s="450">
        <v>709</v>
      </c>
      <c r="BE31" s="450">
        <v>376</v>
      </c>
      <c r="BF31" s="450">
        <v>115</v>
      </c>
      <c r="BG31" s="450">
        <v>324</v>
      </c>
      <c r="BH31" s="450">
        <v>0</v>
      </c>
      <c r="BI31" s="450">
        <v>0</v>
      </c>
      <c r="BJ31" s="452">
        <v>1.4084258372824447</v>
      </c>
      <c r="BK31" s="452">
        <v>9.527685579503071</v>
      </c>
      <c r="BL31" s="452">
        <v>3.629316235618271</v>
      </c>
      <c r="BM31" s="452">
        <v>11.796738687769599</v>
      </c>
      <c r="BN31" s="449">
        <v>2042</v>
      </c>
      <c r="BO31" s="449">
        <v>491</v>
      </c>
      <c r="BP31" s="447">
        <v>671157.1642402034</v>
      </c>
      <c r="BQ31" s="447">
        <v>2647536</v>
      </c>
      <c r="BR31" s="447">
        <v>3354709</v>
      </c>
      <c r="BS31" s="448">
        <v>0.0698776154757205</v>
      </c>
      <c r="BT31" s="449">
        <v>173</v>
      </c>
      <c r="BU31" s="449">
        <v>181</v>
      </c>
      <c r="BV31" s="447">
        <v>234419.06553493883</v>
      </c>
      <c r="BW31" s="448">
        <v>0.005238072398512998</v>
      </c>
      <c r="BX31" s="447">
        <v>1998.0131734764186</v>
      </c>
      <c r="BY31" s="447">
        <v>3555110.2429486187</v>
      </c>
      <c r="BZ31" s="455">
        <v>1.04</v>
      </c>
      <c r="CA31" s="447">
        <v>3697314.6526665636</v>
      </c>
      <c r="CB31" s="447">
        <v>2780480.8380028256</v>
      </c>
      <c r="CC31" s="447">
        <v>2777077.7504309285</v>
      </c>
      <c r="CD31" s="447">
        <v>2739645.2107483745</v>
      </c>
      <c r="CE31" s="447">
        <v>2777077.7504309285</v>
      </c>
      <c r="CF31" s="454">
        <v>1096.3591592700072</v>
      </c>
      <c r="CG31" s="450">
        <v>2533</v>
      </c>
      <c r="CH31" s="450">
        <v>0</v>
      </c>
      <c r="CI31" s="450">
        <v>173</v>
      </c>
      <c r="CJ31" s="450">
        <v>31</v>
      </c>
      <c r="CK31" s="450">
        <v>392</v>
      </c>
      <c r="CL31" s="450">
        <v>269</v>
      </c>
      <c r="CM31" s="450">
        <v>96</v>
      </c>
      <c r="CN31" s="450">
        <v>29</v>
      </c>
      <c r="CO31" s="450">
        <v>3</v>
      </c>
      <c r="CP31" s="450">
        <v>16</v>
      </c>
      <c r="CQ31" s="450">
        <v>709</v>
      </c>
      <c r="CR31" s="450">
        <v>376</v>
      </c>
      <c r="CS31" s="450">
        <v>115</v>
      </c>
      <c r="CT31" s="450">
        <v>324</v>
      </c>
      <c r="CU31" s="450">
        <v>0</v>
      </c>
      <c r="CV31" s="450">
        <v>0</v>
      </c>
      <c r="CW31" s="447">
        <v>1942628.8623516767</v>
      </c>
      <c r="CX31" s="452">
        <v>1.0152618813218566</v>
      </c>
      <c r="CY31" s="452">
        <v>1.04</v>
      </c>
      <c r="CZ31" s="447">
        <v>1972277.0335013012</v>
      </c>
      <c r="DA31" s="454">
        <v>778.6328596530996</v>
      </c>
      <c r="DB31" s="449">
        <v>2541.2</v>
      </c>
      <c r="DC31" s="452">
        <v>0.9888163072564145</v>
      </c>
      <c r="DD31" s="454">
        <v>325.9</v>
      </c>
      <c r="DE31" s="447">
        <v>58759</v>
      </c>
      <c r="DF31" s="454">
        <v>58.29481649553715</v>
      </c>
      <c r="DG31" s="454">
        <v>60.80149360484524</v>
      </c>
      <c r="DH31" s="454">
        <v>62.13912646415182</v>
      </c>
      <c r="DI31" s="454">
        <v>63.50618724636315</v>
      </c>
      <c r="DJ31" s="454">
        <v>65.60189142549312</v>
      </c>
      <c r="DK31" s="454">
        <v>67.96355951681086</v>
      </c>
      <c r="DL31" s="454">
        <v>70.1383934213488</v>
      </c>
      <c r="DM31" s="454">
        <v>73.0140675516241</v>
      </c>
      <c r="DN31" s="454">
        <v>76.22668652389554</v>
      </c>
      <c r="DO31" s="454">
        <v>80.41915428270978</v>
      </c>
      <c r="DP31" s="454">
        <v>79.6953818941654</v>
      </c>
      <c r="DQ31" s="454">
        <v>83.75984637076782</v>
      </c>
      <c r="DR31" s="454">
        <v>88.86919699938466</v>
      </c>
      <c r="DS31" s="454">
        <v>51.97</v>
      </c>
      <c r="DT31" s="454">
        <v>54.01591864641517</v>
      </c>
      <c r="DU31" s="454">
        <v>56.12670423327261</v>
      </c>
      <c r="DV31" s="454">
        <v>58.93176121703592</v>
      </c>
      <c r="DW31" s="454">
        <v>62.040483891700866</v>
      </c>
      <c r="DX31" s="454">
        <v>65.0445483837542</v>
      </c>
      <c r="DY31" s="454">
        <v>68.77191340431531</v>
      </c>
      <c r="DZ31" s="454">
        <v>72.289967475193</v>
      </c>
      <c r="EA31" s="454">
        <v>74.3018092676897</v>
      </c>
      <c r="EB31" s="454">
        <v>75.60777992561108</v>
      </c>
      <c r="EC31" s="454">
        <v>80.32299063560735</v>
      </c>
      <c r="ED31" s="454">
        <v>86.13431904813072</v>
      </c>
      <c r="EE31" s="454">
        <v>0</v>
      </c>
      <c r="EF31" s="454">
        <v>86.13431904813072</v>
      </c>
      <c r="EG31" s="454">
        <v>4478.984590502798</v>
      </c>
      <c r="EH31" s="447">
        <v>11154355.728557995</v>
      </c>
      <c r="EI31" s="454">
        <v>54.82</v>
      </c>
      <c r="EJ31" s="454">
        <v>56.63734864641517</v>
      </c>
      <c r="EK31" s="454">
        <v>58.50812775327261</v>
      </c>
      <c r="EL31" s="454">
        <v>61.084270401175914</v>
      </c>
      <c r="EM31" s="454">
        <v>63.951912047217185</v>
      </c>
      <c r="EN31" s="454">
        <v>66.68837659749823</v>
      </c>
      <c r="EO31" s="454">
        <v>70.14089354072134</v>
      </c>
      <c r="EP31" s="454">
        <v>73.56038104177779</v>
      </c>
      <c r="EQ31" s="454">
        <v>75.51336033902273</v>
      </c>
      <c r="ER31" s="454">
        <v>76.41733677290763</v>
      </c>
      <c r="ES31" s="454">
        <v>81.0036660328143</v>
      </c>
      <c r="ET31" s="454">
        <v>86.67596649545814</v>
      </c>
      <c r="EU31" s="447">
        <v>3577703</v>
      </c>
      <c r="EV31" s="447">
        <v>0</v>
      </c>
      <c r="EW31" s="447">
        <v>0</v>
      </c>
      <c r="EX31" s="447">
        <v>0</v>
      </c>
      <c r="EY31" s="447">
        <v>0</v>
      </c>
      <c r="EZ31" s="447">
        <v>0</v>
      </c>
      <c r="FA31" s="447">
        <v>0</v>
      </c>
      <c r="FB31" s="447">
        <v>0</v>
      </c>
      <c r="FC31" s="447">
        <v>0</v>
      </c>
      <c r="FD31" s="447">
        <v>3577703</v>
      </c>
      <c r="FE31" s="447">
        <v>42271.36806342843</v>
      </c>
      <c r="FF31" s="447">
        <v>0</v>
      </c>
      <c r="FG31" s="447">
        <v>0</v>
      </c>
      <c r="FH31" s="447">
        <v>11472</v>
      </c>
      <c r="FI31" s="456">
        <v>0.0711</v>
      </c>
      <c r="FJ31" s="447">
        <v>815.6591999999999</v>
      </c>
      <c r="FK31" s="471">
        <v>815.6591999999999</v>
      </c>
      <c r="FL31" s="498">
        <v>83.74</v>
      </c>
      <c r="FM31" s="37">
        <v>79.32</v>
      </c>
      <c r="FN31" s="37">
        <v>79.22</v>
      </c>
      <c r="FO31" s="37">
        <v>-0.1</v>
      </c>
      <c r="FP31" s="40">
        <v>83.72</v>
      </c>
      <c r="FQ31" s="446">
        <v>0</v>
      </c>
      <c r="FR31" s="450">
        <v>0</v>
      </c>
      <c r="FS31" s="450">
        <v>0</v>
      </c>
      <c r="FT31" s="450">
        <v>0</v>
      </c>
      <c r="FU31" s="450">
        <v>0</v>
      </c>
      <c r="FV31" s="450">
        <v>0</v>
      </c>
      <c r="FW31" s="450">
        <v>0</v>
      </c>
      <c r="FX31" s="450">
        <v>0</v>
      </c>
      <c r="FY31" s="450">
        <v>0</v>
      </c>
      <c r="FZ31" s="450">
        <v>0</v>
      </c>
      <c r="GA31" s="450">
        <v>0</v>
      </c>
      <c r="GB31" s="450">
        <v>0</v>
      </c>
      <c r="GC31" s="450">
        <v>0</v>
      </c>
      <c r="GD31" s="450">
        <v>0</v>
      </c>
      <c r="GE31" s="450">
        <v>0</v>
      </c>
      <c r="GF31" s="450">
        <v>0</v>
      </c>
      <c r="GG31" s="450">
        <v>0</v>
      </c>
      <c r="GH31" s="450">
        <v>0</v>
      </c>
      <c r="GI31" s="450">
        <v>0</v>
      </c>
      <c r="GJ31" s="450">
        <v>0</v>
      </c>
      <c r="GK31" s="450">
        <v>0</v>
      </c>
      <c r="GL31" s="450">
        <v>0</v>
      </c>
      <c r="GM31" s="450">
        <v>0</v>
      </c>
      <c r="GN31" s="450">
        <v>0</v>
      </c>
      <c r="GO31" s="450">
        <v>0</v>
      </c>
      <c r="GP31" s="450">
        <v>0</v>
      </c>
      <c r="GQ31" s="450">
        <v>0</v>
      </c>
      <c r="GR31" s="450">
        <v>0</v>
      </c>
      <c r="GS31" s="450">
        <v>0</v>
      </c>
      <c r="GT31" s="450">
        <v>0</v>
      </c>
      <c r="GU31" s="450">
        <v>0</v>
      </c>
      <c r="GV31" s="450">
        <v>0</v>
      </c>
      <c r="GW31" s="450">
        <v>0</v>
      </c>
      <c r="GX31" s="450">
        <v>8420000</v>
      </c>
      <c r="GY31" s="450">
        <v>8420000</v>
      </c>
      <c r="GZ31" s="450">
        <v>0</v>
      </c>
      <c r="HA31" s="450" t="s">
        <v>888</v>
      </c>
      <c r="HB31" s="450" t="s">
        <v>888</v>
      </c>
      <c r="HC31" s="450">
        <v>0</v>
      </c>
      <c r="HD31" s="450">
        <v>0</v>
      </c>
      <c r="HE31" s="450">
        <v>0</v>
      </c>
      <c r="HF31" s="450">
        <v>0</v>
      </c>
      <c r="HG31" s="472">
        <v>0</v>
      </c>
    </row>
    <row r="32" spans="2:215" ht="12.75">
      <c r="B32" s="445" t="s">
        <v>707</v>
      </c>
      <c r="C32" s="446">
        <v>12283</v>
      </c>
      <c r="D32" s="447">
        <v>2892739</v>
      </c>
      <c r="E32" s="447">
        <v>2481970.062</v>
      </c>
      <c r="F32" s="447">
        <v>508430.4325505373</v>
      </c>
      <c r="G32" s="447">
        <v>410768.938</v>
      </c>
      <c r="H32" s="448">
        <v>0.6096482943906212</v>
      </c>
      <c r="I32" s="449">
        <v>6899.28</v>
      </c>
      <c r="J32" s="449">
        <v>589.03</v>
      </c>
      <c r="K32" s="447">
        <v>2990400.4945505373</v>
      </c>
      <c r="L32" s="447">
        <v>2392320.39564043</v>
      </c>
      <c r="M32" s="447">
        <v>974203.971908643</v>
      </c>
      <c r="N32" s="447">
        <v>598080.0989101073</v>
      </c>
      <c r="O32" s="450">
        <v>1.6288854514369453</v>
      </c>
      <c r="P32" s="451">
        <v>0.516241960433119</v>
      </c>
      <c r="Q32" s="452">
        <v>0.48375803956688107</v>
      </c>
      <c r="R32" s="447">
        <v>3366524.367549073</v>
      </c>
      <c r="S32" s="447">
        <v>2275770.4724631733</v>
      </c>
      <c r="T32" s="447">
        <v>257042.5913624417</v>
      </c>
      <c r="U32" s="447">
        <v>857288.228938068</v>
      </c>
      <c r="V32" s="447">
        <v>767567.5558011887</v>
      </c>
      <c r="W32" s="450">
        <v>1.1168896111603215</v>
      </c>
      <c r="X32" s="452">
        <v>19.606439857504643</v>
      </c>
      <c r="Y32" s="447">
        <v>257042.5913624417</v>
      </c>
      <c r="Z32" s="447">
        <v>323186.339284711</v>
      </c>
      <c r="AA32" s="448">
        <v>0.7953386641630296</v>
      </c>
      <c r="AB32" s="448">
        <v>0.06256614833509729</v>
      </c>
      <c r="AC32" s="449">
        <v>755</v>
      </c>
      <c r="AD32" s="449">
        <v>782</v>
      </c>
      <c r="AE32" s="447">
        <v>3390101.292763683</v>
      </c>
      <c r="AF32" s="447">
        <v>261572.89672993837</v>
      </c>
      <c r="AG32" s="451">
        <v>0.75</v>
      </c>
      <c r="AH32" s="450">
        <v>0.26005267102955354</v>
      </c>
      <c r="AI32" s="452">
        <v>0.2189929336309433</v>
      </c>
      <c r="AJ32" s="447">
        <v>3651674.1894936212</v>
      </c>
      <c r="AK32" s="453">
        <v>1</v>
      </c>
      <c r="AL32" s="447">
        <v>3651674.1894936212</v>
      </c>
      <c r="AM32" s="447">
        <v>8590424.533631291</v>
      </c>
      <c r="AN32" s="447">
        <v>8505635.34332689</v>
      </c>
      <c r="AO32" s="447">
        <v>8359793.703248776</v>
      </c>
      <c r="AP32" s="447">
        <v>8505635.34332689</v>
      </c>
      <c r="AQ32" s="447">
        <v>49132</v>
      </c>
      <c r="AR32" s="447">
        <v>8554767.34332689</v>
      </c>
      <c r="AS32" s="454">
        <v>696.4721438839771</v>
      </c>
      <c r="AT32" s="450">
        <v>12283</v>
      </c>
      <c r="AU32" s="450">
        <v>79</v>
      </c>
      <c r="AV32" s="450">
        <v>1471</v>
      </c>
      <c r="AW32" s="450">
        <v>582</v>
      </c>
      <c r="AX32" s="450">
        <v>12</v>
      </c>
      <c r="AY32" s="450">
        <v>1004</v>
      </c>
      <c r="AZ32" s="450">
        <v>62</v>
      </c>
      <c r="BA32" s="450">
        <v>772</v>
      </c>
      <c r="BB32" s="450">
        <v>293</v>
      </c>
      <c r="BC32" s="450">
        <v>360</v>
      </c>
      <c r="BD32" s="450">
        <v>1450</v>
      </c>
      <c r="BE32" s="450">
        <v>3982</v>
      </c>
      <c r="BF32" s="450">
        <v>1960</v>
      </c>
      <c r="BG32" s="450">
        <v>256</v>
      </c>
      <c r="BH32" s="450">
        <v>0</v>
      </c>
      <c r="BI32" s="450">
        <v>0</v>
      </c>
      <c r="BJ32" s="452">
        <v>1.8176924327607642</v>
      </c>
      <c r="BK32" s="452">
        <v>12.923614017902132</v>
      </c>
      <c r="BL32" s="452">
        <v>8.081964951718868</v>
      </c>
      <c r="BM32" s="452">
        <v>9.683298132366527</v>
      </c>
      <c r="BN32" s="449">
        <v>6341</v>
      </c>
      <c r="BO32" s="449">
        <v>5942</v>
      </c>
      <c r="BP32" s="447">
        <v>4474811.590202345</v>
      </c>
      <c r="BQ32" s="447">
        <v>14496128</v>
      </c>
      <c r="BR32" s="447">
        <v>16734261</v>
      </c>
      <c r="BS32" s="448">
        <v>0.06256614833509729</v>
      </c>
      <c r="BT32" s="449">
        <v>755</v>
      </c>
      <c r="BU32" s="449">
        <v>782</v>
      </c>
      <c r="BV32" s="447">
        <v>1046998.2560042334</v>
      </c>
      <c r="BW32" s="448">
        <v>0.020572125821231406</v>
      </c>
      <c r="BX32" s="447">
        <v>51614.51448709629</v>
      </c>
      <c r="BY32" s="447">
        <v>20069552.360693675</v>
      </c>
      <c r="BZ32" s="455">
        <v>1.0766666666666669</v>
      </c>
      <c r="CA32" s="447">
        <v>21608218.041680194</v>
      </c>
      <c r="CB32" s="447">
        <v>16249965.678454539</v>
      </c>
      <c r="CC32" s="447">
        <v>16230077.011901518</v>
      </c>
      <c r="CD32" s="447">
        <v>15767926.593004948</v>
      </c>
      <c r="CE32" s="447">
        <v>16230077.011901518</v>
      </c>
      <c r="CF32" s="454">
        <v>1321.3447050314678</v>
      </c>
      <c r="CG32" s="450">
        <v>12283</v>
      </c>
      <c r="CH32" s="450">
        <v>79</v>
      </c>
      <c r="CI32" s="450">
        <v>1471</v>
      </c>
      <c r="CJ32" s="450">
        <v>582</v>
      </c>
      <c r="CK32" s="450">
        <v>12</v>
      </c>
      <c r="CL32" s="450">
        <v>1004</v>
      </c>
      <c r="CM32" s="450">
        <v>62</v>
      </c>
      <c r="CN32" s="450">
        <v>772</v>
      </c>
      <c r="CO32" s="450">
        <v>293</v>
      </c>
      <c r="CP32" s="450">
        <v>360</v>
      </c>
      <c r="CQ32" s="450">
        <v>1450</v>
      </c>
      <c r="CR32" s="450">
        <v>3982</v>
      </c>
      <c r="CS32" s="450">
        <v>1960</v>
      </c>
      <c r="CT32" s="450">
        <v>256</v>
      </c>
      <c r="CU32" s="450">
        <v>0</v>
      </c>
      <c r="CV32" s="450">
        <v>0</v>
      </c>
      <c r="CW32" s="447">
        <v>9564456.216459796</v>
      </c>
      <c r="CX32" s="452">
        <v>1.051056370727435</v>
      </c>
      <c r="CY32" s="452">
        <v>1.0766666666666669</v>
      </c>
      <c r="CZ32" s="447">
        <v>10052782.638853688</v>
      </c>
      <c r="DA32" s="454">
        <v>818.4305657293567</v>
      </c>
      <c r="DB32" s="449">
        <v>12283</v>
      </c>
      <c r="DC32" s="452">
        <v>0.9827973622079297</v>
      </c>
      <c r="DD32" s="454">
        <v>281.5</v>
      </c>
      <c r="DE32" s="447">
        <v>55919</v>
      </c>
      <c r="DF32" s="454">
        <v>51.849347023338254</v>
      </c>
      <c r="DG32" s="454">
        <v>54.078868945341796</v>
      </c>
      <c r="DH32" s="454">
        <v>55.2686040621393</v>
      </c>
      <c r="DI32" s="454">
        <v>56.48451335150636</v>
      </c>
      <c r="DJ32" s="454">
        <v>58.34850229210606</v>
      </c>
      <c r="DK32" s="454">
        <v>60.44904837462187</v>
      </c>
      <c r="DL32" s="454">
        <v>62.38341792260975</v>
      </c>
      <c r="DM32" s="454">
        <v>64.94113805743675</v>
      </c>
      <c r="DN32" s="454">
        <v>67.79854813196395</v>
      </c>
      <c r="DO32" s="454">
        <v>71.52746827922196</v>
      </c>
      <c r="DP32" s="454">
        <v>70.88372106470896</v>
      </c>
      <c r="DQ32" s="454">
        <v>74.49879083900912</v>
      </c>
      <c r="DR32" s="454">
        <v>79.04321708018867</v>
      </c>
      <c r="DS32" s="454">
        <v>44.16</v>
      </c>
      <c r="DT32" s="454">
        <v>46.14522840621392</v>
      </c>
      <c r="DU32" s="454">
        <v>48.19643342230125</v>
      </c>
      <c r="DV32" s="454">
        <v>50.857114046095795</v>
      </c>
      <c r="DW32" s="454">
        <v>53.79669561216475</v>
      </c>
      <c r="DX32" s="454">
        <v>56.662394546896635</v>
      </c>
      <c r="DY32" s="454">
        <v>60.17666979014287</v>
      </c>
      <c r="DZ32" s="454">
        <v>63.37712157991523</v>
      </c>
      <c r="EA32" s="454">
        <v>65.2091461653273</v>
      </c>
      <c r="EB32" s="454">
        <v>66.66182646054607</v>
      </c>
      <c r="EC32" s="454">
        <v>70.94902185582896</v>
      </c>
      <c r="ED32" s="454">
        <v>76.21848841182306</v>
      </c>
      <c r="EE32" s="454">
        <v>-0.93</v>
      </c>
      <c r="EF32" s="454">
        <v>75.28848841182305</v>
      </c>
      <c r="EG32" s="454">
        <v>3915.0013974147987</v>
      </c>
      <c r="EH32" s="447">
        <v>47126202.921157055</v>
      </c>
      <c r="EI32" s="454">
        <v>49.09</v>
      </c>
      <c r="EJ32" s="454">
        <v>50.67984240621393</v>
      </c>
      <c r="EK32" s="454">
        <v>52.31587831830126</v>
      </c>
      <c r="EL32" s="454">
        <v>54.580577301467805</v>
      </c>
      <c r="EM32" s="454">
        <v>57.1031309829351</v>
      </c>
      <c r="EN32" s="454">
        <v>59.50592896575914</v>
      </c>
      <c r="EO32" s="454">
        <v>62.54476525417156</v>
      </c>
      <c r="EP32" s="454">
        <v>65.57471417053385</v>
      </c>
      <c r="EQ32" s="454">
        <v>67.30491696591392</v>
      </c>
      <c r="ER32" s="454">
        <v>68.06221777885204</v>
      </c>
      <c r="ES32" s="454">
        <v>72.12647087626063</v>
      </c>
      <c r="ET32" s="454">
        <v>77.15544346983155</v>
      </c>
      <c r="EU32" s="447">
        <v>137056119</v>
      </c>
      <c r="EV32" s="447">
        <v>0</v>
      </c>
      <c r="EW32" s="447">
        <v>0</v>
      </c>
      <c r="EX32" s="447">
        <v>0</v>
      </c>
      <c r="EY32" s="447">
        <v>0</v>
      </c>
      <c r="EZ32" s="447">
        <v>0</v>
      </c>
      <c r="FA32" s="447">
        <v>0</v>
      </c>
      <c r="FB32" s="447">
        <v>0</v>
      </c>
      <c r="FC32" s="447">
        <v>0</v>
      </c>
      <c r="FD32" s="447">
        <v>137056119</v>
      </c>
      <c r="FE32" s="447">
        <v>107520.20424994893</v>
      </c>
      <c r="FF32" s="447">
        <v>0</v>
      </c>
      <c r="FG32" s="447">
        <v>0</v>
      </c>
      <c r="FH32" s="447">
        <v>33585</v>
      </c>
      <c r="FI32" s="456">
        <v>0.0481</v>
      </c>
      <c r="FJ32" s="447">
        <v>1615.4385</v>
      </c>
      <c r="FK32" s="471">
        <v>1615.4385</v>
      </c>
      <c r="FL32" s="498">
        <v>74.51</v>
      </c>
      <c r="FM32" s="37">
        <v>71.89</v>
      </c>
      <c r="FN32" s="37">
        <v>70.96</v>
      </c>
      <c r="FO32" s="37">
        <v>-0.93</v>
      </c>
      <c r="FP32" s="40">
        <v>70.7</v>
      </c>
      <c r="FQ32" s="446">
        <v>592019</v>
      </c>
      <c r="FR32" s="450">
        <v>352251</v>
      </c>
      <c r="FS32" s="450">
        <v>0</v>
      </c>
      <c r="FT32" s="450">
        <v>0</v>
      </c>
      <c r="FU32" s="450">
        <v>0</v>
      </c>
      <c r="FV32" s="450">
        <v>0</v>
      </c>
      <c r="FW32" s="450">
        <v>0</v>
      </c>
      <c r="FX32" s="450">
        <v>0</v>
      </c>
      <c r="FY32" s="450">
        <v>0</v>
      </c>
      <c r="FZ32" s="450">
        <v>0</v>
      </c>
      <c r="GA32" s="450">
        <v>0</v>
      </c>
      <c r="GB32" s="450">
        <v>0</v>
      </c>
      <c r="GC32" s="450">
        <v>0</v>
      </c>
      <c r="GD32" s="450">
        <v>0</v>
      </c>
      <c r="GE32" s="450">
        <v>0</v>
      </c>
      <c r="GF32" s="450">
        <v>0</v>
      </c>
      <c r="GG32" s="450">
        <v>0</v>
      </c>
      <c r="GH32" s="450">
        <v>0</v>
      </c>
      <c r="GI32" s="450">
        <v>0</v>
      </c>
      <c r="GJ32" s="450">
        <v>0</v>
      </c>
      <c r="GK32" s="450">
        <v>0</v>
      </c>
      <c r="GL32" s="450">
        <v>0</v>
      </c>
      <c r="GM32" s="450">
        <v>0</v>
      </c>
      <c r="GN32" s="450">
        <v>0</v>
      </c>
      <c r="GO32" s="450">
        <v>0</v>
      </c>
      <c r="GP32" s="450">
        <v>0</v>
      </c>
      <c r="GQ32" s="450">
        <v>0</v>
      </c>
      <c r="GR32" s="450">
        <v>0</v>
      </c>
      <c r="GS32" s="450">
        <v>0</v>
      </c>
      <c r="GT32" s="450">
        <v>0</v>
      </c>
      <c r="GU32" s="450">
        <v>0</v>
      </c>
      <c r="GV32" s="450">
        <v>0</v>
      </c>
      <c r="GW32" s="450">
        <v>1702000</v>
      </c>
      <c r="GX32" s="450">
        <v>95417697</v>
      </c>
      <c r="GY32" s="450">
        <v>114164697</v>
      </c>
      <c r="GZ32" s="450">
        <v>20</v>
      </c>
      <c r="HA32" s="450" t="s">
        <v>888</v>
      </c>
      <c r="HB32" s="450" t="s">
        <v>888</v>
      </c>
      <c r="HC32" s="450">
        <v>0</v>
      </c>
      <c r="HD32" s="450">
        <v>0</v>
      </c>
      <c r="HE32" s="450">
        <v>0</v>
      </c>
      <c r="HF32" s="450">
        <v>0</v>
      </c>
      <c r="HG32" s="472">
        <v>0</v>
      </c>
    </row>
    <row r="33" spans="2:215" ht="12.75">
      <c r="B33" s="445" t="s">
        <v>708</v>
      </c>
      <c r="C33" s="446">
        <v>28120</v>
      </c>
      <c r="D33" s="447">
        <v>6582760</v>
      </c>
      <c r="E33" s="447">
        <v>5648008.08</v>
      </c>
      <c r="F33" s="447">
        <v>1008297.1786542975</v>
      </c>
      <c r="G33" s="447">
        <v>934751.92</v>
      </c>
      <c r="H33" s="448">
        <v>0.5312972972972972</v>
      </c>
      <c r="I33" s="449">
        <v>13214.72</v>
      </c>
      <c r="J33" s="449">
        <v>1725.36</v>
      </c>
      <c r="K33" s="447">
        <v>6656305.258654297</v>
      </c>
      <c r="L33" s="447">
        <v>5325044.206923438</v>
      </c>
      <c r="M33" s="447">
        <v>1844483.0177158779</v>
      </c>
      <c r="N33" s="447">
        <v>1331261.051730859</v>
      </c>
      <c r="O33" s="450">
        <v>1.3855156472261736</v>
      </c>
      <c r="P33" s="451">
        <v>0.7034495021337127</v>
      </c>
      <c r="Q33" s="452">
        <v>0.29655049786628734</v>
      </c>
      <c r="R33" s="447">
        <v>7169527.224639316</v>
      </c>
      <c r="S33" s="447">
        <v>4846600.403856178</v>
      </c>
      <c r="T33" s="447">
        <v>693691.8420335185</v>
      </c>
      <c r="U33" s="447">
        <v>2457060.6791616757</v>
      </c>
      <c r="V33" s="447">
        <v>1634652.207217764</v>
      </c>
      <c r="W33" s="450">
        <v>1.5031091435307085</v>
      </c>
      <c r="X33" s="452">
        <v>26.386331045987188</v>
      </c>
      <c r="Y33" s="447">
        <v>693691.8420335185</v>
      </c>
      <c r="Z33" s="447">
        <v>688274.6135653744</v>
      </c>
      <c r="AA33" s="448">
        <v>1.0078707370014448</v>
      </c>
      <c r="AB33" s="448">
        <v>0.07928520625889048</v>
      </c>
      <c r="AC33" s="449">
        <v>2216</v>
      </c>
      <c r="AD33" s="449">
        <v>2243</v>
      </c>
      <c r="AE33" s="447">
        <v>7997352.9250513725</v>
      </c>
      <c r="AF33" s="447">
        <v>998027.1619074112</v>
      </c>
      <c r="AG33" s="451">
        <v>1</v>
      </c>
      <c r="AH33" s="450">
        <v>0.3528329390880406</v>
      </c>
      <c r="AI33" s="452">
        <v>0.29712411761283875</v>
      </c>
      <c r="AJ33" s="447">
        <v>8995380.086958785</v>
      </c>
      <c r="AK33" s="453">
        <v>1.0359</v>
      </c>
      <c r="AL33" s="447">
        <v>9318314.232080605</v>
      </c>
      <c r="AM33" s="447">
        <v>21920979.539100442</v>
      </c>
      <c r="AN33" s="447">
        <v>21704615.132600736</v>
      </c>
      <c r="AO33" s="447">
        <v>20644430.107148178</v>
      </c>
      <c r="AP33" s="447">
        <v>21704615.132600736</v>
      </c>
      <c r="AQ33" s="447">
        <v>112480</v>
      </c>
      <c r="AR33" s="447">
        <v>21817095.132600736</v>
      </c>
      <c r="AS33" s="454">
        <v>775.8568681579209</v>
      </c>
      <c r="AT33" s="450">
        <v>28120</v>
      </c>
      <c r="AU33" s="450">
        <v>3</v>
      </c>
      <c r="AV33" s="450">
        <v>3078</v>
      </c>
      <c r="AW33" s="450">
        <v>2918</v>
      </c>
      <c r="AX33" s="450">
        <v>0</v>
      </c>
      <c r="AY33" s="450">
        <v>938</v>
      </c>
      <c r="AZ33" s="450">
        <v>114</v>
      </c>
      <c r="BA33" s="450">
        <v>864</v>
      </c>
      <c r="BB33" s="450">
        <v>4314</v>
      </c>
      <c r="BC33" s="450">
        <v>596</v>
      </c>
      <c r="BD33" s="450">
        <v>5913</v>
      </c>
      <c r="BE33" s="450">
        <v>4060</v>
      </c>
      <c r="BF33" s="450">
        <v>4279</v>
      </c>
      <c r="BG33" s="450">
        <v>1036</v>
      </c>
      <c r="BH33" s="450">
        <v>7</v>
      </c>
      <c r="BI33" s="450">
        <v>0</v>
      </c>
      <c r="BJ33" s="452">
        <v>2.1040138665799155</v>
      </c>
      <c r="BK33" s="452">
        <v>22.038055783575743</v>
      </c>
      <c r="BL33" s="452">
        <v>10.465648766963502</v>
      </c>
      <c r="BM33" s="452">
        <v>23.14481403322448</v>
      </c>
      <c r="BN33" s="449">
        <v>19781</v>
      </c>
      <c r="BO33" s="449">
        <v>8339</v>
      </c>
      <c r="BP33" s="447">
        <v>11722340.728512939</v>
      </c>
      <c r="BQ33" s="447">
        <v>32331134</v>
      </c>
      <c r="BR33" s="447">
        <v>39135811</v>
      </c>
      <c r="BS33" s="448">
        <v>0.07928520625889048</v>
      </c>
      <c r="BT33" s="449">
        <v>2216</v>
      </c>
      <c r="BU33" s="449">
        <v>2243</v>
      </c>
      <c r="BV33" s="447">
        <v>3102890.847243955</v>
      </c>
      <c r="BW33" s="448">
        <v>0.009684039245544099</v>
      </c>
      <c r="BX33" s="447">
        <v>94852.6304563525</v>
      </c>
      <c r="BY33" s="447">
        <v>47251218.20621325</v>
      </c>
      <c r="BZ33" s="455">
        <v>1.04</v>
      </c>
      <c r="CA33" s="447">
        <v>49141266.93446178</v>
      </c>
      <c r="CB33" s="447">
        <v>36955564.7550604</v>
      </c>
      <c r="CC33" s="447">
        <v>36910334.080778636</v>
      </c>
      <c r="CD33" s="447">
        <v>35230794.84169401</v>
      </c>
      <c r="CE33" s="447">
        <v>36910334.080778636</v>
      </c>
      <c r="CF33" s="454">
        <v>1312.6007852339487</v>
      </c>
      <c r="CG33" s="450">
        <v>28120</v>
      </c>
      <c r="CH33" s="450">
        <v>3</v>
      </c>
      <c r="CI33" s="450">
        <v>3078</v>
      </c>
      <c r="CJ33" s="450">
        <v>2918</v>
      </c>
      <c r="CK33" s="450">
        <v>0</v>
      </c>
      <c r="CL33" s="450">
        <v>938</v>
      </c>
      <c r="CM33" s="450">
        <v>114</v>
      </c>
      <c r="CN33" s="450">
        <v>864</v>
      </c>
      <c r="CO33" s="450">
        <v>4314</v>
      </c>
      <c r="CP33" s="450">
        <v>596</v>
      </c>
      <c r="CQ33" s="450">
        <v>5913</v>
      </c>
      <c r="CR33" s="450">
        <v>4060</v>
      </c>
      <c r="CS33" s="450">
        <v>4279</v>
      </c>
      <c r="CT33" s="450">
        <v>1036</v>
      </c>
      <c r="CU33" s="450">
        <v>7</v>
      </c>
      <c r="CV33" s="450">
        <v>0</v>
      </c>
      <c r="CW33" s="447">
        <v>20986075.413526036</v>
      </c>
      <c r="CX33" s="452">
        <v>1.0152618813218566</v>
      </c>
      <c r="CY33" s="452">
        <v>1.04</v>
      </c>
      <c r="CZ33" s="447">
        <v>21306362.405898802</v>
      </c>
      <c r="DA33" s="454">
        <v>757.6942534103415</v>
      </c>
      <c r="DB33" s="449">
        <v>28120</v>
      </c>
      <c r="DC33" s="452">
        <v>1.013197012802276</v>
      </c>
      <c r="DD33" s="454">
        <v>321.2</v>
      </c>
      <c r="DE33" s="447">
        <v>32710</v>
      </c>
      <c r="DF33" s="454">
        <v>50.09985386601716</v>
      </c>
      <c r="DG33" s="454">
        <v>52.2541475822559</v>
      </c>
      <c r="DH33" s="454">
        <v>53.40373882906552</v>
      </c>
      <c r="DI33" s="454">
        <v>54.578621083304945</v>
      </c>
      <c r="DJ33" s="454">
        <v>56.37971557905401</v>
      </c>
      <c r="DK33" s="454">
        <v>58.40938533989994</v>
      </c>
      <c r="DL33" s="454">
        <v>60.278485670776725</v>
      </c>
      <c r="DM33" s="454">
        <v>62.74990358327857</v>
      </c>
      <c r="DN33" s="454">
        <v>65.51089934094281</v>
      </c>
      <c r="DO33" s="454">
        <v>69.11399880469466</v>
      </c>
      <c r="DP33" s="454">
        <v>68.49197281545241</v>
      </c>
      <c r="DQ33" s="454">
        <v>71.98506342904048</v>
      </c>
      <c r="DR33" s="454">
        <v>76.37615229821195</v>
      </c>
      <c r="DS33" s="454">
        <v>38.33</v>
      </c>
      <c r="DT33" s="454">
        <v>40.596307882906544</v>
      </c>
      <c r="DU33" s="454">
        <v>42.943781592660976</v>
      </c>
      <c r="DV33" s="454">
        <v>45.863275034448186</v>
      </c>
      <c r="DW33" s="454">
        <v>49.070786136289975</v>
      </c>
      <c r="DX33" s="454">
        <v>52.247290355672156</v>
      </c>
      <c r="DY33" s="454">
        <v>56.06152412485948</v>
      </c>
      <c r="DZ33" s="454">
        <v>59.3040832035299</v>
      </c>
      <c r="EA33" s="454">
        <v>61.163927268745994</v>
      </c>
      <c r="EB33" s="454">
        <v>63.179745373530906</v>
      </c>
      <c r="EC33" s="454">
        <v>67.51854259587287</v>
      </c>
      <c r="ED33" s="454">
        <v>72.82191834521882</v>
      </c>
      <c r="EE33" s="454">
        <v>-2.46</v>
      </c>
      <c r="EF33" s="454">
        <v>70.36191834521883</v>
      </c>
      <c r="EG33" s="454">
        <v>3658.819753951379</v>
      </c>
      <c r="EH33" s="447">
        <v>100828291.25149052</v>
      </c>
      <c r="EI33" s="454">
        <v>43.23</v>
      </c>
      <c r="EJ33" s="454">
        <v>45.10332788290654</v>
      </c>
      <c r="EK33" s="454">
        <v>47.03815887266097</v>
      </c>
      <c r="EL33" s="454">
        <v>49.564080298408186</v>
      </c>
      <c r="EM33" s="454">
        <v>52.35710121068645</v>
      </c>
      <c r="EN33" s="454">
        <v>55.073521319653125</v>
      </c>
      <c r="EO33" s="454">
        <v>58.41520927166283</v>
      </c>
      <c r="EP33" s="454">
        <v>61.48830301976341</v>
      </c>
      <c r="EQ33" s="454">
        <v>63.24694490016068</v>
      </c>
      <c r="ER33" s="454">
        <v>64.57161504081272</v>
      </c>
      <c r="ES33" s="454">
        <v>68.68882661212342</v>
      </c>
      <c r="ET33" s="454">
        <v>73.7531718511502</v>
      </c>
      <c r="EU33" s="447">
        <v>210655800</v>
      </c>
      <c r="EV33" s="447">
        <v>0</v>
      </c>
      <c r="EW33" s="447">
        <v>0</v>
      </c>
      <c r="EX33" s="447">
        <v>0</v>
      </c>
      <c r="EY33" s="447">
        <v>0</v>
      </c>
      <c r="EZ33" s="447">
        <v>0</v>
      </c>
      <c r="FA33" s="447">
        <v>0</v>
      </c>
      <c r="FB33" s="447">
        <v>0</v>
      </c>
      <c r="FC33" s="447">
        <v>0</v>
      </c>
      <c r="FD33" s="447">
        <v>210655800</v>
      </c>
      <c r="FE33" s="447">
        <v>143498.2572780068</v>
      </c>
      <c r="FF33" s="447">
        <v>0</v>
      </c>
      <c r="FG33" s="447">
        <v>0</v>
      </c>
      <c r="FH33" s="447">
        <v>171139</v>
      </c>
      <c r="FI33" s="456">
        <v>0.0513</v>
      </c>
      <c r="FJ33" s="447">
        <v>8779.430699999999</v>
      </c>
      <c r="FK33" s="471">
        <v>8779.430699999999</v>
      </c>
      <c r="FL33" s="498">
        <v>71.98</v>
      </c>
      <c r="FM33" s="37">
        <v>67.44</v>
      </c>
      <c r="FN33" s="37">
        <v>64.97</v>
      </c>
      <c r="FO33" s="37">
        <v>-2.47</v>
      </c>
      <c r="FP33" s="40">
        <v>64.98</v>
      </c>
      <c r="FQ33" s="446">
        <v>3857790</v>
      </c>
      <c r="FR33" s="450">
        <v>29800</v>
      </c>
      <c r="FS33" s="450">
        <v>0</v>
      </c>
      <c r="FT33" s="450">
        <v>0</v>
      </c>
      <c r="FU33" s="450">
        <v>0</v>
      </c>
      <c r="FV33" s="450">
        <v>0</v>
      </c>
      <c r="FW33" s="450">
        <v>0</v>
      </c>
      <c r="FX33" s="450">
        <v>0</v>
      </c>
      <c r="FY33" s="450">
        <v>0</v>
      </c>
      <c r="FZ33" s="450">
        <v>0</v>
      </c>
      <c r="GA33" s="450">
        <v>0</v>
      </c>
      <c r="GB33" s="450">
        <v>0</v>
      </c>
      <c r="GC33" s="450">
        <v>0</v>
      </c>
      <c r="GD33" s="450">
        <v>0</v>
      </c>
      <c r="GE33" s="450">
        <v>0</v>
      </c>
      <c r="GF33" s="450">
        <v>0</v>
      </c>
      <c r="GG33" s="450">
        <v>0</v>
      </c>
      <c r="GH33" s="450">
        <v>0</v>
      </c>
      <c r="GI33" s="450">
        <v>0</v>
      </c>
      <c r="GJ33" s="450">
        <v>0</v>
      </c>
      <c r="GK33" s="450">
        <v>0</v>
      </c>
      <c r="GL33" s="450">
        <v>0</v>
      </c>
      <c r="GM33" s="450">
        <v>0</v>
      </c>
      <c r="GN33" s="450">
        <v>0</v>
      </c>
      <c r="GO33" s="450">
        <v>0</v>
      </c>
      <c r="GP33" s="450">
        <v>0</v>
      </c>
      <c r="GQ33" s="450">
        <v>0</v>
      </c>
      <c r="GR33" s="450">
        <v>0</v>
      </c>
      <c r="GS33" s="450">
        <v>0</v>
      </c>
      <c r="GT33" s="450">
        <v>0</v>
      </c>
      <c r="GU33" s="450">
        <v>0</v>
      </c>
      <c r="GV33" s="450">
        <v>0</v>
      </c>
      <c r="GW33" s="450">
        <v>907271</v>
      </c>
      <c r="GX33" s="450">
        <v>199092457</v>
      </c>
      <c r="GY33" s="450">
        <v>199092457</v>
      </c>
      <c r="GZ33" s="450">
        <v>28</v>
      </c>
      <c r="HA33" s="450" t="s">
        <v>888</v>
      </c>
      <c r="HB33" s="450" t="s">
        <v>888</v>
      </c>
      <c r="HC33" s="450">
        <v>91</v>
      </c>
      <c r="HD33" s="450">
        <v>21</v>
      </c>
      <c r="HE33" s="450">
        <v>0</v>
      </c>
      <c r="HF33" s="450">
        <v>0</v>
      </c>
      <c r="HG33" s="472">
        <v>0</v>
      </c>
    </row>
    <row r="34" spans="2:215" ht="12.75">
      <c r="B34" s="445" t="s">
        <v>709</v>
      </c>
      <c r="C34" s="446">
        <v>4617</v>
      </c>
      <c r="D34" s="447">
        <v>1106561</v>
      </c>
      <c r="E34" s="447">
        <v>949429.338</v>
      </c>
      <c r="F34" s="447">
        <v>157790.31571368178</v>
      </c>
      <c r="G34" s="447">
        <v>157131.662</v>
      </c>
      <c r="H34" s="448">
        <v>0.49460905349794243</v>
      </c>
      <c r="I34" s="449">
        <v>1971.35</v>
      </c>
      <c r="J34" s="449">
        <v>312.26</v>
      </c>
      <c r="K34" s="447">
        <v>1107219.6537136817</v>
      </c>
      <c r="L34" s="447">
        <v>885775.7229709454</v>
      </c>
      <c r="M34" s="447">
        <v>247506.87897007065</v>
      </c>
      <c r="N34" s="447">
        <v>221443.9307427363</v>
      </c>
      <c r="O34" s="450">
        <v>1.1176954732510287</v>
      </c>
      <c r="P34" s="451">
        <v>0.9094650205761317</v>
      </c>
      <c r="Q34" s="452">
        <v>0.09053497942386832</v>
      </c>
      <c r="R34" s="447">
        <v>1133282.601941016</v>
      </c>
      <c r="S34" s="447">
        <v>766099.0389121269</v>
      </c>
      <c r="T34" s="447">
        <v>145429.15805623785</v>
      </c>
      <c r="U34" s="447">
        <v>137835.87467666648</v>
      </c>
      <c r="V34" s="447">
        <v>258388.43324255166</v>
      </c>
      <c r="W34" s="450">
        <v>0.5334444462042875</v>
      </c>
      <c r="X34" s="452">
        <v>9.36435109371156</v>
      </c>
      <c r="Y34" s="447">
        <v>145429.15805623785</v>
      </c>
      <c r="Z34" s="447">
        <v>108795.12978633754</v>
      </c>
      <c r="AA34" s="448">
        <v>1.3367248914712062</v>
      </c>
      <c r="AB34" s="448">
        <v>0.10515486246480399</v>
      </c>
      <c r="AC34" s="449">
        <v>484</v>
      </c>
      <c r="AD34" s="449">
        <v>487</v>
      </c>
      <c r="AE34" s="447">
        <v>1049364.0716450312</v>
      </c>
      <c r="AF34" s="447">
        <v>0</v>
      </c>
      <c r="AG34" s="451">
        <v>0</v>
      </c>
      <c r="AH34" s="450">
        <v>0.03627511013387353</v>
      </c>
      <c r="AI34" s="452">
        <v>0.030547630041837692</v>
      </c>
      <c r="AJ34" s="447">
        <v>1049364.0716450312</v>
      </c>
      <c r="AK34" s="453">
        <v>1</v>
      </c>
      <c r="AL34" s="447">
        <v>1049364.0716450312</v>
      </c>
      <c r="AM34" s="447">
        <v>2468589.035600885</v>
      </c>
      <c r="AN34" s="447">
        <v>2444223.5732534216</v>
      </c>
      <c r="AO34" s="447">
        <v>2341626.1587748076</v>
      </c>
      <c r="AP34" s="447">
        <v>2444223.5732534216</v>
      </c>
      <c r="AQ34" s="447">
        <v>18468</v>
      </c>
      <c r="AR34" s="447">
        <v>2462691.5732534216</v>
      </c>
      <c r="AS34" s="454">
        <v>533.3964854350057</v>
      </c>
      <c r="AT34" s="450">
        <v>4617</v>
      </c>
      <c r="AU34" s="450">
        <v>289</v>
      </c>
      <c r="AV34" s="450">
        <v>370</v>
      </c>
      <c r="AW34" s="450">
        <v>74</v>
      </c>
      <c r="AX34" s="450">
        <v>5</v>
      </c>
      <c r="AY34" s="450">
        <v>641</v>
      </c>
      <c r="AZ34" s="450">
        <v>109</v>
      </c>
      <c r="BA34" s="450">
        <v>195</v>
      </c>
      <c r="BB34" s="450">
        <v>44</v>
      </c>
      <c r="BC34" s="450">
        <v>0</v>
      </c>
      <c r="BD34" s="450">
        <v>1797</v>
      </c>
      <c r="BE34" s="450">
        <v>418</v>
      </c>
      <c r="BF34" s="450">
        <v>0</v>
      </c>
      <c r="BG34" s="450">
        <v>675</v>
      </c>
      <c r="BH34" s="450">
        <v>0</v>
      </c>
      <c r="BI34" s="450">
        <v>0</v>
      </c>
      <c r="BJ34" s="452">
        <v>1.4756813132980893</v>
      </c>
      <c r="BK34" s="452">
        <v>13.3630670457893</v>
      </c>
      <c r="BL34" s="452">
        <v>6.439274681526311</v>
      </c>
      <c r="BM34" s="452">
        <v>13.84758472852598</v>
      </c>
      <c r="BN34" s="449">
        <v>4199</v>
      </c>
      <c r="BO34" s="449">
        <v>418</v>
      </c>
      <c r="BP34" s="447">
        <v>1308387.7498534247</v>
      </c>
      <c r="BQ34" s="447">
        <v>4735800</v>
      </c>
      <c r="BR34" s="447">
        <v>6025503</v>
      </c>
      <c r="BS34" s="448">
        <v>0.10515486246480399</v>
      </c>
      <c r="BT34" s="449">
        <v>484</v>
      </c>
      <c r="BU34" s="449">
        <v>487</v>
      </c>
      <c r="BV34" s="447">
        <v>633610.9392462638</v>
      </c>
      <c r="BW34" s="448">
        <v>0.012092162841355995</v>
      </c>
      <c r="BX34" s="447">
        <v>11791.641124117616</v>
      </c>
      <c r="BY34" s="447">
        <v>6689590.330223806</v>
      </c>
      <c r="BZ34" s="455">
        <v>0.9</v>
      </c>
      <c r="CA34" s="447">
        <v>6020631.297201426</v>
      </c>
      <c r="CB34" s="447">
        <v>4527677.9303799085</v>
      </c>
      <c r="CC34" s="447">
        <v>4522136.412422354</v>
      </c>
      <c r="CD34" s="447">
        <v>4432566.148891937</v>
      </c>
      <c r="CE34" s="447">
        <v>4522136.412422354</v>
      </c>
      <c r="CF34" s="454">
        <v>979.4534139966113</v>
      </c>
      <c r="CG34" s="450">
        <v>4617</v>
      </c>
      <c r="CH34" s="450">
        <v>289</v>
      </c>
      <c r="CI34" s="450">
        <v>370</v>
      </c>
      <c r="CJ34" s="450">
        <v>74</v>
      </c>
      <c r="CK34" s="450">
        <v>5</v>
      </c>
      <c r="CL34" s="450">
        <v>641</v>
      </c>
      <c r="CM34" s="450">
        <v>109</v>
      </c>
      <c r="CN34" s="450">
        <v>195</v>
      </c>
      <c r="CO34" s="450">
        <v>44</v>
      </c>
      <c r="CP34" s="450">
        <v>0</v>
      </c>
      <c r="CQ34" s="450">
        <v>1797</v>
      </c>
      <c r="CR34" s="450">
        <v>418</v>
      </c>
      <c r="CS34" s="450">
        <v>0</v>
      </c>
      <c r="CT34" s="450">
        <v>675</v>
      </c>
      <c r="CU34" s="450">
        <v>0</v>
      </c>
      <c r="CV34" s="450">
        <v>0</v>
      </c>
      <c r="CW34" s="447">
        <v>3399478.4026957415</v>
      </c>
      <c r="CX34" s="452">
        <v>0.8785920126823759</v>
      </c>
      <c r="CY34" s="452">
        <v>0.9</v>
      </c>
      <c r="CZ34" s="447">
        <v>2986754.5718947197</v>
      </c>
      <c r="DA34" s="454">
        <v>646.9037409345289</v>
      </c>
      <c r="DB34" s="449">
        <v>4617</v>
      </c>
      <c r="DC34" s="452">
        <v>0.9941737058696124</v>
      </c>
      <c r="DD34" s="454">
        <v>298</v>
      </c>
      <c r="DE34" s="447">
        <v>31902</v>
      </c>
      <c r="DF34" s="454">
        <v>46.30818377192716</v>
      </c>
      <c r="DG34" s="454">
        <v>48.299435674120026</v>
      </c>
      <c r="DH34" s="454">
        <v>49.36202325895066</v>
      </c>
      <c r="DI34" s="454">
        <v>50.447987770647565</v>
      </c>
      <c r="DJ34" s="454">
        <v>52.11277136707893</v>
      </c>
      <c r="DK34" s="454">
        <v>53.98883113629376</v>
      </c>
      <c r="DL34" s="454">
        <v>55.71647373265515</v>
      </c>
      <c r="DM34" s="454">
        <v>58.00084915569401</v>
      </c>
      <c r="DN34" s="454">
        <v>60.55288651854454</v>
      </c>
      <c r="DO34" s="454">
        <v>63.883295277064484</v>
      </c>
      <c r="DP34" s="454">
        <v>63.3083456195709</v>
      </c>
      <c r="DQ34" s="454">
        <v>66.537071246169</v>
      </c>
      <c r="DR34" s="454">
        <v>70.59583259218532</v>
      </c>
      <c r="DS34" s="454">
        <v>37.49</v>
      </c>
      <c r="DT34" s="454">
        <v>39.41950432589506</v>
      </c>
      <c r="DU34" s="454">
        <v>41.41576168212951</v>
      </c>
      <c r="DV34" s="454">
        <v>43.94876801131967</v>
      </c>
      <c r="DW34" s="454">
        <v>46.73919615637954</v>
      </c>
      <c r="DX34" s="454">
        <v>49.481787649928926</v>
      </c>
      <c r="DY34" s="454">
        <v>52.80860258599961</v>
      </c>
      <c r="DZ34" s="454">
        <v>55.734481701868134</v>
      </c>
      <c r="EA34" s="454">
        <v>57.41100373481921</v>
      </c>
      <c r="EB34" s="454">
        <v>58.98356884399576</v>
      </c>
      <c r="EC34" s="454">
        <v>62.900798933265435</v>
      </c>
      <c r="ED34" s="454">
        <v>67.7022688991923</v>
      </c>
      <c r="EE34" s="454">
        <v>-1.78</v>
      </c>
      <c r="EF34" s="454">
        <v>65.9222688991923</v>
      </c>
      <c r="EG34" s="454">
        <v>3427.9579827579996</v>
      </c>
      <c r="EH34" s="447">
        <v>15510344.366265811</v>
      </c>
      <c r="EI34" s="454">
        <v>37.56</v>
      </c>
      <c r="EJ34" s="454">
        <v>39.48389032589506</v>
      </c>
      <c r="EK34" s="454">
        <v>41.4742527861295</v>
      </c>
      <c r="EL34" s="454">
        <v>44.001636657947664</v>
      </c>
      <c r="EM34" s="454">
        <v>46.7861435145852</v>
      </c>
      <c r="EN34" s="454">
        <v>49.52216237798579</v>
      </c>
      <c r="EO34" s="454">
        <v>52.84222665952536</v>
      </c>
      <c r="EP34" s="454">
        <v>55.76568484210003</v>
      </c>
      <c r="EQ34" s="454">
        <v>57.4407611295537</v>
      </c>
      <c r="ER34" s="454">
        <v>59.003452696385494</v>
      </c>
      <c r="ES34" s="454">
        <v>62.91751727635472</v>
      </c>
      <c r="ET34" s="454">
        <v>67.71557252070559</v>
      </c>
      <c r="EU34" s="447">
        <v>15845417</v>
      </c>
      <c r="EV34" s="447">
        <v>0</v>
      </c>
      <c r="EW34" s="447">
        <v>0</v>
      </c>
      <c r="EX34" s="447">
        <v>895000</v>
      </c>
      <c r="EY34" s="447">
        <v>0</v>
      </c>
      <c r="EZ34" s="447">
        <v>0</v>
      </c>
      <c r="FA34" s="447">
        <v>0</v>
      </c>
      <c r="FB34" s="447">
        <v>0</v>
      </c>
      <c r="FC34" s="447">
        <v>0</v>
      </c>
      <c r="FD34" s="447">
        <v>16740417</v>
      </c>
      <c r="FE34" s="447">
        <v>48705.75495003952</v>
      </c>
      <c r="FF34" s="447">
        <v>0</v>
      </c>
      <c r="FG34" s="447">
        <v>0</v>
      </c>
      <c r="FH34" s="447">
        <v>6178</v>
      </c>
      <c r="FI34" s="456">
        <v>0.0472</v>
      </c>
      <c r="FJ34" s="447">
        <v>291.6016</v>
      </c>
      <c r="FK34" s="471">
        <v>291.6016</v>
      </c>
      <c r="FL34" s="498">
        <v>65.72</v>
      </c>
      <c r="FM34" s="37">
        <v>62.6</v>
      </c>
      <c r="FN34" s="37">
        <v>60.82</v>
      </c>
      <c r="FO34" s="37">
        <v>-1.78</v>
      </c>
      <c r="FP34" s="40">
        <v>59.68</v>
      </c>
      <c r="FQ34" s="446">
        <v>27346</v>
      </c>
      <c r="FR34" s="450">
        <v>0</v>
      </c>
      <c r="FS34" s="450">
        <v>0</v>
      </c>
      <c r="FT34" s="450">
        <v>0</v>
      </c>
      <c r="FU34" s="450">
        <v>0</v>
      </c>
      <c r="FV34" s="450">
        <v>0</v>
      </c>
      <c r="FW34" s="450">
        <v>0</v>
      </c>
      <c r="FX34" s="450">
        <v>0</v>
      </c>
      <c r="FY34" s="450">
        <v>0</v>
      </c>
      <c r="FZ34" s="450">
        <v>0</v>
      </c>
      <c r="GA34" s="450">
        <v>0</v>
      </c>
      <c r="GB34" s="450">
        <v>0</v>
      </c>
      <c r="GC34" s="450">
        <v>0</v>
      </c>
      <c r="GD34" s="450">
        <v>0</v>
      </c>
      <c r="GE34" s="450">
        <v>0</v>
      </c>
      <c r="GF34" s="450">
        <v>0</v>
      </c>
      <c r="GG34" s="450">
        <v>0</v>
      </c>
      <c r="GH34" s="450">
        <v>0</v>
      </c>
      <c r="GI34" s="450">
        <v>0</v>
      </c>
      <c r="GJ34" s="450">
        <v>0</v>
      </c>
      <c r="GK34" s="450">
        <v>0</v>
      </c>
      <c r="GL34" s="450">
        <v>0</v>
      </c>
      <c r="GM34" s="450">
        <v>0</v>
      </c>
      <c r="GN34" s="450">
        <v>0</v>
      </c>
      <c r="GO34" s="450">
        <v>0</v>
      </c>
      <c r="GP34" s="450">
        <v>0</v>
      </c>
      <c r="GQ34" s="450">
        <v>0</v>
      </c>
      <c r="GR34" s="450">
        <v>0</v>
      </c>
      <c r="GS34" s="450">
        <v>0</v>
      </c>
      <c r="GT34" s="450">
        <v>0</v>
      </c>
      <c r="GU34" s="450">
        <v>0</v>
      </c>
      <c r="GV34" s="450">
        <v>0</v>
      </c>
      <c r="GW34" s="450">
        <v>1288608</v>
      </c>
      <c r="GX34" s="450">
        <v>9220643</v>
      </c>
      <c r="GY34" s="450">
        <v>9525243</v>
      </c>
      <c r="GZ34" s="450">
        <v>0</v>
      </c>
      <c r="HA34" s="450" t="s">
        <v>888</v>
      </c>
      <c r="HB34" s="450" t="s">
        <v>888</v>
      </c>
      <c r="HC34" s="450">
        <v>0</v>
      </c>
      <c r="HD34" s="450">
        <v>0</v>
      </c>
      <c r="HE34" s="450">
        <v>0</v>
      </c>
      <c r="HF34" s="450">
        <v>0</v>
      </c>
      <c r="HG34" s="472">
        <v>0</v>
      </c>
    </row>
    <row r="35" spans="2:215" ht="12.75">
      <c r="B35" s="445" t="s">
        <v>710</v>
      </c>
      <c r="C35" s="446">
        <v>8228.5</v>
      </c>
      <c r="D35" s="447">
        <v>1948040.5</v>
      </c>
      <c r="E35" s="447">
        <v>1671418.749</v>
      </c>
      <c r="F35" s="447">
        <v>247460.62726031136</v>
      </c>
      <c r="G35" s="447">
        <v>276621.75100000005</v>
      </c>
      <c r="H35" s="448">
        <v>0.44062101233517653</v>
      </c>
      <c r="I35" s="449">
        <v>2993.07</v>
      </c>
      <c r="J35" s="449">
        <v>632.58</v>
      </c>
      <c r="K35" s="447">
        <v>1918879.3762603113</v>
      </c>
      <c r="L35" s="447">
        <v>1535103.5010082491</v>
      </c>
      <c r="M35" s="447">
        <v>408597.5949833799</v>
      </c>
      <c r="N35" s="447">
        <v>383775.87525206216</v>
      </c>
      <c r="O35" s="450">
        <v>1.064677644771222</v>
      </c>
      <c r="P35" s="451">
        <v>0.950355471835693</v>
      </c>
      <c r="Q35" s="452">
        <v>0.049705292580664764</v>
      </c>
      <c r="R35" s="447">
        <v>1943701.095991629</v>
      </c>
      <c r="S35" s="447">
        <v>1313941.9408903413</v>
      </c>
      <c r="T35" s="447">
        <v>247043.55972027435</v>
      </c>
      <c r="U35" s="447">
        <v>341912.1984802993</v>
      </c>
      <c r="V35" s="447">
        <v>443163.8498860914</v>
      </c>
      <c r="W35" s="450">
        <v>0.7715254720532433</v>
      </c>
      <c r="X35" s="452">
        <v>13.543744713167934</v>
      </c>
      <c r="Y35" s="447">
        <v>247043.55972027435</v>
      </c>
      <c r="Z35" s="447">
        <v>186595.3052151964</v>
      </c>
      <c r="AA35" s="448">
        <v>1.3239537802698962</v>
      </c>
      <c r="AB35" s="448">
        <v>0.10415020963723644</v>
      </c>
      <c r="AC35" s="449">
        <v>856</v>
      </c>
      <c r="AD35" s="449">
        <v>858</v>
      </c>
      <c r="AE35" s="447">
        <v>1902897.699090915</v>
      </c>
      <c r="AF35" s="447">
        <v>100154.89879425836</v>
      </c>
      <c r="AG35" s="451">
        <v>0.5</v>
      </c>
      <c r="AH35" s="450">
        <v>0.2071034755872273</v>
      </c>
      <c r="AI35" s="452">
        <v>0.17440389096736908</v>
      </c>
      <c r="AJ35" s="447">
        <v>2003052.5978851733</v>
      </c>
      <c r="AK35" s="453">
        <v>1.0168</v>
      </c>
      <c r="AL35" s="447">
        <v>2036703.8815296441</v>
      </c>
      <c r="AM35" s="447">
        <v>4791268.356298931</v>
      </c>
      <c r="AN35" s="447">
        <v>4743977.589367538</v>
      </c>
      <c r="AO35" s="447">
        <v>4606078.901149441</v>
      </c>
      <c r="AP35" s="447">
        <v>4743977.589367538</v>
      </c>
      <c r="AQ35" s="447">
        <v>32914</v>
      </c>
      <c r="AR35" s="447">
        <v>4776891.589367538</v>
      </c>
      <c r="AS35" s="454">
        <v>580.5300588646214</v>
      </c>
      <c r="AT35" s="450">
        <v>8228</v>
      </c>
      <c r="AU35" s="450">
        <v>82</v>
      </c>
      <c r="AV35" s="450">
        <v>1401</v>
      </c>
      <c r="AW35" s="450">
        <v>1092</v>
      </c>
      <c r="AX35" s="450">
        <v>82</v>
      </c>
      <c r="AY35" s="450">
        <v>975</v>
      </c>
      <c r="AZ35" s="450">
        <v>147</v>
      </c>
      <c r="BA35" s="450">
        <v>124</v>
      </c>
      <c r="BB35" s="450">
        <v>152</v>
      </c>
      <c r="BC35" s="450">
        <v>513</v>
      </c>
      <c r="BD35" s="450">
        <v>2441</v>
      </c>
      <c r="BE35" s="450">
        <v>409</v>
      </c>
      <c r="BF35" s="450">
        <v>0</v>
      </c>
      <c r="BG35" s="450">
        <v>810</v>
      </c>
      <c r="BH35" s="450">
        <v>0</v>
      </c>
      <c r="BI35" s="450">
        <v>0</v>
      </c>
      <c r="BJ35" s="452">
        <v>1.5419962768827937</v>
      </c>
      <c r="BK35" s="452">
        <v>16.562959924084296</v>
      </c>
      <c r="BL35" s="452">
        <v>10.221204275155099</v>
      </c>
      <c r="BM35" s="452">
        <v>12.683511297858397</v>
      </c>
      <c r="BN35" s="449">
        <v>7819</v>
      </c>
      <c r="BO35" s="449">
        <v>409</v>
      </c>
      <c r="BP35" s="447">
        <v>2617486.2521351282</v>
      </c>
      <c r="BQ35" s="447">
        <v>8476082</v>
      </c>
      <c r="BR35" s="447">
        <v>11267779</v>
      </c>
      <c r="BS35" s="448">
        <v>0.10415653864851726</v>
      </c>
      <c r="BT35" s="449">
        <v>856</v>
      </c>
      <c r="BU35" s="449">
        <v>858</v>
      </c>
      <c r="BV35" s="447">
        <v>1173612.858896451</v>
      </c>
      <c r="BW35" s="448">
        <v>0.02535206228247443</v>
      </c>
      <c r="BX35" s="447">
        <v>54607.1827399235</v>
      </c>
      <c r="BY35" s="447">
        <v>12321788.293771502</v>
      </c>
      <c r="BZ35" s="455">
        <v>0.9333333333333332</v>
      </c>
      <c r="CA35" s="447">
        <v>11500335.7408534</v>
      </c>
      <c r="CB35" s="447">
        <v>8648564.20455856</v>
      </c>
      <c r="CC35" s="447">
        <v>8637979.049301593</v>
      </c>
      <c r="CD35" s="447">
        <v>8291370.698656351</v>
      </c>
      <c r="CE35" s="447">
        <v>8637979.049301593</v>
      </c>
      <c r="CF35" s="454">
        <v>1049.8273030264454</v>
      </c>
      <c r="CG35" s="450">
        <v>8228</v>
      </c>
      <c r="CH35" s="450">
        <v>82</v>
      </c>
      <c r="CI35" s="450">
        <v>1401</v>
      </c>
      <c r="CJ35" s="450">
        <v>1092</v>
      </c>
      <c r="CK35" s="450">
        <v>82</v>
      </c>
      <c r="CL35" s="450">
        <v>975</v>
      </c>
      <c r="CM35" s="450">
        <v>147</v>
      </c>
      <c r="CN35" s="450">
        <v>124</v>
      </c>
      <c r="CO35" s="450">
        <v>152</v>
      </c>
      <c r="CP35" s="450">
        <v>513</v>
      </c>
      <c r="CQ35" s="450">
        <v>2441</v>
      </c>
      <c r="CR35" s="450">
        <v>409</v>
      </c>
      <c r="CS35" s="450">
        <v>0</v>
      </c>
      <c r="CT35" s="450">
        <v>810</v>
      </c>
      <c r="CU35" s="450">
        <v>0</v>
      </c>
      <c r="CV35" s="450">
        <v>0</v>
      </c>
      <c r="CW35" s="447">
        <v>5631058.420258639</v>
      </c>
      <c r="CX35" s="452">
        <v>0.9111324575965377</v>
      </c>
      <c r="CY35" s="452">
        <v>0.9333333333333332</v>
      </c>
      <c r="CZ35" s="447">
        <v>5130640.097319932</v>
      </c>
      <c r="DA35" s="454">
        <v>623.5585922848726</v>
      </c>
      <c r="DB35" s="449">
        <v>8228.5</v>
      </c>
      <c r="DC35" s="452">
        <v>0.9868141216503613</v>
      </c>
      <c r="DD35" s="454">
        <v>307.3</v>
      </c>
      <c r="DE35" s="447">
        <v>32570</v>
      </c>
      <c r="DF35" s="454">
        <v>47.372178330608406</v>
      </c>
      <c r="DG35" s="454">
        <v>49.409181998824565</v>
      </c>
      <c r="DH35" s="454">
        <v>50.49618400279869</v>
      </c>
      <c r="DI35" s="454">
        <v>51.607100050860254</v>
      </c>
      <c r="DJ35" s="454">
        <v>53.31013435253864</v>
      </c>
      <c r="DK35" s="454">
        <v>55.22929918923002</v>
      </c>
      <c r="DL35" s="454">
        <v>56.996636763285366</v>
      </c>
      <c r="DM35" s="454">
        <v>59.33349887058006</v>
      </c>
      <c r="DN35" s="454">
        <v>61.94417282088557</v>
      </c>
      <c r="DO35" s="454">
        <v>65.35110232603427</v>
      </c>
      <c r="DP35" s="454">
        <v>64.76294240509996</v>
      </c>
      <c r="DQ35" s="454">
        <v>68.06585246776005</v>
      </c>
      <c r="DR35" s="454">
        <v>72.21786946829342</v>
      </c>
      <c r="DS35" s="454">
        <v>36.05</v>
      </c>
      <c r="DT35" s="454">
        <v>38.208408400279865</v>
      </c>
      <c r="DU35" s="454">
        <v>40.44433857017204</v>
      </c>
      <c r="DV35" s="454">
        <v>43.22039331918158</v>
      </c>
      <c r="DW35" s="454">
        <v>46.269609151608954</v>
      </c>
      <c r="DX35" s="454">
        <v>49.29130333093125</v>
      </c>
      <c r="DY35" s="454">
        <v>52.91649718811555</v>
      </c>
      <c r="DZ35" s="454">
        <v>55.98919525955851</v>
      </c>
      <c r="EA35" s="454">
        <v>57.75176936760125</v>
      </c>
      <c r="EB35" s="454">
        <v>59.68507802368604</v>
      </c>
      <c r="EC35" s="454">
        <v>63.79638409586723</v>
      </c>
      <c r="ED35" s="454">
        <v>68.82044001135971</v>
      </c>
      <c r="EE35" s="454">
        <v>-0.61</v>
      </c>
      <c r="EF35" s="454">
        <v>68.21044001135971</v>
      </c>
      <c r="EG35" s="454">
        <v>3546.9428805907046</v>
      </c>
      <c r="EH35" s="447">
        <v>28602299.1030818</v>
      </c>
      <c r="EI35" s="454">
        <v>43.92</v>
      </c>
      <c r="EJ35" s="454">
        <v>45.44723440027986</v>
      </c>
      <c r="EK35" s="454">
        <v>47.020409834172035</v>
      </c>
      <c r="EL35" s="454">
        <v>49.16433973292958</v>
      </c>
      <c r="EM35" s="454">
        <v>51.54783356701717</v>
      </c>
      <c r="EN35" s="454">
        <v>53.83057632818232</v>
      </c>
      <c r="EO35" s="454">
        <v>56.696803740226244</v>
      </c>
      <c r="EP35" s="454">
        <v>59.49731973991723</v>
      </c>
      <c r="EQ35" s="454">
        <v>61.097350747036685</v>
      </c>
      <c r="ER35" s="454">
        <v>61.92059114236111</v>
      </c>
      <c r="ES35" s="454">
        <v>65.67600352604923</v>
      </c>
      <c r="ET35" s="454">
        <v>70.31614717292703</v>
      </c>
      <c r="EU35" s="447">
        <v>57586578</v>
      </c>
      <c r="EV35" s="447">
        <v>0</v>
      </c>
      <c r="EW35" s="447">
        <v>0</v>
      </c>
      <c r="EX35" s="447">
        <v>0</v>
      </c>
      <c r="EY35" s="447">
        <v>0</v>
      </c>
      <c r="EZ35" s="447">
        <v>0</v>
      </c>
      <c r="FA35" s="447">
        <v>0</v>
      </c>
      <c r="FB35" s="447">
        <v>0</v>
      </c>
      <c r="FC35" s="447">
        <v>0</v>
      </c>
      <c r="FD35" s="447">
        <v>57586578</v>
      </c>
      <c r="FE35" s="447">
        <v>68672.76195990127</v>
      </c>
      <c r="FF35" s="447">
        <v>0</v>
      </c>
      <c r="FG35" s="447">
        <v>0</v>
      </c>
      <c r="FH35" s="447">
        <v>46024</v>
      </c>
      <c r="FI35" s="456">
        <v>0.0506</v>
      </c>
      <c r="FJ35" s="447">
        <v>2328.8143999999998</v>
      </c>
      <c r="FK35" s="471">
        <v>2328.8143999999998</v>
      </c>
      <c r="FL35" s="498">
        <v>68.06</v>
      </c>
      <c r="FM35" s="37">
        <v>65.06</v>
      </c>
      <c r="FN35" s="37">
        <v>64.45</v>
      </c>
      <c r="FO35" s="37">
        <v>-0.61</v>
      </c>
      <c r="FP35" s="40">
        <v>64.25</v>
      </c>
      <c r="FQ35" s="446">
        <v>80</v>
      </c>
      <c r="FR35" s="450">
        <v>95257</v>
      </c>
      <c r="FS35" s="450">
        <v>85</v>
      </c>
      <c r="FT35" s="450">
        <v>85</v>
      </c>
      <c r="FU35" s="450">
        <v>85</v>
      </c>
      <c r="FV35" s="450">
        <v>85</v>
      </c>
      <c r="FW35" s="450">
        <v>85</v>
      </c>
      <c r="FX35" s="450">
        <v>85</v>
      </c>
      <c r="FY35" s="450">
        <v>85</v>
      </c>
      <c r="FZ35" s="450">
        <v>85</v>
      </c>
      <c r="GA35" s="450">
        <v>85</v>
      </c>
      <c r="GB35" s="450">
        <v>85</v>
      </c>
      <c r="GC35" s="450">
        <v>85</v>
      </c>
      <c r="GD35" s="450">
        <v>85</v>
      </c>
      <c r="GE35" s="450">
        <v>85</v>
      </c>
      <c r="GF35" s="450">
        <v>85</v>
      </c>
      <c r="GG35" s="450">
        <v>85</v>
      </c>
      <c r="GH35" s="450">
        <v>85</v>
      </c>
      <c r="GI35" s="450">
        <v>85</v>
      </c>
      <c r="GJ35" s="450">
        <v>85</v>
      </c>
      <c r="GK35" s="450">
        <v>85</v>
      </c>
      <c r="GL35" s="450">
        <v>85</v>
      </c>
      <c r="GM35" s="450">
        <v>85</v>
      </c>
      <c r="GN35" s="450">
        <v>85</v>
      </c>
      <c r="GO35" s="450">
        <v>85</v>
      </c>
      <c r="GP35" s="450">
        <v>85</v>
      </c>
      <c r="GQ35" s="450">
        <v>85</v>
      </c>
      <c r="GR35" s="450">
        <v>85</v>
      </c>
      <c r="GS35" s="450">
        <v>85</v>
      </c>
      <c r="GT35" s="450">
        <v>85</v>
      </c>
      <c r="GU35" s="450">
        <v>85</v>
      </c>
      <c r="GV35" s="450">
        <v>85</v>
      </c>
      <c r="GW35" s="450">
        <v>0</v>
      </c>
      <c r="GX35" s="450">
        <v>40887372</v>
      </c>
      <c r="GY35" s="450">
        <v>40887372</v>
      </c>
      <c r="GZ35" s="450">
        <v>26</v>
      </c>
      <c r="HA35" s="450" t="s">
        <v>888</v>
      </c>
      <c r="HB35" s="450" t="s">
        <v>888</v>
      </c>
      <c r="HC35" s="450">
        <v>0</v>
      </c>
      <c r="HD35" s="450">
        <v>0</v>
      </c>
      <c r="HE35" s="450">
        <v>0</v>
      </c>
      <c r="HF35" s="450">
        <v>0</v>
      </c>
      <c r="HG35" s="472">
        <v>0</v>
      </c>
    </row>
    <row r="36" spans="2:215" ht="12.75">
      <c r="B36" s="445" t="s">
        <v>711</v>
      </c>
      <c r="C36" s="446">
        <v>7325.42</v>
      </c>
      <c r="D36" s="447">
        <v>1737622.86</v>
      </c>
      <c r="E36" s="447">
        <v>1490880.4138800001</v>
      </c>
      <c r="F36" s="447">
        <v>250820.6407937953</v>
      </c>
      <c r="G36" s="447">
        <v>246742.44612000004</v>
      </c>
      <c r="H36" s="448">
        <v>0.5006852849392937</v>
      </c>
      <c r="I36" s="449">
        <v>3179.97</v>
      </c>
      <c r="J36" s="449">
        <v>487.76</v>
      </c>
      <c r="K36" s="447">
        <v>1741701.0546737954</v>
      </c>
      <c r="L36" s="447">
        <v>1393360.8437390365</v>
      </c>
      <c r="M36" s="447">
        <v>425221.739397987</v>
      </c>
      <c r="N36" s="447">
        <v>348340.210934759</v>
      </c>
      <c r="O36" s="450">
        <v>1.2207081641735218</v>
      </c>
      <c r="P36" s="451">
        <v>0.8301230509649958</v>
      </c>
      <c r="Q36" s="452">
        <v>0.16981961443848953</v>
      </c>
      <c r="R36" s="447">
        <v>1818582.5831370235</v>
      </c>
      <c r="S36" s="447">
        <v>1229361.826200628</v>
      </c>
      <c r="T36" s="447">
        <v>179654.91352233887</v>
      </c>
      <c r="U36" s="447">
        <v>442056.521738829</v>
      </c>
      <c r="V36" s="447">
        <v>414636.82895524136</v>
      </c>
      <c r="W36" s="450">
        <v>1.0661294194552782</v>
      </c>
      <c r="X36" s="452">
        <v>18.715370018663176</v>
      </c>
      <c r="Y36" s="447">
        <v>179654.91352233887</v>
      </c>
      <c r="Z36" s="447">
        <v>174583.92798115427</v>
      </c>
      <c r="AA36" s="448">
        <v>1.0290461189630926</v>
      </c>
      <c r="AB36" s="448">
        <v>0.08095098984085554</v>
      </c>
      <c r="AC36" s="449">
        <v>599</v>
      </c>
      <c r="AD36" s="449">
        <v>587</v>
      </c>
      <c r="AE36" s="447">
        <v>1851073.2614617958</v>
      </c>
      <c r="AF36" s="447">
        <v>0</v>
      </c>
      <c r="AG36" s="451">
        <v>0</v>
      </c>
      <c r="AH36" s="450">
        <v>0.023025203563637704</v>
      </c>
      <c r="AI36" s="452">
        <v>0.01938975229859352</v>
      </c>
      <c r="AJ36" s="447">
        <v>1851073.2614617958</v>
      </c>
      <c r="AK36" s="453">
        <v>1.0332</v>
      </c>
      <c r="AL36" s="447">
        <v>1912528.893742327</v>
      </c>
      <c r="AM36" s="447">
        <v>4499151.42412009</v>
      </c>
      <c r="AN36" s="447">
        <v>4454743.909123067</v>
      </c>
      <c r="AO36" s="447">
        <v>4228250.307396022</v>
      </c>
      <c r="AP36" s="447">
        <v>4454743.909123067</v>
      </c>
      <c r="AQ36" s="447">
        <v>29301.68</v>
      </c>
      <c r="AR36" s="447">
        <v>4484045.5891230665</v>
      </c>
      <c r="AS36" s="454">
        <v>612.1212966796534</v>
      </c>
      <c r="AT36" s="450">
        <v>7285</v>
      </c>
      <c r="AU36" s="450">
        <v>96</v>
      </c>
      <c r="AV36" s="450">
        <v>482</v>
      </c>
      <c r="AW36" s="450">
        <v>571</v>
      </c>
      <c r="AX36" s="450">
        <v>78</v>
      </c>
      <c r="AY36" s="450">
        <v>941</v>
      </c>
      <c r="AZ36" s="450">
        <v>377</v>
      </c>
      <c r="BA36" s="450">
        <v>368</v>
      </c>
      <c r="BB36" s="450">
        <v>552</v>
      </c>
      <c r="BC36" s="450">
        <v>137</v>
      </c>
      <c r="BD36" s="450">
        <v>2188</v>
      </c>
      <c r="BE36" s="450">
        <v>1188</v>
      </c>
      <c r="BF36" s="450">
        <v>56</v>
      </c>
      <c r="BG36" s="450">
        <v>238</v>
      </c>
      <c r="BH36" s="450">
        <v>0</v>
      </c>
      <c r="BI36" s="450">
        <v>13</v>
      </c>
      <c r="BJ36" s="452">
        <v>1.7712334765282507</v>
      </c>
      <c r="BK36" s="452">
        <v>18.699757064293443</v>
      </c>
      <c r="BL36" s="452">
        <v>8.40077307969708</v>
      </c>
      <c r="BM36" s="452">
        <v>20.597967969192727</v>
      </c>
      <c r="BN36" s="449">
        <v>6041</v>
      </c>
      <c r="BO36" s="449">
        <v>1244</v>
      </c>
      <c r="BP36" s="447">
        <v>2510955.4845642205</v>
      </c>
      <c r="BQ36" s="447">
        <v>7921539</v>
      </c>
      <c r="BR36" s="447">
        <v>9993036</v>
      </c>
      <c r="BS36" s="448">
        <v>0.08140013726835964</v>
      </c>
      <c r="BT36" s="449">
        <v>599</v>
      </c>
      <c r="BU36" s="449">
        <v>587</v>
      </c>
      <c r="BV36" s="447">
        <v>813434.5021276595</v>
      </c>
      <c r="BW36" s="448">
        <v>0.014652880675535763</v>
      </c>
      <c r="BX36" s="447">
        <v>31549.52155931131</v>
      </c>
      <c r="BY36" s="447">
        <v>11277478.508251192</v>
      </c>
      <c r="BZ36" s="455">
        <v>0.99</v>
      </c>
      <c r="CA36" s="447">
        <v>11164703.723168679</v>
      </c>
      <c r="CB36" s="447">
        <v>8396159.82963755</v>
      </c>
      <c r="CC36" s="447">
        <v>8385883.597276091</v>
      </c>
      <c r="CD36" s="447">
        <v>7739021.785788822</v>
      </c>
      <c r="CE36" s="447">
        <v>8385883.597276091</v>
      </c>
      <c r="CF36" s="454">
        <v>1151.1164855560867</v>
      </c>
      <c r="CG36" s="450">
        <v>7285</v>
      </c>
      <c r="CH36" s="450">
        <v>96</v>
      </c>
      <c r="CI36" s="450">
        <v>482</v>
      </c>
      <c r="CJ36" s="450">
        <v>571</v>
      </c>
      <c r="CK36" s="450">
        <v>78</v>
      </c>
      <c r="CL36" s="450">
        <v>941</v>
      </c>
      <c r="CM36" s="450">
        <v>377</v>
      </c>
      <c r="CN36" s="450">
        <v>368</v>
      </c>
      <c r="CO36" s="450">
        <v>552</v>
      </c>
      <c r="CP36" s="450">
        <v>137</v>
      </c>
      <c r="CQ36" s="450">
        <v>2188</v>
      </c>
      <c r="CR36" s="450">
        <v>1188</v>
      </c>
      <c r="CS36" s="450">
        <v>56</v>
      </c>
      <c r="CT36" s="450">
        <v>238</v>
      </c>
      <c r="CU36" s="450">
        <v>0</v>
      </c>
      <c r="CV36" s="450">
        <v>13</v>
      </c>
      <c r="CW36" s="447">
        <v>5411172.132375286</v>
      </c>
      <c r="CX36" s="452">
        <v>0.9664512139506133</v>
      </c>
      <c r="CY36" s="452">
        <v>0.99</v>
      </c>
      <c r="CZ36" s="447">
        <v>5229633.876229824</v>
      </c>
      <c r="DA36" s="454">
        <v>717.8632637240664</v>
      </c>
      <c r="DB36" s="449">
        <v>7325.42</v>
      </c>
      <c r="DC36" s="452">
        <v>0.9992711680695443</v>
      </c>
      <c r="DD36" s="454">
        <v>330.1</v>
      </c>
      <c r="DE36" s="447">
        <v>71272</v>
      </c>
      <c r="DF36" s="454">
        <v>63.33507794995057</v>
      </c>
      <c r="DG36" s="454">
        <v>66.05848630179844</v>
      </c>
      <c r="DH36" s="454">
        <v>67.511773000438</v>
      </c>
      <c r="DI36" s="454">
        <v>68.99703200644763</v>
      </c>
      <c r="DJ36" s="454">
        <v>71.27393406266039</v>
      </c>
      <c r="DK36" s="454">
        <v>73.83979568891615</v>
      </c>
      <c r="DL36" s="454">
        <v>76.20266915096146</v>
      </c>
      <c r="DM36" s="454">
        <v>79.32697858615087</v>
      </c>
      <c r="DN36" s="454">
        <v>82.8173656439415</v>
      </c>
      <c r="DO36" s="454">
        <v>87.37232075435827</v>
      </c>
      <c r="DP36" s="454">
        <v>86.58596986756905</v>
      </c>
      <c r="DQ36" s="454">
        <v>91.00185433081506</v>
      </c>
      <c r="DR36" s="454">
        <v>96.55296744499478</v>
      </c>
      <c r="DS36" s="454">
        <v>48.41</v>
      </c>
      <c r="DT36" s="454">
        <v>51.278695300043786</v>
      </c>
      <c r="DU36" s="454">
        <v>54.25018275328951</v>
      </c>
      <c r="DV36" s="454">
        <v>57.9446256939621</v>
      </c>
      <c r="DW36" s="454">
        <v>62.00336985751207</v>
      </c>
      <c r="DX36" s="454">
        <v>66.02334293595395</v>
      </c>
      <c r="DY36" s="454">
        <v>70.84963571429262</v>
      </c>
      <c r="DZ36" s="454">
        <v>74.95039145885704</v>
      </c>
      <c r="EA36" s="454">
        <v>77.30251137155388</v>
      </c>
      <c r="EB36" s="454">
        <v>79.85733635825196</v>
      </c>
      <c r="EC36" s="454">
        <v>85.34441927618126</v>
      </c>
      <c r="ED36" s="454">
        <v>92.05106350026992</v>
      </c>
      <c r="EE36" s="454">
        <v>-3.67</v>
      </c>
      <c r="EF36" s="454">
        <v>88.38106350026992</v>
      </c>
      <c r="EG36" s="454">
        <v>4595.815302014035</v>
      </c>
      <c r="EH36" s="447">
        <v>32992951.783086058</v>
      </c>
      <c r="EI36" s="454">
        <v>48.69</v>
      </c>
      <c r="EJ36" s="454">
        <v>51.53623930004379</v>
      </c>
      <c r="EK36" s="454">
        <v>54.48414716928951</v>
      </c>
      <c r="EL36" s="454">
        <v>58.1561002804741</v>
      </c>
      <c r="EM36" s="454">
        <v>62.19115929033473</v>
      </c>
      <c r="EN36" s="454">
        <v>66.18484184818143</v>
      </c>
      <c r="EO36" s="454">
        <v>70.98413200839568</v>
      </c>
      <c r="EP36" s="454">
        <v>75.07520401978466</v>
      </c>
      <c r="EQ36" s="454">
        <v>77.42154095049186</v>
      </c>
      <c r="ER36" s="454">
        <v>79.93687176781093</v>
      </c>
      <c r="ES36" s="454">
        <v>85.41129264853843</v>
      </c>
      <c r="ET36" s="454">
        <v>92.10427798632315</v>
      </c>
      <c r="EU36" s="447">
        <v>10473256</v>
      </c>
      <c r="EV36" s="447">
        <v>0</v>
      </c>
      <c r="EW36" s="447">
        <v>0</v>
      </c>
      <c r="EX36" s="447">
        <v>0</v>
      </c>
      <c r="EY36" s="447">
        <v>0</v>
      </c>
      <c r="EZ36" s="447">
        <v>0</v>
      </c>
      <c r="FA36" s="447">
        <v>0</v>
      </c>
      <c r="FB36" s="447">
        <v>0</v>
      </c>
      <c r="FC36" s="447">
        <v>0</v>
      </c>
      <c r="FD36" s="447">
        <v>10473256</v>
      </c>
      <c r="FE36" s="447">
        <v>45642.1513076083</v>
      </c>
      <c r="FF36" s="447">
        <v>0</v>
      </c>
      <c r="FG36" s="447">
        <v>0</v>
      </c>
      <c r="FH36" s="447">
        <v>7034</v>
      </c>
      <c r="FI36" s="456">
        <v>0.0313</v>
      </c>
      <c r="FJ36" s="447">
        <v>220.16420000000002</v>
      </c>
      <c r="FK36" s="471">
        <v>220.16420000000002</v>
      </c>
      <c r="FL36" s="498">
        <v>90.67</v>
      </c>
      <c r="FM36" s="37">
        <v>85.07</v>
      </c>
      <c r="FN36" s="37">
        <v>81.4</v>
      </c>
      <c r="FO36" s="37">
        <v>-3.67</v>
      </c>
      <c r="FP36" s="40">
        <v>80.98</v>
      </c>
      <c r="FQ36" s="446">
        <v>301327</v>
      </c>
      <c r="FR36" s="450">
        <v>0</v>
      </c>
      <c r="FS36" s="450">
        <v>0</v>
      </c>
      <c r="FT36" s="450">
        <v>0</v>
      </c>
      <c r="FU36" s="450">
        <v>0</v>
      </c>
      <c r="FV36" s="450">
        <v>0</v>
      </c>
      <c r="FW36" s="450">
        <v>0</v>
      </c>
      <c r="FX36" s="450">
        <v>0</v>
      </c>
      <c r="FY36" s="450">
        <v>0</v>
      </c>
      <c r="FZ36" s="450">
        <v>0</v>
      </c>
      <c r="GA36" s="450">
        <v>0</v>
      </c>
      <c r="GB36" s="450">
        <v>0</v>
      </c>
      <c r="GC36" s="450">
        <v>0</v>
      </c>
      <c r="GD36" s="450">
        <v>0</v>
      </c>
      <c r="GE36" s="450">
        <v>0</v>
      </c>
      <c r="GF36" s="450">
        <v>0</v>
      </c>
      <c r="GG36" s="450">
        <v>0</v>
      </c>
      <c r="GH36" s="450">
        <v>0</v>
      </c>
      <c r="GI36" s="450">
        <v>0</v>
      </c>
      <c r="GJ36" s="450">
        <v>0</v>
      </c>
      <c r="GK36" s="450">
        <v>0</v>
      </c>
      <c r="GL36" s="450">
        <v>0</v>
      </c>
      <c r="GM36" s="450">
        <v>0</v>
      </c>
      <c r="GN36" s="450">
        <v>0</v>
      </c>
      <c r="GO36" s="450">
        <v>0</v>
      </c>
      <c r="GP36" s="450">
        <v>0</v>
      </c>
      <c r="GQ36" s="450">
        <v>0</v>
      </c>
      <c r="GR36" s="450">
        <v>0</v>
      </c>
      <c r="GS36" s="450">
        <v>0</v>
      </c>
      <c r="GT36" s="450">
        <v>0</v>
      </c>
      <c r="GU36" s="450">
        <v>0</v>
      </c>
      <c r="GV36" s="450">
        <v>0</v>
      </c>
      <c r="GW36" s="450">
        <v>6793032</v>
      </c>
      <c r="GX36" s="450">
        <v>893250</v>
      </c>
      <c r="GY36" s="450">
        <v>1176250</v>
      </c>
      <c r="GZ36" s="450">
        <v>10</v>
      </c>
      <c r="HA36" s="450" t="s">
        <v>888</v>
      </c>
      <c r="HB36" s="450" t="s">
        <v>888</v>
      </c>
      <c r="HC36" s="450">
        <v>21</v>
      </c>
      <c r="HD36" s="450">
        <v>0</v>
      </c>
      <c r="HE36" s="450">
        <v>0</v>
      </c>
      <c r="HF36" s="450">
        <v>0</v>
      </c>
      <c r="HG36" s="472">
        <v>0</v>
      </c>
    </row>
    <row r="37" spans="2:215" ht="12.75">
      <c r="B37" s="445" t="s">
        <v>712</v>
      </c>
      <c r="C37" s="446">
        <v>23775</v>
      </c>
      <c r="D37" s="447">
        <v>5570375</v>
      </c>
      <c r="E37" s="447">
        <v>4779381.75</v>
      </c>
      <c r="F37" s="447">
        <v>1366342.4505078318</v>
      </c>
      <c r="G37" s="447">
        <v>790993.25</v>
      </c>
      <c r="H37" s="448">
        <v>0.8508092534174554</v>
      </c>
      <c r="I37" s="449">
        <v>20068.61</v>
      </c>
      <c r="J37" s="449">
        <v>159.38</v>
      </c>
      <c r="K37" s="447">
        <v>6145724.200507832</v>
      </c>
      <c r="L37" s="447">
        <v>4916579.360406266</v>
      </c>
      <c r="M37" s="447">
        <v>2705721.318677416</v>
      </c>
      <c r="N37" s="447">
        <v>1229144.8401015662</v>
      </c>
      <c r="O37" s="450">
        <v>2.20130389064143</v>
      </c>
      <c r="P37" s="451">
        <v>0.07592008412197687</v>
      </c>
      <c r="Q37" s="452">
        <v>0.9240799158780232</v>
      </c>
      <c r="R37" s="447">
        <v>7622300.679083682</v>
      </c>
      <c r="S37" s="447">
        <v>5152675.259060569</v>
      </c>
      <c r="T37" s="447">
        <v>376573.8839559744</v>
      </c>
      <c r="U37" s="447">
        <v>2539101.2775288</v>
      </c>
      <c r="V37" s="447">
        <v>1737884.5548310794</v>
      </c>
      <c r="W37" s="450">
        <v>1.4610298885909587</v>
      </c>
      <c r="X37" s="452">
        <v>25.647650720751017</v>
      </c>
      <c r="Y37" s="447">
        <v>376573.8839559744</v>
      </c>
      <c r="Z37" s="447">
        <v>731740.8651920335</v>
      </c>
      <c r="AA37" s="448">
        <v>0.5146273795398166</v>
      </c>
      <c r="AB37" s="448">
        <v>0.04048370136698212</v>
      </c>
      <c r="AC37" s="449">
        <v>930</v>
      </c>
      <c r="AD37" s="449">
        <v>995</v>
      </c>
      <c r="AE37" s="447">
        <v>8068350.420545343</v>
      </c>
      <c r="AF37" s="447">
        <v>685148.944545918</v>
      </c>
      <c r="AG37" s="451">
        <v>0.75</v>
      </c>
      <c r="AH37" s="450">
        <v>0.3911641277836053</v>
      </c>
      <c r="AI37" s="452">
        <v>0.32940319180488586</v>
      </c>
      <c r="AJ37" s="447">
        <v>8753499.36509126</v>
      </c>
      <c r="AK37" s="453">
        <v>1.1982</v>
      </c>
      <c r="AL37" s="447">
        <v>10488442.939252349</v>
      </c>
      <c r="AM37" s="447">
        <v>24673662.78299858</v>
      </c>
      <c r="AN37" s="447">
        <v>24430128.848089557</v>
      </c>
      <c r="AO37" s="447">
        <v>26726685.446388446</v>
      </c>
      <c r="AP37" s="447">
        <v>26726685.446388446</v>
      </c>
      <c r="AQ37" s="447">
        <v>95100</v>
      </c>
      <c r="AR37" s="447">
        <v>26821785.446388446</v>
      </c>
      <c r="AS37" s="454">
        <v>1128.1508074190724</v>
      </c>
      <c r="AT37" s="450">
        <v>23775</v>
      </c>
      <c r="AU37" s="450">
        <v>13</v>
      </c>
      <c r="AV37" s="450">
        <v>18</v>
      </c>
      <c r="AW37" s="450">
        <v>450</v>
      </c>
      <c r="AX37" s="450">
        <v>10</v>
      </c>
      <c r="AY37" s="450">
        <v>49</v>
      </c>
      <c r="AZ37" s="450">
        <v>24</v>
      </c>
      <c r="BA37" s="450">
        <v>503</v>
      </c>
      <c r="BB37" s="450">
        <v>7</v>
      </c>
      <c r="BC37" s="450">
        <v>245</v>
      </c>
      <c r="BD37" s="450">
        <v>334</v>
      </c>
      <c r="BE37" s="450">
        <v>13711</v>
      </c>
      <c r="BF37" s="450">
        <v>8259</v>
      </c>
      <c r="BG37" s="450">
        <v>7</v>
      </c>
      <c r="BH37" s="450">
        <v>100</v>
      </c>
      <c r="BI37" s="450">
        <v>45</v>
      </c>
      <c r="BJ37" s="452">
        <v>2.3293481101449163</v>
      </c>
      <c r="BK37" s="452">
        <v>14.102931663138085</v>
      </c>
      <c r="BL37" s="452">
        <v>6.090331686661962</v>
      </c>
      <c r="BM37" s="452">
        <v>16.025199952952246</v>
      </c>
      <c r="BN37" s="449">
        <v>1805</v>
      </c>
      <c r="BO37" s="449">
        <v>21970</v>
      </c>
      <c r="BP37" s="447">
        <v>9702093.598362539</v>
      </c>
      <c r="BQ37" s="447">
        <v>31517329</v>
      </c>
      <c r="BR37" s="447">
        <v>30516878</v>
      </c>
      <c r="BS37" s="448">
        <v>0.04048370136698212</v>
      </c>
      <c r="BT37" s="449">
        <v>930</v>
      </c>
      <c r="BU37" s="449">
        <v>995</v>
      </c>
      <c r="BV37" s="447">
        <v>1235436.1756046265</v>
      </c>
      <c r="BW37" s="448">
        <v>0.011521858674444744</v>
      </c>
      <c r="BX37" s="447">
        <v>61059.98807217807</v>
      </c>
      <c r="BY37" s="447">
        <v>42515918.76203935</v>
      </c>
      <c r="BZ37" s="455">
        <v>1.1933333333333331</v>
      </c>
      <c r="CA37" s="447">
        <v>50735663.05603361</v>
      </c>
      <c r="CB37" s="447">
        <v>38154593.856091656</v>
      </c>
      <c r="CC37" s="447">
        <v>38107895.66548096</v>
      </c>
      <c r="CD37" s="447">
        <v>37564910.708311096</v>
      </c>
      <c r="CE37" s="447">
        <v>38107895.66548096</v>
      </c>
      <c r="CF37" s="454">
        <v>1602.8557588004608</v>
      </c>
      <c r="CG37" s="450">
        <v>23182</v>
      </c>
      <c r="CH37" s="450">
        <v>13</v>
      </c>
      <c r="CI37" s="450">
        <v>18</v>
      </c>
      <c r="CJ37" s="450">
        <v>450</v>
      </c>
      <c r="CK37" s="450">
        <v>10</v>
      </c>
      <c r="CL37" s="450">
        <v>49</v>
      </c>
      <c r="CM37" s="450">
        <v>24</v>
      </c>
      <c r="CN37" s="450">
        <v>503</v>
      </c>
      <c r="CO37" s="450">
        <v>7</v>
      </c>
      <c r="CP37" s="450">
        <v>245</v>
      </c>
      <c r="CQ37" s="450">
        <v>334</v>
      </c>
      <c r="CR37" s="450">
        <v>13711</v>
      </c>
      <c r="CS37" s="450">
        <v>7666</v>
      </c>
      <c r="CT37" s="450">
        <v>7</v>
      </c>
      <c r="CU37" s="450">
        <v>100</v>
      </c>
      <c r="CV37" s="450">
        <v>45</v>
      </c>
      <c r="CW37" s="447">
        <v>20675148.793644264</v>
      </c>
      <c r="CX37" s="452">
        <v>1.1649479279270019</v>
      </c>
      <c r="CY37" s="452">
        <v>1.1933333333333331</v>
      </c>
      <c r="CZ37" s="447">
        <v>24085471.746738337</v>
      </c>
      <c r="DA37" s="454">
        <v>1038.972985365298</v>
      </c>
      <c r="DB37" s="449">
        <v>23775</v>
      </c>
      <c r="DC37" s="452">
        <v>0.9819432176656149</v>
      </c>
      <c r="DD37" s="454">
        <v>354.1</v>
      </c>
      <c r="DE37" s="447">
        <v>97784</v>
      </c>
      <c r="DF37" s="454">
        <v>74.22385699965139</v>
      </c>
      <c r="DG37" s="454">
        <v>77.4154828506364</v>
      </c>
      <c r="DH37" s="454">
        <v>79.11862347335038</v>
      </c>
      <c r="DI37" s="454">
        <v>80.85923318976407</v>
      </c>
      <c r="DJ37" s="454">
        <v>83.52758788502628</v>
      </c>
      <c r="DK37" s="454">
        <v>86.5345810488872</v>
      </c>
      <c r="DL37" s="454">
        <v>89.30368764245158</v>
      </c>
      <c r="DM37" s="454">
        <v>92.96513883579209</v>
      </c>
      <c r="DN37" s="454">
        <v>97.05560494456692</v>
      </c>
      <c r="DO37" s="454">
        <v>102.39366321651809</v>
      </c>
      <c r="DP37" s="454">
        <v>101.47212024756944</v>
      </c>
      <c r="DQ37" s="454">
        <v>106.64719838019548</v>
      </c>
      <c r="DR37" s="454">
        <v>113.1526774813874</v>
      </c>
      <c r="DS37" s="454">
        <v>52.09</v>
      </c>
      <c r="DT37" s="454">
        <v>55.82424434733503</v>
      </c>
      <c r="DU37" s="454">
        <v>59.697583885952795</v>
      </c>
      <c r="DV37" s="454">
        <v>64.40010212054386</v>
      </c>
      <c r="DW37" s="454">
        <v>69.54937369002683</v>
      </c>
      <c r="DX37" s="454">
        <v>74.69640931383165</v>
      </c>
      <c r="DY37" s="454">
        <v>80.80019744371742</v>
      </c>
      <c r="DZ37" s="454">
        <v>85.76653933272163</v>
      </c>
      <c r="EA37" s="454">
        <v>88.61893389140674</v>
      </c>
      <c r="EB37" s="454">
        <v>92.26786406006009</v>
      </c>
      <c r="EC37" s="454">
        <v>98.90825977773761</v>
      </c>
      <c r="ED37" s="454">
        <v>106.99441708848155</v>
      </c>
      <c r="EE37" s="454">
        <v>-5.47</v>
      </c>
      <c r="EF37" s="454">
        <v>101.52441708848156</v>
      </c>
      <c r="EG37" s="454">
        <v>5279.269688601041</v>
      </c>
      <c r="EH37" s="447">
        <v>123004344.10955994</v>
      </c>
      <c r="EI37" s="454">
        <v>66.75</v>
      </c>
      <c r="EJ37" s="454">
        <v>69.30851234733503</v>
      </c>
      <c r="EK37" s="454">
        <v>71.9472922379528</v>
      </c>
      <c r="EL37" s="454">
        <v>75.47230725720786</v>
      </c>
      <c r="EM37" s="454">
        <v>79.38149185138445</v>
      </c>
      <c r="EN37" s="454">
        <v>83.1520309325992</v>
      </c>
      <c r="EO37" s="454">
        <v>87.84203912782704</v>
      </c>
      <c r="EP37" s="454">
        <v>92.30136841557535</v>
      </c>
      <c r="EQ37" s="454">
        <v>94.85098256008824</v>
      </c>
      <c r="ER37" s="454">
        <v>96.43211086053995</v>
      </c>
      <c r="ES37" s="454">
        <v>102.40955848758108</v>
      </c>
      <c r="ET37" s="454">
        <v>109.78057553683948</v>
      </c>
      <c r="EU37" s="447">
        <v>558155521</v>
      </c>
      <c r="EV37" s="447">
        <v>0</v>
      </c>
      <c r="EW37" s="447">
        <v>0</v>
      </c>
      <c r="EX37" s="447">
        <v>0</v>
      </c>
      <c r="EY37" s="447">
        <v>0</v>
      </c>
      <c r="EZ37" s="447">
        <v>0</v>
      </c>
      <c r="FA37" s="447">
        <v>0</v>
      </c>
      <c r="FB37" s="447">
        <v>0</v>
      </c>
      <c r="FC37" s="447">
        <v>0</v>
      </c>
      <c r="FD37" s="447">
        <v>558155521</v>
      </c>
      <c r="FE37" s="447">
        <v>313368.06132475677</v>
      </c>
      <c r="FF37" s="447">
        <v>0</v>
      </c>
      <c r="FG37" s="447">
        <v>0</v>
      </c>
      <c r="FH37" s="447">
        <v>26234</v>
      </c>
      <c r="FI37" s="456">
        <v>0.0641</v>
      </c>
      <c r="FJ37" s="447">
        <v>1681.5994</v>
      </c>
      <c r="FK37" s="471">
        <v>1681.5994</v>
      </c>
      <c r="FL37" s="498">
        <v>107.09</v>
      </c>
      <c r="FM37" s="37">
        <v>101.95</v>
      </c>
      <c r="FN37" s="37">
        <v>96.48</v>
      </c>
      <c r="FO37" s="37">
        <v>-5.47</v>
      </c>
      <c r="FP37" s="40">
        <v>91.74</v>
      </c>
      <c r="FQ37" s="446">
        <v>6872236</v>
      </c>
      <c r="FR37" s="450">
        <v>289604</v>
      </c>
      <c r="FS37" s="450">
        <v>4149012</v>
      </c>
      <c r="FT37" s="450">
        <v>3034016</v>
      </c>
      <c r="FU37" s="450">
        <v>3034160</v>
      </c>
      <c r="FV37" s="450">
        <v>3047649</v>
      </c>
      <c r="FW37" s="450">
        <v>3043830</v>
      </c>
      <c r="FX37" s="450">
        <v>2850702</v>
      </c>
      <c r="FY37" s="450">
        <v>2851234</v>
      </c>
      <c r="FZ37" s="450">
        <v>2722141</v>
      </c>
      <c r="GA37" s="450">
        <v>2722121</v>
      </c>
      <c r="GB37" s="450">
        <v>2722115</v>
      </c>
      <c r="GC37" s="450">
        <v>2722149</v>
      </c>
      <c r="GD37" s="450">
        <v>2722165</v>
      </c>
      <c r="GE37" s="450">
        <v>2722165</v>
      </c>
      <c r="GF37" s="450">
        <v>2721989</v>
      </c>
      <c r="GG37" s="450">
        <v>2721505</v>
      </c>
      <c r="GH37" s="450">
        <v>2721503</v>
      </c>
      <c r="GI37" s="450">
        <v>2721112</v>
      </c>
      <c r="GJ37" s="450">
        <v>2721140</v>
      </c>
      <c r="GK37" s="450">
        <v>2721090</v>
      </c>
      <c r="GL37" s="450">
        <v>2721090</v>
      </c>
      <c r="GM37" s="450">
        <v>2721090</v>
      </c>
      <c r="GN37" s="450">
        <v>2721090</v>
      </c>
      <c r="GO37" s="450">
        <v>2721090</v>
      </c>
      <c r="GP37" s="450">
        <v>2720943</v>
      </c>
      <c r="GQ37" s="450">
        <v>2720265</v>
      </c>
      <c r="GR37" s="450">
        <v>2721120</v>
      </c>
      <c r="GS37" s="450">
        <v>2722131</v>
      </c>
      <c r="GT37" s="450">
        <v>2722115</v>
      </c>
      <c r="GU37" s="450">
        <v>2722115</v>
      </c>
      <c r="GV37" s="450">
        <v>2721071</v>
      </c>
      <c r="GW37" s="450">
        <v>8824406</v>
      </c>
      <c r="GX37" s="450">
        <v>468887000</v>
      </c>
      <c r="GY37" s="450">
        <v>480304000</v>
      </c>
      <c r="GZ37" s="450">
        <v>160</v>
      </c>
      <c r="HA37" s="450" t="s">
        <v>888</v>
      </c>
      <c r="HB37" s="450" t="s">
        <v>888</v>
      </c>
      <c r="HC37" s="450">
        <v>57</v>
      </c>
      <c r="HD37" s="450">
        <v>0</v>
      </c>
      <c r="HE37" s="450">
        <v>0</v>
      </c>
      <c r="HF37" s="450">
        <v>0</v>
      </c>
      <c r="HG37" s="472">
        <v>0</v>
      </c>
    </row>
    <row r="38" spans="2:215" ht="12.75">
      <c r="B38" s="445" t="s">
        <v>713</v>
      </c>
      <c r="C38" s="446">
        <v>5421</v>
      </c>
      <c r="D38" s="447">
        <v>1293893</v>
      </c>
      <c r="E38" s="447">
        <v>1110160.194</v>
      </c>
      <c r="F38" s="447">
        <v>113341.70909739686</v>
      </c>
      <c r="G38" s="447">
        <v>183732.806</v>
      </c>
      <c r="H38" s="448">
        <v>0.3038424644899465</v>
      </c>
      <c r="I38" s="449">
        <v>1103.6</v>
      </c>
      <c r="J38" s="449">
        <v>543.53</v>
      </c>
      <c r="K38" s="447">
        <v>1223501.9030973967</v>
      </c>
      <c r="L38" s="447">
        <v>978801.5224779174</v>
      </c>
      <c r="M38" s="447">
        <v>249629.59691972777</v>
      </c>
      <c r="N38" s="447">
        <v>244700.38061947929</v>
      </c>
      <c r="O38" s="450">
        <v>1.0201438848920863</v>
      </c>
      <c r="P38" s="451">
        <v>0.9845047039291643</v>
      </c>
      <c r="Q38" s="452">
        <v>0.01549529607083564</v>
      </c>
      <c r="R38" s="447">
        <v>1228431.1193976451</v>
      </c>
      <c r="S38" s="447">
        <v>830419.4367128082</v>
      </c>
      <c r="T38" s="447">
        <v>110200.51821023562</v>
      </c>
      <c r="U38" s="447">
        <v>320212.52465906594</v>
      </c>
      <c r="V38" s="447">
        <v>280082.2952226631</v>
      </c>
      <c r="W38" s="450">
        <v>1.1432801363060083</v>
      </c>
      <c r="X38" s="452">
        <v>20.069712359018315</v>
      </c>
      <c r="Y38" s="447">
        <v>110200.51821023562</v>
      </c>
      <c r="Z38" s="447">
        <v>117929.38746217394</v>
      </c>
      <c r="AA38" s="448">
        <v>0.9344618892859308</v>
      </c>
      <c r="AB38" s="448">
        <v>0.07351042243128574</v>
      </c>
      <c r="AC38" s="449">
        <v>341</v>
      </c>
      <c r="AD38" s="449">
        <v>456</v>
      </c>
      <c r="AE38" s="447">
        <v>1260832.4795821097</v>
      </c>
      <c r="AF38" s="447">
        <v>0</v>
      </c>
      <c r="AG38" s="451">
        <v>0</v>
      </c>
      <c r="AH38" s="450">
        <v>0.14756390737429803</v>
      </c>
      <c r="AI38" s="452">
        <v>0.12426503002643585</v>
      </c>
      <c r="AJ38" s="447">
        <v>1260832.4795821097</v>
      </c>
      <c r="AK38" s="453">
        <v>1</v>
      </c>
      <c r="AL38" s="447">
        <v>1260832.4795821097</v>
      </c>
      <c r="AM38" s="447">
        <v>2966060.4159494527</v>
      </c>
      <c r="AN38" s="447">
        <v>2936784.8126218515</v>
      </c>
      <c r="AO38" s="447">
        <v>2837046.3202398224</v>
      </c>
      <c r="AP38" s="447">
        <v>2936784.8126218515</v>
      </c>
      <c r="AQ38" s="447">
        <v>21684</v>
      </c>
      <c r="AR38" s="447">
        <v>2958468.8126218515</v>
      </c>
      <c r="AS38" s="454">
        <v>545.7422639036804</v>
      </c>
      <c r="AT38" s="450">
        <v>5421</v>
      </c>
      <c r="AU38" s="450">
        <v>7</v>
      </c>
      <c r="AV38" s="450">
        <v>587</v>
      </c>
      <c r="AW38" s="450">
        <v>95</v>
      </c>
      <c r="AX38" s="450">
        <v>14</v>
      </c>
      <c r="AY38" s="450">
        <v>754</v>
      </c>
      <c r="AZ38" s="450">
        <v>191</v>
      </c>
      <c r="BA38" s="450">
        <v>36</v>
      </c>
      <c r="BB38" s="450">
        <v>548</v>
      </c>
      <c r="BC38" s="450">
        <v>4</v>
      </c>
      <c r="BD38" s="450">
        <v>1152</v>
      </c>
      <c r="BE38" s="450">
        <v>84</v>
      </c>
      <c r="BF38" s="450">
        <v>0</v>
      </c>
      <c r="BG38" s="450">
        <v>1949</v>
      </c>
      <c r="BH38" s="450">
        <v>0</v>
      </c>
      <c r="BI38" s="450">
        <v>0</v>
      </c>
      <c r="BJ38" s="452">
        <v>1.3746489061731644</v>
      </c>
      <c r="BK38" s="452">
        <v>12.35831543143573</v>
      </c>
      <c r="BL38" s="452">
        <v>8.157524764291681</v>
      </c>
      <c r="BM38" s="452">
        <v>8.401581334288101</v>
      </c>
      <c r="BN38" s="449">
        <v>5337</v>
      </c>
      <c r="BO38" s="449">
        <v>84</v>
      </c>
      <c r="BP38" s="447">
        <v>1607187.2644392292</v>
      </c>
      <c r="BQ38" s="447">
        <v>5378721</v>
      </c>
      <c r="BR38" s="447">
        <v>7112129</v>
      </c>
      <c r="BS38" s="448">
        <v>0.07351042243128574</v>
      </c>
      <c r="BT38" s="449">
        <v>341</v>
      </c>
      <c r="BU38" s="449">
        <v>456</v>
      </c>
      <c r="BV38" s="447">
        <v>522815.6071757978</v>
      </c>
      <c r="BW38" s="448">
        <v>0.009222740819988064</v>
      </c>
      <c r="BX38" s="447">
        <v>9765.689940882587</v>
      </c>
      <c r="BY38" s="447">
        <v>7518489.561555909</v>
      </c>
      <c r="BZ38" s="455">
        <v>0.93</v>
      </c>
      <c r="CA38" s="447">
        <v>6992195.2922469955</v>
      </c>
      <c r="CB38" s="447">
        <v>5258320.38981175</v>
      </c>
      <c r="CC38" s="447">
        <v>5251884.623550373</v>
      </c>
      <c r="CD38" s="447">
        <v>5096731.346319362</v>
      </c>
      <c r="CE38" s="447">
        <v>5251884.623550373</v>
      </c>
      <c r="CF38" s="454">
        <v>968.803656806931</v>
      </c>
      <c r="CG38" s="450">
        <v>5421</v>
      </c>
      <c r="CH38" s="450">
        <v>7</v>
      </c>
      <c r="CI38" s="450">
        <v>587</v>
      </c>
      <c r="CJ38" s="450">
        <v>95</v>
      </c>
      <c r="CK38" s="450">
        <v>14</v>
      </c>
      <c r="CL38" s="450">
        <v>754</v>
      </c>
      <c r="CM38" s="450">
        <v>191</v>
      </c>
      <c r="CN38" s="450">
        <v>36</v>
      </c>
      <c r="CO38" s="450">
        <v>548</v>
      </c>
      <c r="CP38" s="450">
        <v>4</v>
      </c>
      <c r="CQ38" s="450">
        <v>1152</v>
      </c>
      <c r="CR38" s="450">
        <v>84</v>
      </c>
      <c r="CS38" s="450">
        <v>0</v>
      </c>
      <c r="CT38" s="450">
        <v>1949</v>
      </c>
      <c r="CU38" s="450">
        <v>0</v>
      </c>
      <c r="CV38" s="450">
        <v>0</v>
      </c>
      <c r="CW38" s="447">
        <v>3789665.314590451</v>
      </c>
      <c r="CX38" s="452">
        <v>0.9078784131051217</v>
      </c>
      <c r="CY38" s="452">
        <v>0.93</v>
      </c>
      <c r="CZ38" s="447">
        <v>3440555.3320099004</v>
      </c>
      <c r="DA38" s="454">
        <v>634.6717085426859</v>
      </c>
      <c r="DB38" s="449">
        <v>5421</v>
      </c>
      <c r="DC38" s="452">
        <v>0.9903523335178013</v>
      </c>
      <c r="DD38" s="454">
        <v>296.2</v>
      </c>
      <c r="DE38" s="447">
        <v>30223</v>
      </c>
      <c r="DF38" s="454">
        <v>45.40215243110827</v>
      </c>
      <c r="DG38" s="454">
        <v>47.35444498564592</v>
      </c>
      <c r="DH38" s="454">
        <v>48.39624277533012</v>
      </c>
      <c r="DI38" s="454">
        <v>49.460960116387376</v>
      </c>
      <c r="DJ38" s="454">
        <v>51.093171800228156</v>
      </c>
      <c r="DK38" s="454">
        <v>52.93252598503636</v>
      </c>
      <c r="DL38" s="454">
        <v>54.62636681655751</v>
      </c>
      <c r="DM38" s="454">
        <v>56.86604785603636</v>
      </c>
      <c r="DN38" s="454">
        <v>59.36815396170195</v>
      </c>
      <c r="DO38" s="454">
        <v>62.633402429595556</v>
      </c>
      <c r="DP38" s="454">
        <v>62.069701807729196</v>
      </c>
      <c r="DQ38" s="454">
        <v>65.23525659992337</v>
      </c>
      <c r="DR38" s="454">
        <v>69.2146072525187</v>
      </c>
      <c r="DS38" s="454">
        <v>37.07</v>
      </c>
      <c r="DT38" s="454">
        <v>38.936610277533006</v>
      </c>
      <c r="DU38" s="454">
        <v>40.86740952727746</v>
      </c>
      <c r="DV38" s="454">
        <v>43.325676261496426</v>
      </c>
      <c r="DW38" s="454">
        <v>46.03498994664258</v>
      </c>
      <c r="DX38" s="454">
        <v>48.69448582353887</v>
      </c>
      <c r="DY38" s="454">
        <v>51.92597736505044</v>
      </c>
      <c r="DZ38" s="454">
        <v>54.783768546067016</v>
      </c>
      <c r="EA38" s="454">
        <v>56.421014098738944</v>
      </c>
      <c r="EB38" s="454">
        <v>57.91859201936785</v>
      </c>
      <c r="EC38" s="454">
        <v>61.74500348986916</v>
      </c>
      <c r="ED38" s="454">
        <v>66.43723834019306</v>
      </c>
      <c r="EE38" s="454">
        <v>0</v>
      </c>
      <c r="EF38" s="454">
        <v>66.43723834019306</v>
      </c>
      <c r="EG38" s="454">
        <v>3454.736393690039</v>
      </c>
      <c r="EH38" s="447">
        <v>18353563.470389828</v>
      </c>
      <c r="EI38" s="454">
        <v>46.58</v>
      </c>
      <c r="EJ38" s="454">
        <v>47.68390827753301</v>
      </c>
      <c r="EK38" s="454">
        <v>48.813843799277464</v>
      </c>
      <c r="EL38" s="454">
        <v>50.508259539100436</v>
      </c>
      <c r="EM38" s="454">
        <v>52.41312389715495</v>
      </c>
      <c r="EN38" s="454">
        <v>54.179681020979494</v>
      </c>
      <c r="EO38" s="454">
        <v>56.49404792547899</v>
      </c>
      <c r="EP38" s="454">
        <v>59.02293802614471</v>
      </c>
      <c r="EQ38" s="454">
        <v>60.46376872623971</v>
      </c>
      <c r="ER38" s="454">
        <v>60.61995539403112</v>
      </c>
      <c r="ES38" s="454">
        <v>64.01630981528604</v>
      </c>
      <c r="ET38" s="454">
        <v>68.24463034864354</v>
      </c>
      <c r="EU38" s="447">
        <v>25783535</v>
      </c>
      <c r="EV38" s="447">
        <v>0</v>
      </c>
      <c r="EW38" s="447">
        <v>0</v>
      </c>
      <c r="EX38" s="447">
        <v>0</v>
      </c>
      <c r="EY38" s="447">
        <v>0</v>
      </c>
      <c r="EZ38" s="447">
        <v>0</v>
      </c>
      <c r="FA38" s="447">
        <v>0</v>
      </c>
      <c r="FB38" s="447">
        <v>0</v>
      </c>
      <c r="FC38" s="447">
        <v>0</v>
      </c>
      <c r="FD38" s="447">
        <v>25783535</v>
      </c>
      <c r="FE38" s="447">
        <v>53126.3417586017</v>
      </c>
      <c r="FF38" s="447">
        <v>0</v>
      </c>
      <c r="FG38" s="447">
        <v>0</v>
      </c>
      <c r="FH38" s="447">
        <v>18421</v>
      </c>
      <c r="FI38" s="456">
        <v>0.061500000000000006</v>
      </c>
      <c r="FJ38" s="447">
        <v>1132.8915000000002</v>
      </c>
      <c r="FK38" s="471">
        <v>1132.8915000000002</v>
      </c>
      <c r="FL38" s="498">
        <v>0</v>
      </c>
      <c r="FM38" s="37">
        <v>0</v>
      </c>
      <c r="FN38" s="37">
        <v>0</v>
      </c>
      <c r="FO38" s="37">
        <v>0</v>
      </c>
      <c r="FP38" s="40">
        <v>64.46</v>
      </c>
      <c r="FQ38" s="446">
        <v>0</v>
      </c>
      <c r="FR38" s="450">
        <v>0</v>
      </c>
      <c r="FS38" s="450">
        <v>0</v>
      </c>
      <c r="FT38" s="450">
        <v>0</v>
      </c>
      <c r="FU38" s="450">
        <v>0</v>
      </c>
      <c r="FV38" s="450">
        <v>0</v>
      </c>
      <c r="FW38" s="450">
        <v>0</v>
      </c>
      <c r="FX38" s="450">
        <v>0</v>
      </c>
      <c r="FY38" s="450">
        <v>0</v>
      </c>
      <c r="FZ38" s="450">
        <v>0</v>
      </c>
      <c r="GA38" s="450">
        <v>0</v>
      </c>
      <c r="GB38" s="450">
        <v>0</v>
      </c>
      <c r="GC38" s="450">
        <v>0</v>
      </c>
      <c r="GD38" s="450">
        <v>0</v>
      </c>
      <c r="GE38" s="450">
        <v>0</v>
      </c>
      <c r="GF38" s="450">
        <v>0</v>
      </c>
      <c r="GG38" s="450">
        <v>0</v>
      </c>
      <c r="GH38" s="450">
        <v>0</v>
      </c>
      <c r="GI38" s="450">
        <v>0</v>
      </c>
      <c r="GJ38" s="450">
        <v>0</v>
      </c>
      <c r="GK38" s="450">
        <v>0</v>
      </c>
      <c r="GL38" s="450">
        <v>0</v>
      </c>
      <c r="GM38" s="450">
        <v>0</v>
      </c>
      <c r="GN38" s="450">
        <v>0</v>
      </c>
      <c r="GO38" s="450">
        <v>0</v>
      </c>
      <c r="GP38" s="450">
        <v>0</v>
      </c>
      <c r="GQ38" s="450">
        <v>0</v>
      </c>
      <c r="GR38" s="450">
        <v>0</v>
      </c>
      <c r="GS38" s="450">
        <v>0</v>
      </c>
      <c r="GT38" s="450">
        <v>0</v>
      </c>
      <c r="GU38" s="450">
        <v>0</v>
      </c>
      <c r="GV38" s="450">
        <v>0</v>
      </c>
      <c r="GW38" s="450">
        <v>0</v>
      </c>
      <c r="GX38" s="450">
        <v>19761647</v>
      </c>
      <c r="GY38" s="450">
        <v>22761647</v>
      </c>
      <c r="GZ38" s="450">
        <v>0</v>
      </c>
      <c r="HA38" s="450" t="s">
        <v>888</v>
      </c>
      <c r="HB38" s="450" t="s">
        <v>888</v>
      </c>
      <c r="HC38" s="450">
        <v>84</v>
      </c>
      <c r="HD38" s="450">
        <v>83</v>
      </c>
      <c r="HE38" s="450">
        <v>0</v>
      </c>
      <c r="HF38" s="450">
        <v>0</v>
      </c>
      <c r="HG38" s="472">
        <v>0</v>
      </c>
    </row>
    <row r="39" spans="2:215" ht="12.75">
      <c r="B39" s="445" t="s">
        <v>714</v>
      </c>
      <c r="C39" s="446">
        <v>5209</v>
      </c>
      <c r="D39" s="447">
        <v>1244497</v>
      </c>
      <c r="E39" s="447">
        <v>1067778.426</v>
      </c>
      <c r="F39" s="447">
        <v>165000.0342855519</v>
      </c>
      <c r="G39" s="447">
        <v>176718.57400000002</v>
      </c>
      <c r="H39" s="448">
        <v>0.4598828949894413</v>
      </c>
      <c r="I39" s="449">
        <v>2012.29</v>
      </c>
      <c r="J39" s="449">
        <v>383.24</v>
      </c>
      <c r="K39" s="447">
        <v>1232778.4602855518</v>
      </c>
      <c r="L39" s="447">
        <v>986222.7682284415</v>
      </c>
      <c r="M39" s="447">
        <v>298365.9935594549</v>
      </c>
      <c r="N39" s="447">
        <v>246555.6920571103</v>
      </c>
      <c r="O39" s="450">
        <v>1.2101363025532732</v>
      </c>
      <c r="P39" s="451">
        <v>0.838356690343636</v>
      </c>
      <c r="Q39" s="452">
        <v>0.16164330965636398</v>
      </c>
      <c r="R39" s="447">
        <v>1284588.7617878965</v>
      </c>
      <c r="S39" s="447">
        <v>868382.0029686181</v>
      </c>
      <c r="T39" s="447">
        <v>126850.22689557793</v>
      </c>
      <c r="U39" s="447">
        <v>195645.46895438348</v>
      </c>
      <c r="V39" s="447">
        <v>292886.2376876404</v>
      </c>
      <c r="W39" s="450">
        <v>0.6679913351307308</v>
      </c>
      <c r="X39" s="452">
        <v>11.726254597326479</v>
      </c>
      <c r="Y39" s="447">
        <v>126850.22689557793</v>
      </c>
      <c r="Z39" s="447">
        <v>123320.52113163807</v>
      </c>
      <c r="AA39" s="448">
        <v>1.028622209276687</v>
      </c>
      <c r="AB39" s="448">
        <v>0.08091764254175465</v>
      </c>
      <c r="AC39" s="449">
        <v>427</v>
      </c>
      <c r="AD39" s="449">
        <v>416</v>
      </c>
      <c r="AE39" s="447">
        <v>1190877.6988185795</v>
      </c>
      <c r="AF39" s="447">
        <v>0</v>
      </c>
      <c r="AG39" s="451">
        <v>0</v>
      </c>
      <c r="AH39" s="450">
        <v>0.05855880341952937</v>
      </c>
      <c r="AI39" s="452">
        <v>0.04931294918060303</v>
      </c>
      <c r="AJ39" s="447">
        <v>1190877.6988185795</v>
      </c>
      <c r="AK39" s="453">
        <v>1.0056</v>
      </c>
      <c r="AL39" s="447">
        <v>1197546.6139319637</v>
      </c>
      <c r="AM39" s="447">
        <v>2817182.8259176603</v>
      </c>
      <c r="AN39" s="447">
        <v>2789376.6738684964</v>
      </c>
      <c r="AO39" s="447">
        <v>2756847.393789117</v>
      </c>
      <c r="AP39" s="447">
        <v>2789376.6738684964</v>
      </c>
      <c r="AQ39" s="447">
        <v>20836</v>
      </c>
      <c r="AR39" s="447">
        <v>2810212.6738684964</v>
      </c>
      <c r="AS39" s="454">
        <v>539.4917784351117</v>
      </c>
      <c r="AT39" s="450">
        <v>5202</v>
      </c>
      <c r="AU39" s="450">
        <v>121</v>
      </c>
      <c r="AV39" s="450">
        <v>512</v>
      </c>
      <c r="AW39" s="450">
        <v>166</v>
      </c>
      <c r="AX39" s="450">
        <v>104</v>
      </c>
      <c r="AY39" s="450">
        <v>760</v>
      </c>
      <c r="AZ39" s="450">
        <v>344</v>
      </c>
      <c r="BA39" s="450">
        <v>294</v>
      </c>
      <c r="BB39" s="450">
        <v>111</v>
      </c>
      <c r="BC39" s="450">
        <v>37</v>
      </c>
      <c r="BD39" s="450">
        <v>1382</v>
      </c>
      <c r="BE39" s="450">
        <v>709</v>
      </c>
      <c r="BF39" s="450">
        <v>133</v>
      </c>
      <c r="BG39" s="450">
        <v>507</v>
      </c>
      <c r="BH39" s="450">
        <v>22</v>
      </c>
      <c r="BI39" s="450">
        <v>0</v>
      </c>
      <c r="BJ39" s="452">
        <v>1.4285168996231428</v>
      </c>
      <c r="BK39" s="452">
        <v>10.55030874572051</v>
      </c>
      <c r="BL39" s="452">
        <v>7.336860255213196</v>
      </c>
      <c r="BM39" s="452">
        <v>6.426896981014628</v>
      </c>
      <c r="BN39" s="449">
        <v>4360</v>
      </c>
      <c r="BO39" s="449">
        <v>842</v>
      </c>
      <c r="BP39" s="447">
        <v>1482410.5566952252</v>
      </c>
      <c r="BQ39" s="447">
        <v>5490628</v>
      </c>
      <c r="BR39" s="447">
        <v>7094136</v>
      </c>
      <c r="BS39" s="448">
        <v>0.08102652825836217</v>
      </c>
      <c r="BT39" s="449">
        <v>427</v>
      </c>
      <c r="BU39" s="449">
        <v>416</v>
      </c>
      <c r="BV39" s="447">
        <v>574813.2110726644</v>
      </c>
      <c r="BW39" s="448">
        <v>0.007363615480390047</v>
      </c>
      <c r="BX39" s="447">
        <v>6387.499263688661</v>
      </c>
      <c r="BY39" s="447">
        <v>7554239.267031578</v>
      </c>
      <c r="BZ39" s="455">
        <v>1.0666666666666667</v>
      </c>
      <c r="CA39" s="447">
        <v>8057855.218167017</v>
      </c>
      <c r="CB39" s="447">
        <v>6059725.539820049</v>
      </c>
      <c r="CC39" s="447">
        <v>6052308.917345325</v>
      </c>
      <c r="CD39" s="447">
        <v>6024259.28118442</v>
      </c>
      <c r="CE39" s="447">
        <v>6052308.917345325</v>
      </c>
      <c r="CF39" s="454">
        <v>1163.4580771521194</v>
      </c>
      <c r="CG39" s="450">
        <v>5202</v>
      </c>
      <c r="CH39" s="450">
        <v>121</v>
      </c>
      <c r="CI39" s="450">
        <v>512</v>
      </c>
      <c r="CJ39" s="450">
        <v>166</v>
      </c>
      <c r="CK39" s="450">
        <v>104</v>
      </c>
      <c r="CL39" s="450">
        <v>760</v>
      </c>
      <c r="CM39" s="450">
        <v>344</v>
      </c>
      <c r="CN39" s="450">
        <v>294</v>
      </c>
      <c r="CO39" s="450">
        <v>111</v>
      </c>
      <c r="CP39" s="450">
        <v>37</v>
      </c>
      <c r="CQ39" s="450">
        <v>1382</v>
      </c>
      <c r="CR39" s="450">
        <v>709</v>
      </c>
      <c r="CS39" s="450">
        <v>133</v>
      </c>
      <c r="CT39" s="450">
        <v>507</v>
      </c>
      <c r="CU39" s="450">
        <v>22</v>
      </c>
      <c r="CV39" s="450">
        <v>0</v>
      </c>
      <c r="CW39" s="447">
        <v>3859783.3113415632</v>
      </c>
      <c r="CX39" s="452">
        <v>1.0412942372531862</v>
      </c>
      <c r="CY39" s="452">
        <v>1.0666666666666667</v>
      </c>
      <c r="CZ39" s="447">
        <v>4019170.1191459903</v>
      </c>
      <c r="DA39" s="454">
        <v>772.620169001536</v>
      </c>
      <c r="DB39" s="449">
        <v>5209</v>
      </c>
      <c r="DC39" s="452">
        <v>0.9911883278940297</v>
      </c>
      <c r="DD39" s="454">
        <v>316.4</v>
      </c>
      <c r="DE39" s="447">
        <v>50530</v>
      </c>
      <c r="DF39" s="454">
        <v>54.540000659353595</v>
      </c>
      <c r="DG39" s="454">
        <v>56.8852206877058</v>
      </c>
      <c r="DH39" s="454">
        <v>58.13669554283531</v>
      </c>
      <c r="DI39" s="454">
        <v>59.41570284477768</v>
      </c>
      <c r="DJ39" s="454">
        <v>61.37642103865534</v>
      </c>
      <c r="DK39" s="454">
        <v>63.58597219604692</v>
      </c>
      <c r="DL39" s="454">
        <v>65.6207233063204</v>
      </c>
      <c r="DM39" s="454">
        <v>68.31117296187954</v>
      </c>
      <c r="DN39" s="454">
        <v>71.31686457220222</v>
      </c>
      <c r="DO39" s="454">
        <v>75.23929212367334</v>
      </c>
      <c r="DP39" s="454">
        <v>74.56213849456027</v>
      </c>
      <c r="DQ39" s="454">
        <v>78.36480755778284</v>
      </c>
      <c r="DR39" s="454">
        <v>83.1450608188076</v>
      </c>
      <c r="DS39" s="454">
        <v>45.38</v>
      </c>
      <c r="DT39" s="454">
        <v>47.55419355428353</v>
      </c>
      <c r="DU39" s="454">
        <v>49.802087704955525</v>
      </c>
      <c r="DV39" s="454">
        <v>52.68691465414859</v>
      </c>
      <c r="DW39" s="454">
        <v>55.86969052660493</v>
      </c>
      <c r="DX39" s="454">
        <v>58.984721070600294</v>
      </c>
      <c r="DY39" s="454">
        <v>62.78471029997183</v>
      </c>
      <c r="DZ39" s="454">
        <v>66.18830722195187</v>
      </c>
      <c r="EA39" s="454">
        <v>68.137535128913</v>
      </c>
      <c r="EB39" s="454">
        <v>69.81675372376499</v>
      </c>
      <c r="EC39" s="454">
        <v>74.37488804249817</v>
      </c>
      <c r="ED39" s="454">
        <v>79.97008236451981</v>
      </c>
      <c r="EE39" s="454">
        <v>-0.13</v>
      </c>
      <c r="EF39" s="454">
        <v>79.84008236451982</v>
      </c>
      <c r="EG39" s="454">
        <v>4151.6842829550305</v>
      </c>
      <c r="EH39" s="447">
        <v>21193600.9613145</v>
      </c>
      <c r="EI39" s="454">
        <v>52.69</v>
      </c>
      <c r="EJ39" s="454">
        <v>54.27793155428352</v>
      </c>
      <c r="EK39" s="454">
        <v>55.91023013695551</v>
      </c>
      <c r="EL39" s="454">
        <v>58.207911894872574</v>
      </c>
      <c r="EM39" s="454">
        <v>60.77233607636783</v>
      </c>
      <c r="EN39" s="454">
        <v>63.20099624339639</v>
      </c>
      <c r="EO39" s="454">
        <v>66.29602426387642</v>
      </c>
      <c r="EP39" s="454">
        <v>69.44680658045533</v>
      </c>
      <c r="EQ39" s="454">
        <v>71.24505735047246</v>
      </c>
      <c r="ER39" s="454">
        <v>71.89319602332213</v>
      </c>
      <c r="ES39" s="454">
        <v>76.12076072796582</v>
      </c>
      <c r="ET39" s="454">
        <v>81.3593605539807</v>
      </c>
      <c r="EU39" s="447">
        <v>15843422</v>
      </c>
      <c r="EV39" s="447">
        <v>0</v>
      </c>
      <c r="EW39" s="447">
        <v>0</v>
      </c>
      <c r="EX39" s="447">
        <v>0</v>
      </c>
      <c r="EY39" s="447">
        <v>0</v>
      </c>
      <c r="EZ39" s="447">
        <v>0</v>
      </c>
      <c r="FA39" s="447">
        <v>0</v>
      </c>
      <c r="FB39" s="447">
        <v>0</v>
      </c>
      <c r="FC39" s="447">
        <v>0</v>
      </c>
      <c r="FD39" s="447">
        <v>15843422</v>
      </c>
      <c r="FE39" s="447">
        <v>48267.27297243553</v>
      </c>
      <c r="FF39" s="447">
        <v>0</v>
      </c>
      <c r="FG39" s="447">
        <v>0</v>
      </c>
      <c r="FH39" s="447">
        <v>21389</v>
      </c>
      <c r="FI39" s="456">
        <v>0.0393</v>
      </c>
      <c r="FJ39" s="447">
        <v>840.5877</v>
      </c>
      <c r="FK39" s="471">
        <v>840.5877</v>
      </c>
      <c r="FL39" s="498">
        <v>78.35</v>
      </c>
      <c r="FM39" s="37">
        <v>76.66</v>
      </c>
      <c r="FN39" s="37">
        <v>76.53</v>
      </c>
      <c r="FO39" s="37">
        <v>-0.13</v>
      </c>
      <c r="FP39" s="40">
        <v>75.38</v>
      </c>
      <c r="FQ39" s="446">
        <v>138863</v>
      </c>
      <c r="FR39" s="450">
        <v>45410</v>
      </c>
      <c r="FS39" s="450">
        <v>0</v>
      </c>
      <c r="FT39" s="450">
        <v>0</v>
      </c>
      <c r="FU39" s="450">
        <v>0</v>
      </c>
      <c r="FV39" s="450">
        <v>0</v>
      </c>
      <c r="FW39" s="450">
        <v>0</v>
      </c>
      <c r="FX39" s="450">
        <v>0</v>
      </c>
      <c r="FY39" s="450">
        <v>0</v>
      </c>
      <c r="FZ39" s="450">
        <v>0</v>
      </c>
      <c r="GA39" s="450">
        <v>0</v>
      </c>
      <c r="GB39" s="450">
        <v>0</v>
      </c>
      <c r="GC39" s="450">
        <v>0</v>
      </c>
      <c r="GD39" s="450">
        <v>0</v>
      </c>
      <c r="GE39" s="450">
        <v>0</v>
      </c>
      <c r="GF39" s="450">
        <v>0</v>
      </c>
      <c r="GG39" s="450">
        <v>0</v>
      </c>
      <c r="GH39" s="450">
        <v>0</v>
      </c>
      <c r="GI39" s="450">
        <v>0</v>
      </c>
      <c r="GJ39" s="450">
        <v>0</v>
      </c>
      <c r="GK39" s="450">
        <v>0</v>
      </c>
      <c r="GL39" s="450">
        <v>0</v>
      </c>
      <c r="GM39" s="450">
        <v>0</v>
      </c>
      <c r="GN39" s="450">
        <v>0</v>
      </c>
      <c r="GO39" s="450">
        <v>0</v>
      </c>
      <c r="GP39" s="450">
        <v>0</v>
      </c>
      <c r="GQ39" s="450">
        <v>0</v>
      </c>
      <c r="GR39" s="450">
        <v>0</v>
      </c>
      <c r="GS39" s="450">
        <v>0</v>
      </c>
      <c r="GT39" s="450">
        <v>0</v>
      </c>
      <c r="GU39" s="450">
        <v>0</v>
      </c>
      <c r="GV39" s="450">
        <v>0</v>
      </c>
      <c r="GW39" s="450">
        <v>944900</v>
      </c>
      <c r="GX39" s="450">
        <v>6225482</v>
      </c>
      <c r="GY39" s="450">
        <v>9195482</v>
      </c>
      <c r="GZ39" s="450">
        <v>0</v>
      </c>
      <c r="HA39" s="450" t="s">
        <v>888</v>
      </c>
      <c r="HB39" s="450" t="s">
        <v>888</v>
      </c>
      <c r="HC39" s="450">
        <v>0</v>
      </c>
      <c r="HD39" s="450">
        <v>0</v>
      </c>
      <c r="HE39" s="450">
        <v>0</v>
      </c>
      <c r="HF39" s="450">
        <v>0</v>
      </c>
      <c r="HG39" s="472">
        <v>0</v>
      </c>
    </row>
    <row r="40" spans="2:215" ht="12.75">
      <c r="B40" s="445" t="s">
        <v>715</v>
      </c>
      <c r="C40" s="446">
        <v>1535</v>
      </c>
      <c r="D40" s="447">
        <v>388455</v>
      </c>
      <c r="E40" s="447">
        <v>333294.39</v>
      </c>
      <c r="F40" s="447">
        <v>48881.39376031338</v>
      </c>
      <c r="G40" s="447">
        <v>55160.61</v>
      </c>
      <c r="H40" s="448">
        <v>0.4364755700325733</v>
      </c>
      <c r="I40" s="449">
        <v>550.91</v>
      </c>
      <c r="J40" s="449">
        <v>119.08</v>
      </c>
      <c r="K40" s="447">
        <v>382175.7837603134</v>
      </c>
      <c r="L40" s="447">
        <v>305740.62700825074</v>
      </c>
      <c r="M40" s="447">
        <v>80189.6914876363</v>
      </c>
      <c r="N40" s="447">
        <v>76435.15675206267</v>
      </c>
      <c r="O40" s="450">
        <v>1.0491205211726384</v>
      </c>
      <c r="P40" s="451">
        <v>0.962214983713355</v>
      </c>
      <c r="Q40" s="452">
        <v>0.03778501628664495</v>
      </c>
      <c r="R40" s="447">
        <v>385930.31849588704</v>
      </c>
      <c r="S40" s="447">
        <v>260888.89530321964</v>
      </c>
      <c r="T40" s="447">
        <v>33750.259142171715</v>
      </c>
      <c r="U40" s="447">
        <v>43054.29238061335</v>
      </c>
      <c r="V40" s="447">
        <v>87992.11261706224</v>
      </c>
      <c r="W40" s="450">
        <v>0.48929717789574745</v>
      </c>
      <c r="X40" s="452">
        <v>8.589367825611069</v>
      </c>
      <c r="Y40" s="447">
        <v>33750.259142171715</v>
      </c>
      <c r="Z40" s="447">
        <v>37049.31057560516</v>
      </c>
      <c r="AA40" s="448">
        <v>0.9109551194832306</v>
      </c>
      <c r="AB40" s="448">
        <v>0.07166123778501629</v>
      </c>
      <c r="AC40" s="449">
        <v>99</v>
      </c>
      <c r="AD40" s="449">
        <v>121</v>
      </c>
      <c r="AE40" s="447">
        <v>337693.4468260047</v>
      </c>
      <c r="AF40" s="447">
        <v>0</v>
      </c>
      <c r="AG40" s="451">
        <v>0</v>
      </c>
      <c r="AH40" s="450">
        <v>0.013583781946609136</v>
      </c>
      <c r="AI40" s="452">
        <v>0.011439037509262562</v>
      </c>
      <c r="AJ40" s="447">
        <v>337693.4468260047</v>
      </c>
      <c r="AK40" s="453">
        <v>1.0076</v>
      </c>
      <c r="AL40" s="447">
        <v>340259.9170218824</v>
      </c>
      <c r="AM40" s="447">
        <v>800448.5031567003</v>
      </c>
      <c r="AN40" s="447">
        <v>792547.9180113075</v>
      </c>
      <c r="AO40" s="447">
        <v>778475.8837523734</v>
      </c>
      <c r="AP40" s="447">
        <v>792547.9180113075</v>
      </c>
      <c r="AQ40" s="447">
        <v>6140</v>
      </c>
      <c r="AR40" s="447">
        <v>798687.9180113075</v>
      </c>
      <c r="AS40" s="454">
        <v>520.3178618966173</v>
      </c>
      <c r="AT40" s="450">
        <v>1535</v>
      </c>
      <c r="AU40" s="450">
        <v>0</v>
      </c>
      <c r="AV40" s="450">
        <v>21</v>
      </c>
      <c r="AW40" s="450">
        <v>0</v>
      </c>
      <c r="AX40" s="450">
        <v>5</v>
      </c>
      <c r="AY40" s="450">
        <v>247</v>
      </c>
      <c r="AZ40" s="450">
        <v>147</v>
      </c>
      <c r="BA40" s="450">
        <v>32</v>
      </c>
      <c r="BB40" s="450">
        <v>47</v>
      </c>
      <c r="BC40" s="450">
        <v>6</v>
      </c>
      <c r="BD40" s="450">
        <v>555</v>
      </c>
      <c r="BE40" s="450">
        <v>58</v>
      </c>
      <c r="BF40" s="450">
        <v>0</v>
      </c>
      <c r="BG40" s="450">
        <v>417</v>
      </c>
      <c r="BH40" s="450">
        <v>0</v>
      </c>
      <c r="BI40" s="450">
        <v>0</v>
      </c>
      <c r="BJ40" s="452">
        <v>1.3041661662478152</v>
      </c>
      <c r="BK40" s="452">
        <v>9.539699471495137</v>
      </c>
      <c r="BL40" s="452">
        <v>5.229745754761234</v>
      </c>
      <c r="BM40" s="452">
        <v>8.619907433467805</v>
      </c>
      <c r="BN40" s="449">
        <v>1477</v>
      </c>
      <c r="BO40" s="449">
        <v>58</v>
      </c>
      <c r="BP40" s="447">
        <v>377247.0177473418</v>
      </c>
      <c r="BQ40" s="447">
        <v>1511239</v>
      </c>
      <c r="BR40" s="447">
        <v>1959647</v>
      </c>
      <c r="BS40" s="448">
        <v>0.07166123778501629</v>
      </c>
      <c r="BT40" s="449">
        <v>99</v>
      </c>
      <c r="BU40" s="449">
        <v>121</v>
      </c>
      <c r="BV40" s="447">
        <v>140430.72964169382</v>
      </c>
      <c r="BW40" s="448">
        <v>0.012351906140257784</v>
      </c>
      <c r="BX40" s="447">
        <v>2858.7837193793666</v>
      </c>
      <c r="BY40" s="447">
        <v>2031775.5311084148</v>
      </c>
      <c r="BZ40" s="455">
        <v>1.04</v>
      </c>
      <c r="CA40" s="447">
        <v>2113046.5523527516</v>
      </c>
      <c r="CB40" s="447">
        <v>1589068.2834871542</v>
      </c>
      <c r="CC40" s="447">
        <v>1587123.3901965695</v>
      </c>
      <c r="CD40" s="447">
        <v>1578945.6138639094</v>
      </c>
      <c r="CE40" s="447">
        <v>1587123.3901965695</v>
      </c>
      <c r="CF40" s="454">
        <v>1033.9566059912504</v>
      </c>
      <c r="CG40" s="450">
        <v>1535</v>
      </c>
      <c r="CH40" s="450">
        <v>0</v>
      </c>
      <c r="CI40" s="450">
        <v>21</v>
      </c>
      <c r="CJ40" s="450">
        <v>0</v>
      </c>
      <c r="CK40" s="450">
        <v>5</v>
      </c>
      <c r="CL40" s="450">
        <v>247</v>
      </c>
      <c r="CM40" s="450">
        <v>147</v>
      </c>
      <c r="CN40" s="450">
        <v>32</v>
      </c>
      <c r="CO40" s="450">
        <v>47</v>
      </c>
      <c r="CP40" s="450">
        <v>6</v>
      </c>
      <c r="CQ40" s="450">
        <v>555</v>
      </c>
      <c r="CR40" s="450">
        <v>58</v>
      </c>
      <c r="CS40" s="450">
        <v>0</v>
      </c>
      <c r="CT40" s="450">
        <v>417</v>
      </c>
      <c r="CU40" s="450">
        <v>0</v>
      </c>
      <c r="CV40" s="450">
        <v>0</v>
      </c>
      <c r="CW40" s="447">
        <v>1168362.2049839678</v>
      </c>
      <c r="CX40" s="452">
        <v>1.0152618813218566</v>
      </c>
      <c r="CY40" s="452">
        <v>1.04</v>
      </c>
      <c r="CZ40" s="447">
        <v>1186193.6102973758</v>
      </c>
      <c r="DA40" s="454">
        <v>772.7645669689745</v>
      </c>
      <c r="DB40" s="449">
        <v>1535</v>
      </c>
      <c r="DC40" s="452">
        <v>0.9717915309446254</v>
      </c>
      <c r="DD40" s="454">
        <v>325.9</v>
      </c>
      <c r="DE40" s="447">
        <v>49972</v>
      </c>
      <c r="DF40" s="454">
        <v>54.730200608959585</v>
      </c>
      <c r="DG40" s="454">
        <v>57.083599235144845</v>
      </c>
      <c r="DH40" s="454">
        <v>58.33943841831802</v>
      </c>
      <c r="DI40" s="454">
        <v>59.622906063521</v>
      </c>
      <c r="DJ40" s="454">
        <v>61.59046196361719</v>
      </c>
      <c r="DK40" s="454">
        <v>63.807718594307396</v>
      </c>
      <c r="DL40" s="454">
        <v>65.84956558932522</v>
      </c>
      <c r="DM40" s="454">
        <v>68.54939777848756</v>
      </c>
      <c r="DN40" s="454">
        <v>71.565571280741</v>
      </c>
      <c r="DO40" s="454">
        <v>75.50167770118175</v>
      </c>
      <c r="DP40" s="454">
        <v>74.82216260187111</v>
      </c>
      <c r="DQ40" s="454">
        <v>78.63809289456654</v>
      </c>
      <c r="DR40" s="454">
        <v>83.4350165611351</v>
      </c>
      <c r="DS40" s="454">
        <v>46.79</v>
      </c>
      <c r="DT40" s="454">
        <v>48.87138584183179</v>
      </c>
      <c r="DU40" s="454">
        <v>51.02170630070418</v>
      </c>
      <c r="DV40" s="454">
        <v>53.81605252800114</v>
      </c>
      <c r="DW40" s="454">
        <v>56.90404301548035</v>
      </c>
      <c r="DX40" s="454">
        <v>59.91240459153396</v>
      </c>
      <c r="DY40" s="454">
        <v>63.60493009952698</v>
      </c>
      <c r="DZ40" s="454">
        <v>66.97710527466559</v>
      </c>
      <c r="EA40" s="454">
        <v>68.90727791035154</v>
      </c>
      <c r="EB40" s="454">
        <v>70.41579325369021</v>
      </c>
      <c r="EC40" s="454">
        <v>74.93321754661604</v>
      </c>
      <c r="ED40" s="454">
        <v>80.48686200300348</v>
      </c>
      <c r="EE40" s="454">
        <v>0</v>
      </c>
      <c r="EF40" s="454">
        <v>80.48686200300348</v>
      </c>
      <c r="EG40" s="454">
        <v>4185.316824156181</v>
      </c>
      <c r="EH40" s="447">
        <v>6295972.098578142</v>
      </c>
      <c r="EI40" s="454">
        <v>57.82</v>
      </c>
      <c r="EJ40" s="454">
        <v>59.01677984183179</v>
      </c>
      <c r="EK40" s="454">
        <v>60.23823311670418</v>
      </c>
      <c r="EL40" s="454">
        <v>62.146640703813134</v>
      </c>
      <c r="EM40" s="454">
        <v>64.30160531560139</v>
      </c>
      <c r="EN40" s="454">
        <v>66.27430816963806</v>
      </c>
      <c r="EO40" s="454">
        <v>68.90312339937209</v>
      </c>
      <c r="EP40" s="454">
        <v>71.89382865692184</v>
      </c>
      <c r="EQ40" s="454">
        <v>73.59619310922992</v>
      </c>
      <c r="ER40" s="454">
        <v>73.54892028024499</v>
      </c>
      <c r="ES40" s="454">
        <v>77.56755075054329</v>
      </c>
      <c r="ET40" s="454">
        <v>82.5831326500286</v>
      </c>
      <c r="EU40" s="447">
        <v>1018448</v>
      </c>
      <c r="EV40" s="447">
        <v>0</v>
      </c>
      <c r="EW40" s="447">
        <v>0</v>
      </c>
      <c r="EX40" s="447">
        <v>0</v>
      </c>
      <c r="EY40" s="447">
        <v>0</v>
      </c>
      <c r="EZ40" s="447">
        <v>0</v>
      </c>
      <c r="FA40" s="447">
        <v>0</v>
      </c>
      <c r="FB40" s="447">
        <v>0</v>
      </c>
      <c r="FC40" s="447">
        <v>0</v>
      </c>
      <c r="FD40" s="447">
        <v>1018448</v>
      </c>
      <c r="FE40" s="447">
        <v>41020.31628098494</v>
      </c>
      <c r="FF40" s="447">
        <v>0</v>
      </c>
      <c r="FG40" s="447">
        <v>0</v>
      </c>
      <c r="FH40" s="447">
        <v>0</v>
      </c>
      <c r="FI40" s="456">
        <v>0</v>
      </c>
      <c r="FJ40" s="447">
        <v>0</v>
      </c>
      <c r="FK40" s="471">
        <v>0</v>
      </c>
      <c r="FL40" s="498">
        <v>78.64</v>
      </c>
      <c r="FM40" s="37">
        <v>77.22</v>
      </c>
      <c r="FN40" s="37">
        <v>76.82</v>
      </c>
      <c r="FO40" s="37">
        <v>-0.4</v>
      </c>
      <c r="FP40" s="40">
        <v>77.3</v>
      </c>
      <c r="FQ40" s="446">
        <v>0</v>
      </c>
      <c r="FR40" s="450">
        <v>0</v>
      </c>
      <c r="FS40" s="450">
        <v>0</v>
      </c>
      <c r="FT40" s="450">
        <v>0</v>
      </c>
      <c r="FU40" s="450">
        <v>0</v>
      </c>
      <c r="FV40" s="450">
        <v>0</v>
      </c>
      <c r="FW40" s="450">
        <v>0</v>
      </c>
      <c r="FX40" s="450">
        <v>0</v>
      </c>
      <c r="FY40" s="450">
        <v>0</v>
      </c>
      <c r="FZ40" s="450">
        <v>0</v>
      </c>
      <c r="GA40" s="450">
        <v>0</v>
      </c>
      <c r="GB40" s="450">
        <v>0</v>
      </c>
      <c r="GC40" s="450">
        <v>0</v>
      </c>
      <c r="GD40" s="450">
        <v>0</v>
      </c>
      <c r="GE40" s="450">
        <v>0</v>
      </c>
      <c r="GF40" s="450">
        <v>0</v>
      </c>
      <c r="GG40" s="450">
        <v>0</v>
      </c>
      <c r="GH40" s="450">
        <v>0</v>
      </c>
      <c r="GI40" s="450">
        <v>0</v>
      </c>
      <c r="GJ40" s="450">
        <v>0</v>
      </c>
      <c r="GK40" s="450">
        <v>0</v>
      </c>
      <c r="GL40" s="450">
        <v>0</v>
      </c>
      <c r="GM40" s="450">
        <v>0</v>
      </c>
      <c r="GN40" s="450">
        <v>0</v>
      </c>
      <c r="GO40" s="450">
        <v>0</v>
      </c>
      <c r="GP40" s="450">
        <v>0</v>
      </c>
      <c r="GQ40" s="450">
        <v>0</v>
      </c>
      <c r="GR40" s="450">
        <v>0</v>
      </c>
      <c r="GS40" s="450">
        <v>0</v>
      </c>
      <c r="GT40" s="450">
        <v>0</v>
      </c>
      <c r="GU40" s="450">
        <v>0</v>
      </c>
      <c r="GV40" s="450">
        <v>0</v>
      </c>
      <c r="GW40" s="450">
        <v>0</v>
      </c>
      <c r="GX40" s="450">
        <v>-2070469</v>
      </c>
      <c r="GY40" s="450">
        <v>-2070469</v>
      </c>
      <c r="GZ40" s="450">
        <v>3</v>
      </c>
      <c r="HA40" s="450" t="s">
        <v>888</v>
      </c>
      <c r="HB40" s="450" t="s">
        <v>888</v>
      </c>
      <c r="HC40" s="450">
        <v>0</v>
      </c>
      <c r="HD40" s="450">
        <v>0</v>
      </c>
      <c r="HE40" s="450">
        <v>0</v>
      </c>
      <c r="HF40" s="450">
        <v>0</v>
      </c>
      <c r="HG40" s="472">
        <v>0</v>
      </c>
    </row>
    <row r="41" spans="2:215" ht="12.75">
      <c r="B41" s="445" t="s">
        <v>716</v>
      </c>
      <c r="C41" s="446">
        <v>5205</v>
      </c>
      <c r="D41" s="447">
        <v>1243565</v>
      </c>
      <c r="E41" s="447">
        <v>1066978.77</v>
      </c>
      <c r="F41" s="447">
        <v>140939.3918831767</v>
      </c>
      <c r="G41" s="447">
        <v>176586.23</v>
      </c>
      <c r="H41" s="448">
        <v>0.39311623439000964</v>
      </c>
      <c r="I41" s="449">
        <v>1603.78</v>
      </c>
      <c r="J41" s="449">
        <v>442.39</v>
      </c>
      <c r="K41" s="447">
        <v>1207918.1618831768</v>
      </c>
      <c r="L41" s="447">
        <v>966334.5295065414</v>
      </c>
      <c r="M41" s="447">
        <v>272054.2672767815</v>
      </c>
      <c r="N41" s="447">
        <v>241583.6323766353</v>
      </c>
      <c r="O41" s="450">
        <v>1.1261287223823246</v>
      </c>
      <c r="P41" s="451">
        <v>0.9029779058597502</v>
      </c>
      <c r="Q41" s="452">
        <v>0.09702209414024976</v>
      </c>
      <c r="R41" s="447">
        <v>1238388.796783323</v>
      </c>
      <c r="S41" s="447">
        <v>837150.8266255264</v>
      </c>
      <c r="T41" s="447">
        <v>115268.51440540674</v>
      </c>
      <c r="U41" s="447">
        <v>196279.40020623195</v>
      </c>
      <c r="V41" s="447">
        <v>282352.64566659764</v>
      </c>
      <c r="W41" s="450">
        <v>0.695156936613227</v>
      </c>
      <c r="X41" s="452">
        <v>12.203133177212424</v>
      </c>
      <c r="Y41" s="447">
        <v>115268.51440540674</v>
      </c>
      <c r="Z41" s="447">
        <v>118885.324491199</v>
      </c>
      <c r="AA41" s="448">
        <v>0.9695773208234796</v>
      </c>
      <c r="AB41" s="448">
        <v>0.07627281460134486</v>
      </c>
      <c r="AC41" s="449">
        <v>418</v>
      </c>
      <c r="AD41" s="449">
        <v>376</v>
      </c>
      <c r="AE41" s="447">
        <v>1148698.7412371652</v>
      </c>
      <c r="AF41" s="447">
        <v>0</v>
      </c>
      <c r="AG41" s="451">
        <v>0</v>
      </c>
      <c r="AH41" s="450">
        <v>0.012692734230340001</v>
      </c>
      <c r="AI41" s="452">
        <v>0.01068867738945147</v>
      </c>
      <c r="AJ41" s="447">
        <v>1148698.7412371652</v>
      </c>
      <c r="AK41" s="453">
        <v>1.0303</v>
      </c>
      <c r="AL41" s="447">
        <v>1183504.3130966513</v>
      </c>
      <c r="AM41" s="447">
        <v>2784148.8477080585</v>
      </c>
      <c r="AN41" s="447">
        <v>2756668.74756168</v>
      </c>
      <c r="AO41" s="447">
        <v>2715310.1057947767</v>
      </c>
      <c r="AP41" s="447">
        <v>2756668.74756168</v>
      </c>
      <c r="AQ41" s="447">
        <v>20820</v>
      </c>
      <c r="AR41" s="447">
        <v>2777488.74756168</v>
      </c>
      <c r="AS41" s="454">
        <v>533.6193559196312</v>
      </c>
      <c r="AT41" s="450">
        <v>5205</v>
      </c>
      <c r="AU41" s="450">
        <v>98</v>
      </c>
      <c r="AV41" s="450">
        <v>387</v>
      </c>
      <c r="AW41" s="450">
        <v>40</v>
      </c>
      <c r="AX41" s="450">
        <v>445</v>
      </c>
      <c r="AY41" s="450">
        <v>805</v>
      </c>
      <c r="AZ41" s="450">
        <v>629</v>
      </c>
      <c r="BA41" s="450">
        <v>130</v>
      </c>
      <c r="BB41" s="450">
        <v>96</v>
      </c>
      <c r="BC41" s="450">
        <v>43</v>
      </c>
      <c r="BD41" s="450">
        <v>1254</v>
      </c>
      <c r="BE41" s="450">
        <v>489</v>
      </c>
      <c r="BF41" s="450">
        <v>0</v>
      </c>
      <c r="BG41" s="450">
        <v>773</v>
      </c>
      <c r="BH41" s="450">
        <v>0</v>
      </c>
      <c r="BI41" s="450">
        <v>16</v>
      </c>
      <c r="BJ41" s="452">
        <v>1.5856975661283155</v>
      </c>
      <c r="BK41" s="452">
        <v>16.34340829771569</v>
      </c>
      <c r="BL41" s="452">
        <v>8.623098755465582</v>
      </c>
      <c r="BM41" s="452">
        <v>15.440619084500213</v>
      </c>
      <c r="BN41" s="449">
        <v>4716</v>
      </c>
      <c r="BO41" s="449">
        <v>489</v>
      </c>
      <c r="BP41" s="447">
        <v>1622160.681661436</v>
      </c>
      <c r="BQ41" s="447">
        <v>5268407</v>
      </c>
      <c r="BR41" s="447">
        <v>7115391</v>
      </c>
      <c r="BS41" s="448">
        <v>0.07627281460134486</v>
      </c>
      <c r="BT41" s="449">
        <v>418</v>
      </c>
      <c r="BU41" s="449">
        <v>376</v>
      </c>
      <c r="BV41" s="447">
        <v>542710.8985590778</v>
      </c>
      <c r="BW41" s="448">
        <v>0.01368822896874312</v>
      </c>
      <c r="BX41" s="447">
        <v>18404.112092108207</v>
      </c>
      <c r="BY41" s="447">
        <v>7451682.692312622</v>
      </c>
      <c r="BZ41" s="455">
        <v>1.0333333333333334</v>
      </c>
      <c r="CA41" s="447">
        <v>7700072.11538971</v>
      </c>
      <c r="CB41" s="447">
        <v>5790662.948483381</v>
      </c>
      <c r="CC41" s="447">
        <v>5783575.637237179</v>
      </c>
      <c r="CD41" s="447">
        <v>5742342.380928144</v>
      </c>
      <c r="CE41" s="447">
        <v>5783575.637237179</v>
      </c>
      <c r="CF41" s="454">
        <v>1111.157663254021</v>
      </c>
      <c r="CG41" s="450">
        <v>5205</v>
      </c>
      <c r="CH41" s="450">
        <v>98</v>
      </c>
      <c r="CI41" s="450">
        <v>387</v>
      </c>
      <c r="CJ41" s="450">
        <v>40</v>
      </c>
      <c r="CK41" s="450">
        <v>445</v>
      </c>
      <c r="CL41" s="450">
        <v>805</v>
      </c>
      <c r="CM41" s="450">
        <v>629</v>
      </c>
      <c r="CN41" s="450">
        <v>130</v>
      </c>
      <c r="CO41" s="450">
        <v>96</v>
      </c>
      <c r="CP41" s="450">
        <v>43</v>
      </c>
      <c r="CQ41" s="450">
        <v>1254</v>
      </c>
      <c r="CR41" s="450">
        <v>489</v>
      </c>
      <c r="CS41" s="450">
        <v>0</v>
      </c>
      <c r="CT41" s="450">
        <v>773</v>
      </c>
      <c r="CU41" s="450">
        <v>0</v>
      </c>
      <c r="CV41" s="450">
        <v>16</v>
      </c>
      <c r="CW41" s="447">
        <v>3865413.124706943</v>
      </c>
      <c r="CX41" s="452">
        <v>1.0087537923390242</v>
      </c>
      <c r="CY41" s="452">
        <v>1.0333333333333334</v>
      </c>
      <c r="CZ41" s="447">
        <v>3899250.148505166</v>
      </c>
      <c r="DA41" s="454">
        <v>749.1354752171309</v>
      </c>
      <c r="DB41" s="449">
        <v>5205</v>
      </c>
      <c r="DC41" s="452">
        <v>1.0140441882804996</v>
      </c>
      <c r="DD41" s="454">
        <v>343.7</v>
      </c>
      <c r="DE41" s="447">
        <v>62982</v>
      </c>
      <c r="DF41" s="454">
        <v>62.86042986546967</v>
      </c>
      <c r="DG41" s="454">
        <v>65.56342834968486</v>
      </c>
      <c r="DH41" s="454">
        <v>67.00582377337791</v>
      </c>
      <c r="DI41" s="454">
        <v>68.47995189639221</v>
      </c>
      <c r="DJ41" s="454">
        <v>70.73979030897314</v>
      </c>
      <c r="DK41" s="454">
        <v>73.28642276009616</v>
      </c>
      <c r="DL41" s="454">
        <v>75.63158828841922</v>
      </c>
      <c r="DM41" s="454">
        <v>78.7324834082444</v>
      </c>
      <c r="DN41" s="454">
        <v>82.19671267820715</v>
      </c>
      <c r="DO41" s="454">
        <v>86.71753187550854</v>
      </c>
      <c r="DP41" s="454">
        <v>85.93707408862896</v>
      </c>
      <c r="DQ41" s="454">
        <v>90.31986486714904</v>
      </c>
      <c r="DR41" s="454">
        <v>95.82937662404512</v>
      </c>
      <c r="DS41" s="454">
        <v>47.33</v>
      </c>
      <c r="DT41" s="454">
        <v>50.234716377337776</v>
      </c>
      <c r="DU41" s="454">
        <v>53.24433255527842</v>
      </c>
      <c r="DV41" s="454">
        <v>56.96869487702392</v>
      </c>
      <c r="DW41" s="454">
        <v>61.05769001652525</v>
      </c>
      <c r="DX41" s="454">
        <v>65.11487812894825</v>
      </c>
      <c r="DY41" s="454">
        <v>69.97416718743699</v>
      </c>
      <c r="DZ41" s="454">
        <v>74.06899522529787</v>
      </c>
      <c r="EA41" s="454">
        <v>76.41830057155964</v>
      </c>
      <c r="EB41" s="454">
        <v>79.0551411505242</v>
      </c>
      <c r="EC41" s="454">
        <v>84.53353565279055</v>
      </c>
      <c r="ED41" s="454">
        <v>91.22490515171935</v>
      </c>
      <c r="EE41" s="454">
        <v>-2.05</v>
      </c>
      <c r="EF41" s="454">
        <v>89.17490515171936</v>
      </c>
      <c r="EG41" s="454">
        <v>4637.095067889407</v>
      </c>
      <c r="EH41" s="447">
        <v>23653358.231797073</v>
      </c>
      <c r="EI41" s="454">
        <v>49.86</v>
      </c>
      <c r="EJ41" s="454">
        <v>52.56181037733778</v>
      </c>
      <c r="EK41" s="454">
        <v>55.35836817127842</v>
      </c>
      <c r="EL41" s="454">
        <v>58.87951881943592</v>
      </c>
      <c r="EM41" s="454">
        <v>62.75450167738711</v>
      </c>
      <c r="EN41" s="454">
        <v>66.57413615728944</v>
      </c>
      <c r="EO41" s="454">
        <v>71.18943727343952</v>
      </c>
      <c r="EP41" s="454">
        <v>75.19676586510822</v>
      </c>
      <c r="EQ41" s="454">
        <v>77.4938178383921</v>
      </c>
      <c r="ER41" s="454">
        <v>79.77380038689621</v>
      </c>
      <c r="ES41" s="454">
        <v>85.13778433873215</v>
      </c>
      <c r="ET41" s="454">
        <v>91.70573604355738</v>
      </c>
      <c r="EU41" s="447">
        <v>-2964034</v>
      </c>
      <c r="EV41" s="447">
        <v>0</v>
      </c>
      <c r="EW41" s="447">
        <v>0</v>
      </c>
      <c r="EX41" s="447">
        <v>68912</v>
      </c>
      <c r="EY41" s="447">
        <v>0</v>
      </c>
      <c r="EZ41" s="447">
        <v>0</v>
      </c>
      <c r="FA41" s="447">
        <v>0</v>
      </c>
      <c r="FB41" s="447">
        <v>0</v>
      </c>
      <c r="FC41" s="447">
        <v>0</v>
      </c>
      <c r="FD41" s="447">
        <v>0</v>
      </c>
      <c r="FE41" s="447">
        <v>0</v>
      </c>
      <c r="FF41" s="447">
        <v>0</v>
      </c>
      <c r="FG41" s="447">
        <v>0</v>
      </c>
      <c r="FH41" s="447">
        <v>30000</v>
      </c>
      <c r="FI41" s="456">
        <v>0.0364</v>
      </c>
      <c r="FJ41" s="447">
        <v>1092</v>
      </c>
      <c r="FK41" s="471">
        <v>1092</v>
      </c>
      <c r="FL41" s="498">
        <v>90.29</v>
      </c>
      <c r="FM41" s="37">
        <v>85.76</v>
      </c>
      <c r="FN41" s="37">
        <v>83.71</v>
      </c>
      <c r="FO41" s="37">
        <v>-2.05</v>
      </c>
      <c r="FP41" s="40">
        <v>83.26</v>
      </c>
      <c r="FQ41" s="446">
        <v>0</v>
      </c>
      <c r="FR41" s="450">
        <v>0</v>
      </c>
      <c r="FS41" s="450">
        <v>0</v>
      </c>
      <c r="FT41" s="450">
        <v>0</v>
      </c>
      <c r="FU41" s="450">
        <v>0</v>
      </c>
      <c r="FV41" s="450">
        <v>0</v>
      </c>
      <c r="FW41" s="450">
        <v>0</v>
      </c>
      <c r="FX41" s="450">
        <v>0</v>
      </c>
      <c r="FY41" s="450">
        <v>0</v>
      </c>
      <c r="FZ41" s="450">
        <v>0</v>
      </c>
      <c r="GA41" s="450">
        <v>0</v>
      </c>
      <c r="GB41" s="450">
        <v>0</v>
      </c>
      <c r="GC41" s="450">
        <v>0</v>
      </c>
      <c r="GD41" s="450">
        <v>0</v>
      </c>
      <c r="GE41" s="450">
        <v>0</v>
      </c>
      <c r="GF41" s="450">
        <v>0</v>
      </c>
      <c r="GG41" s="450">
        <v>0</v>
      </c>
      <c r="GH41" s="450">
        <v>0</v>
      </c>
      <c r="GI41" s="450">
        <v>0</v>
      </c>
      <c r="GJ41" s="450">
        <v>0</v>
      </c>
      <c r="GK41" s="450">
        <v>0</v>
      </c>
      <c r="GL41" s="450">
        <v>0</v>
      </c>
      <c r="GM41" s="450">
        <v>0</v>
      </c>
      <c r="GN41" s="450">
        <v>0</v>
      </c>
      <c r="GO41" s="450">
        <v>0</v>
      </c>
      <c r="GP41" s="450">
        <v>0</v>
      </c>
      <c r="GQ41" s="450">
        <v>0</v>
      </c>
      <c r="GR41" s="450">
        <v>0</v>
      </c>
      <c r="GS41" s="450">
        <v>0</v>
      </c>
      <c r="GT41" s="450">
        <v>0</v>
      </c>
      <c r="GU41" s="450">
        <v>0</v>
      </c>
      <c r="GV41" s="450">
        <v>0</v>
      </c>
      <c r="GW41" s="450">
        <v>0</v>
      </c>
      <c r="GX41" s="450">
        <v>-7739000</v>
      </c>
      <c r="GY41" s="450">
        <v>-7739000</v>
      </c>
      <c r="GZ41" s="450">
        <v>0</v>
      </c>
      <c r="HA41" s="450" t="s">
        <v>888</v>
      </c>
      <c r="HB41" s="450" t="s">
        <v>888</v>
      </c>
      <c r="HC41" s="450">
        <v>0</v>
      </c>
      <c r="HD41" s="450">
        <v>0</v>
      </c>
      <c r="HE41" s="450">
        <v>0</v>
      </c>
      <c r="HF41" s="450">
        <v>0</v>
      </c>
      <c r="HG41" s="472">
        <v>0</v>
      </c>
    </row>
    <row r="42" spans="2:215" ht="12.75">
      <c r="B42" s="445" t="s">
        <v>717</v>
      </c>
      <c r="C42" s="446">
        <v>5839.5</v>
      </c>
      <c r="D42" s="447">
        <v>1391403.5</v>
      </c>
      <c r="E42" s="447">
        <v>1193824.203</v>
      </c>
      <c r="F42" s="447">
        <v>195723.6418772859</v>
      </c>
      <c r="G42" s="447">
        <v>197579.29700000002</v>
      </c>
      <c r="H42" s="448">
        <v>0.48791848617176126</v>
      </c>
      <c r="I42" s="449">
        <v>2447.5</v>
      </c>
      <c r="J42" s="449">
        <v>401.7</v>
      </c>
      <c r="K42" s="447">
        <v>1389547.8448772859</v>
      </c>
      <c r="L42" s="447">
        <v>1111638.2759018287</v>
      </c>
      <c r="M42" s="447">
        <v>338564.71850182407</v>
      </c>
      <c r="N42" s="447">
        <v>277909.5689754571</v>
      </c>
      <c r="O42" s="450">
        <v>1.2182549875845534</v>
      </c>
      <c r="P42" s="451">
        <v>0.8322630362188543</v>
      </c>
      <c r="Q42" s="452">
        <v>0.16782258755030396</v>
      </c>
      <c r="R42" s="447">
        <v>1450202.9944036528</v>
      </c>
      <c r="S42" s="447">
        <v>980337.2242168693</v>
      </c>
      <c r="T42" s="447">
        <v>198508.15061961964</v>
      </c>
      <c r="U42" s="447">
        <v>301255.4714354525</v>
      </c>
      <c r="V42" s="447">
        <v>330646.2827240329</v>
      </c>
      <c r="W42" s="450">
        <v>0.9111110185590359</v>
      </c>
      <c r="X42" s="452">
        <v>15.994099336575651</v>
      </c>
      <c r="Y42" s="447">
        <v>198508.15061961964</v>
      </c>
      <c r="Z42" s="447">
        <v>139219.48746275067</v>
      </c>
      <c r="AA42" s="448">
        <v>1.4258646848756151</v>
      </c>
      <c r="AB42" s="448">
        <v>0.11216713759739703</v>
      </c>
      <c r="AC42" s="449">
        <v>681</v>
      </c>
      <c r="AD42" s="449">
        <v>629</v>
      </c>
      <c r="AE42" s="447">
        <v>1480100.8462719414</v>
      </c>
      <c r="AF42" s="447">
        <v>0</v>
      </c>
      <c r="AG42" s="451">
        <v>0</v>
      </c>
      <c r="AH42" s="450">
        <v>0.04172953711214261</v>
      </c>
      <c r="AI42" s="452">
        <v>0.035140857100486755</v>
      </c>
      <c r="AJ42" s="447">
        <v>1480100.8462719414</v>
      </c>
      <c r="AK42" s="453">
        <v>1</v>
      </c>
      <c r="AL42" s="447">
        <v>1480100.8462719414</v>
      </c>
      <c r="AM42" s="447">
        <v>3481880.902366614</v>
      </c>
      <c r="AN42" s="447">
        <v>3447514.048750449</v>
      </c>
      <c r="AO42" s="447">
        <v>3266160.045488218</v>
      </c>
      <c r="AP42" s="447">
        <v>3447514.048750449</v>
      </c>
      <c r="AQ42" s="447">
        <v>23358</v>
      </c>
      <c r="AR42" s="447">
        <v>3470872.048750449</v>
      </c>
      <c r="AS42" s="454">
        <v>594.3782941605358</v>
      </c>
      <c r="AT42" s="450">
        <v>5839</v>
      </c>
      <c r="AU42" s="450">
        <v>127</v>
      </c>
      <c r="AV42" s="450">
        <v>402</v>
      </c>
      <c r="AW42" s="450">
        <v>362</v>
      </c>
      <c r="AX42" s="450">
        <v>0</v>
      </c>
      <c r="AY42" s="450">
        <v>1002</v>
      </c>
      <c r="AZ42" s="450">
        <v>53</v>
      </c>
      <c r="BA42" s="450">
        <v>190</v>
      </c>
      <c r="BB42" s="450">
        <v>390</v>
      </c>
      <c r="BC42" s="450">
        <v>17</v>
      </c>
      <c r="BD42" s="450">
        <v>1753</v>
      </c>
      <c r="BE42" s="450">
        <v>980</v>
      </c>
      <c r="BF42" s="450">
        <v>0</v>
      </c>
      <c r="BG42" s="450">
        <v>563</v>
      </c>
      <c r="BH42" s="450">
        <v>0</v>
      </c>
      <c r="BI42" s="450">
        <v>0</v>
      </c>
      <c r="BJ42" s="452">
        <v>1.5930396876679738</v>
      </c>
      <c r="BK42" s="452">
        <v>14.451299342434783</v>
      </c>
      <c r="BL42" s="452">
        <v>8.063171127517085</v>
      </c>
      <c r="BM42" s="452">
        <v>12.776256429835394</v>
      </c>
      <c r="BN42" s="449">
        <v>4859</v>
      </c>
      <c r="BO42" s="449">
        <v>980</v>
      </c>
      <c r="BP42" s="447">
        <v>1857837.9306315198</v>
      </c>
      <c r="BQ42" s="447">
        <v>6310490</v>
      </c>
      <c r="BR42" s="447">
        <v>7856922</v>
      </c>
      <c r="BS42" s="448">
        <v>0.11217674259290975</v>
      </c>
      <c r="BT42" s="449">
        <v>681</v>
      </c>
      <c r="BU42" s="449">
        <v>629</v>
      </c>
      <c r="BV42" s="447">
        <v>881363.9167665696</v>
      </c>
      <c r="BW42" s="448">
        <v>0.021425133711728352</v>
      </c>
      <c r="BX42" s="447">
        <v>28574.13928476101</v>
      </c>
      <c r="BY42" s="447">
        <v>9078265.98668285</v>
      </c>
      <c r="BZ42" s="455">
        <v>0.91</v>
      </c>
      <c r="CA42" s="447">
        <v>8261222.047881395</v>
      </c>
      <c r="CB42" s="447">
        <v>6212662.908214808</v>
      </c>
      <c r="CC42" s="447">
        <v>6205059.102555598</v>
      </c>
      <c r="CD42" s="447">
        <v>6036755.734926118</v>
      </c>
      <c r="CE42" s="447">
        <v>6205059.102555598</v>
      </c>
      <c r="CF42" s="454">
        <v>1062.692088123925</v>
      </c>
      <c r="CG42" s="450">
        <v>5839</v>
      </c>
      <c r="CH42" s="450">
        <v>127</v>
      </c>
      <c r="CI42" s="450">
        <v>402</v>
      </c>
      <c r="CJ42" s="450">
        <v>362</v>
      </c>
      <c r="CK42" s="450">
        <v>0</v>
      </c>
      <c r="CL42" s="450">
        <v>1002</v>
      </c>
      <c r="CM42" s="450">
        <v>53</v>
      </c>
      <c r="CN42" s="450">
        <v>190</v>
      </c>
      <c r="CO42" s="450">
        <v>390</v>
      </c>
      <c r="CP42" s="450">
        <v>17</v>
      </c>
      <c r="CQ42" s="450">
        <v>1753</v>
      </c>
      <c r="CR42" s="450">
        <v>980</v>
      </c>
      <c r="CS42" s="450">
        <v>0</v>
      </c>
      <c r="CT42" s="450">
        <v>563</v>
      </c>
      <c r="CU42" s="450">
        <v>0</v>
      </c>
      <c r="CV42" s="450">
        <v>0</v>
      </c>
      <c r="CW42" s="447">
        <v>4335503.771007535</v>
      </c>
      <c r="CX42" s="452">
        <v>0.8883541461566244</v>
      </c>
      <c r="CY42" s="452">
        <v>0.91</v>
      </c>
      <c r="CZ42" s="447">
        <v>3851462.7506522243</v>
      </c>
      <c r="DA42" s="454">
        <v>659.6099932612133</v>
      </c>
      <c r="DB42" s="449">
        <v>5839.5</v>
      </c>
      <c r="DC42" s="452">
        <v>0.9913348745611783</v>
      </c>
      <c r="DD42" s="454">
        <v>303.1</v>
      </c>
      <c r="DE42" s="447">
        <v>29359</v>
      </c>
      <c r="DF42" s="454">
        <v>45.979323491036965</v>
      </c>
      <c r="DG42" s="454">
        <v>47.956434401151554</v>
      </c>
      <c r="DH42" s="454">
        <v>49.01147595797688</v>
      </c>
      <c r="DI42" s="454">
        <v>50.08972842905236</v>
      </c>
      <c r="DJ42" s="454">
        <v>51.74268946721108</v>
      </c>
      <c r="DK42" s="454">
        <v>53.60542628803067</v>
      </c>
      <c r="DL42" s="454">
        <v>55.32079992924764</v>
      </c>
      <c r="DM42" s="454">
        <v>57.58895272634679</v>
      </c>
      <c r="DN42" s="454">
        <v>60.122866646306036</v>
      </c>
      <c r="DO42" s="454">
        <v>63.42962431185286</v>
      </c>
      <c r="DP42" s="454">
        <v>62.858757693046186</v>
      </c>
      <c r="DQ42" s="454">
        <v>66.06455433539153</v>
      </c>
      <c r="DR42" s="454">
        <v>70.09449214985041</v>
      </c>
      <c r="DS42" s="454">
        <v>38.69</v>
      </c>
      <c r="DT42" s="454">
        <v>40.48820959579768</v>
      </c>
      <c r="DU42" s="454">
        <v>42.34681445381045</v>
      </c>
      <c r="DV42" s="454">
        <v>44.7440630978393</v>
      </c>
      <c r="DW42" s="454">
        <v>47.39064607202853</v>
      </c>
      <c r="DX42" s="454">
        <v>49.9760889434858</v>
      </c>
      <c r="DY42" s="454">
        <v>53.137877417404326</v>
      </c>
      <c r="DZ42" s="454">
        <v>55.99226875960743</v>
      </c>
      <c r="EA42" s="454">
        <v>57.626601927869146</v>
      </c>
      <c r="EB42" s="454">
        <v>58.98118569700948</v>
      </c>
      <c r="EC42" s="454">
        <v>62.804291801123874</v>
      </c>
      <c r="ED42" s="454">
        <v>67.50013823820693</v>
      </c>
      <c r="EE42" s="454">
        <v>-0.56</v>
      </c>
      <c r="EF42" s="454">
        <v>66.94013823820693</v>
      </c>
      <c r="EG42" s="454">
        <v>3480.88718838676</v>
      </c>
      <c r="EH42" s="447">
        <v>19920107.921852794</v>
      </c>
      <c r="EI42" s="454">
        <v>38.69</v>
      </c>
      <c r="EJ42" s="454">
        <v>40.48820959579768</v>
      </c>
      <c r="EK42" s="454">
        <v>42.34681445381045</v>
      </c>
      <c r="EL42" s="454">
        <v>44.7440630978393</v>
      </c>
      <c r="EM42" s="454">
        <v>47.39064607202853</v>
      </c>
      <c r="EN42" s="454">
        <v>49.9760889434858</v>
      </c>
      <c r="EO42" s="454">
        <v>53.137877417404326</v>
      </c>
      <c r="EP42" s="454">
        <v>55.99226875960743</v>
      </c>
      <c r="EQ42" s="454">
        <v>57.626601927869146</v>
      </c>
      <c r="ER42" s="454">
        <v>58.98118569700948</v>
      </c>
      <c r="ES42" s="454">
        <v>62.804291801123874</v>
      </c>
      <c r="ET42" s="454">
        <v>67.50013823820693</v>
      </c>
      <c r="EU42" s="447">
        <v>8647049</v>
      </c>
      <c r="EV42" s="447">
        <v>0</v>
      </c>
      <c r="EW42" s="447">
        <v>0</v>
      </c>
      <c r="EX42" s="447">
        <v>0</v>
      </c>
      <c r="EY42" s="447">
        <v>0</v>
      </c>
      <c r="EZ42" s="447">
        <v>0</v>
      </c>
      <c r="FA42" s="447">
        <v>0</v>
      </c>
      <c r="FB42" s="447">
        <v>0</v>
      </c>
      <c r="FC42" s="447">
        <v>0</v>
      </c>
      <c r="FD42" s="447">
        <v>8647049</v>
      </c>
      <c r="FE42" s="447">
        <v>44749.438575793465</v>
      </c>
      <c r="FF42" s="447">
        <v>0</v>
      </c>
      <c r="FG42" s="447">
        <v>0</v>
      </c>
      <c r="FH42" s="447">
        <v>12701</v>
      </c>
      <c r="FI42" s="456">
        <v>0.1188</v>
      </c>
      <c r="FJ42" s="447">
        <v>1508.8788</v>
      </c>
      <c r="FK42" s="471">
        <v>1508.8788</v>
      </c>
      <c r="FL42" s="498">
        <v>66.07</v>
      </c>
      <c r="FM42" s="37">
        <v>62.22</v>
      </c>
      <c r="FN42" s="37">
        <v>60.6</v>
      </c>
      <c r="FO42" s="37">
        <v>-1.62</v>
      </c>
      <c r="FP42" s="40">
        <v>61.66</v>
      </c>
      <c r="FQ42" s="446">
        <v>646923</v>
      </c>
      <c r="FR42" s="450">
        <v>0</v>
      </c>
      <c r="FS42" s="450">
        <v>0</v>
      </c>
      <c r="FT42" s="450">
        <v>0</v>
      </c>
      <c r="FU42" s="450">
        <v>0</v>
      </c>
      <c r="FV42" s="450">
        <v>0</v>
      </c>
      <c r="FW42" s="450">
        <v>0</v>
      </c>
      <c r="FX42" s="450">
        <v>0</v>
      </c>
      <c r="FY42" s="450">
        <v>0</v>
      </c>
      <c r="FZ42" s="450">
        <v>0</v>
      </c>
      <c r="GA42" s="450">
        <v>0</v>
      </c>
      <c r="GB42" s="450">
        <v>0</v>
      </c>
      <c r="GC42" s="450">
        <v>0</v>
      </c>
      <c r="GD42" s="450">
        <v>0</v>
      </c>
      <c r="GE42" s="450">
        <v>0</v>
      </c>
      <c r="GF42" s="450">
        <v>0</v>
      </c>
      <c r="GG42" s="450">
        <v>0</v>
      </c>
      <c r="GH42" s="450">
        <v>0</v>
      </c>
      <c r="GI42" s="450">
        <v>0</v>
      </c>
      <c r="GJ42" s="450">
        <v>0</v>
      </c>
      <c r="GK42" s="450">
        <v>0</v>
      </c>
      <c r="GL42" s="450">
        <v>0</v>
      </c>
      <c r="GM42" s="450">
        <v>0</v>
      </c>
      <c r="GN42" s="450">
        <v>0</v>
      </c>
      <c r="GO42" s="450">
        <v>0</v>
      </c>
      <c r="GP42" s="450">
        <v>0</v>
      </c>
      <c r="GQ42" s="450">
        <v>0</v>
      </c>
      <c r="GR42" s="450">
        <v>0</v>
      </c>
      <c r="GS42" s="450">
        <v>0</v>
      </c>
      <c r="GT42" s="450">
        <v>0</v>
      </c>
      <c r="GU42" s="450">
        <v>0</v>
      </c>
      <c r="GV42" s="450">
        <v>0</v>
      </c>
      <c r="GW42" s="450">
        <v>362039</v>
      </c>
      <c r="GX42" s="450">
        <v>-3189668</v>
      </c>
      <c r="GY42" s="450">
        <v>-569668</v>
      </c>
      <c r="GZ42" s="450">
        <v>0</v>
      </c>
      <c r="HA42" s="450" t="s">
        <v>888</v>
      </c>
      <c r="HB42" s="450" t="s">
        <v>888</v>
      </c>
      <c r="HC42" s="450">
        <v>0</v>
      </c>
      <c r="HD42" s="450">
        <v>0</v>
      </c>
      <c r="HE42" s="450">
        <v>0</v>
      </c>
      <c r="HF42" s="450">
        <v>0</v>
      </c>
      <c r="HG42" s="472">
        <v>0</v>
      </c>
    </row>
    <row r="43" spans="2:215" ht="12.75">
      <c r="B43" s="445" t="s">
        <v>718</v>
      </c>
      <c r="C43" s="446">
        <v>4592.75</v>
      </c>
      <c r="D43" s="447">
        <v>1100910.75</v>
      </c>
      <c r="E43" s="447">
        <v>944581.4235</v>
      </c>
      <c r="F43" s="447">
        <v>166894.16916449842</v>
      </c>
      <c r="G43" s="447">
        <v>156329.32650000002</v>
      </c>
      <c r="H43" s="448">
        <v>0.5258309291818628</v>
      </c>
      <c r="I43" s="449">
        <v>2128.88</v>
      </c>
      <c r="J43" s="449">
        <v>286.13</v>
      </c>
      <c r="K43" s="447">
        <v>1111475.5926644984</v>
      </c>
      <c r="L43" s="447">
        <v>889180.4741315987</v>
      </c>
      <c r="M43" s="447">
        <v>319835.85940131743</v>
      </c>
      <c r="N43" s="447">
        <v>222295.11853289962</v>
      </c>
      <c r="O43" s="450">
        <v>1.438789396331174</v>
      </c>
      <c r="P43" s="451">
        <v>0.6625660007620706</v>
      </c>
      <c r="Q43" s="452">
        <v>0.33748843285613195</v>
      </c>
      <c r="R43" s="447">
        <v>1209016.3335329161</v>
      </c>
      <c r="S43" s="447">
        <v>817295.0414682514</v>
      </c>
      <c r="T43" s="447">
        <v>154039.42271017688</v>
      </c>
      <c r="U43" s="447">
        <v>247552.26115669718</v>
      </c>
      <c r="V43" s="447">
        <v>275655.7240455049</v>
      </c>
      <c r="W43" s="450">
        <v>0.8980486874120981</v>
      </c>
      <c r="X43" s="452">
        <v>15.764796630675127</v>
      </c>
      <c r="Y43" s="447">
        <v>154039.42271017688</v>
      </c>
      <c r="Z43" s="447">
        <v>116065.56801915995</v>
      </c>
      <c r="AA43" s="448">
        <v>1.327175882900502</v>
      </c>
      <c r="AB43" s="448">
        <v>0.1044036797125905</v>
      </c>
      <c r="AC43" s="449">
        <v>483</v>
      </c>
      <c r="AD43" s="449">
        <v>476</v>
      </c>
      <c r="AE43" s="447">
        <v>1218886.7253351253</v>
      </c>
      <c r="AF43" s="447">
        <v>0</v>
      </c>
      <c r="AG43" s="451">
        <v>0</v>
      </c>
      <c r="AH43" s="450">
        <v>0.13471593458784026</v>
      </c>
      <c r="AI43" s="452">
        <v>0.11344562470912933</v>
      </c>
      <c r="AJ43" s="447">
        <v>1218886.7253351253</v>
      </c>
      <c r="AK43" s="453">
        <v>1.0136</v>
      </c>
      <c r="AL43" s="447">
        <v>1235463.5847996832</v>
      </c>
      <c r="AM43" s="447">
        <v>2906381.056614197</v>
      </c>
      <c r="AN43" s="447">
        <v>2877694.5003745607</v>
      </c>
      <c r="AO43" s="447">
        <v>2864650.15415984</v>
      </c>
      <c r="AP43" s="447">
        <v>2877694.5003745607</v>
      </c>
      <c r="AQ43" s="447">
        <v>18371</v>
      </c>
      <c r="AR43" s="447">
        <v>2896065.5003745607</v>
      </c>
      <c r="AS43" s="454">
        <v>630.5732949484645</v>
      </c>
      <c r="AT43" s="450">
        <v>4573</v>
      </c>
      <c r="AU43" s="450">
        <v>189</v>
      </c>
      <c r="AV43" s="450">
        <v>246</v>
      </c>
      <c r="AW43" s="450">
        <v>308</v>
      </c>
      <c r="AX43" s="450">
        <v>86</v>
      </c>
      <c r="AY43" s="450">
        <v>310</v>
      </c>
      <c r="AZ43" s="450">
        <v>102</v>
      </c>
      <c r="BA43" s="450">
        <v>195</v>
      </c>
      <c r="BB43" s="450">
        <v>545</v>
      </c>
      <c r="BC43" s="450">
        <v>57</v>
      </c>
      <c r="BD43" s="450">
        <v>785</v>
      </c>
      <c r="BE43" s="450">
        <v>1530</v>
      </c>
      <c r="BF43" s="450">
        <v>0</v>
      </c>
      <c r="BG43" s="450">
        <v>220</v>
      </c>
      <c r="BH43" s="450">
        <v>0</v>
      </c>
      <c r="BI43" s="450">
        <v>0</v>
      </c>
      <c r="BJ43" s="452">
        <v>1.9749822736808056</v>
      </c>
      <c r="BK43" s="452">
        <v>18.475467022892765</v>
      </c>
      <c r="BL43" s="452">
        <v>8.46021268793546</v>
      </c>
      <c r="BM43" s="452">
        <v>20.03050866991461</v>
      </c>
      <c r="BN43" s="449">
        <v>3043</v>
      </c>
      <c r="BO43" s="449">
        <v>1530</v>
      </c>
      <c r="BP43" s="447">
        <v>1813262.8251827266</v>
      </c>
      <c r="BQ43" s="447">
        <v>5299545</v>
      </c>
      <c r="BR43" s="447">
        <v>6191422</v>
      </c>
      <c r="BS43" s="448">
        <v>0.10485458123769954</v>
      </c>
      <c r="BT43" s="449">
        <v>483</v>
      </c>
      <c r="BU43" s="449">
        <v>476</v>
      </c>
      <c r="BV43" s="447">
        <v>649198.9610758802</v>
      </c>
      <c r="BW43" s="448">
        <v>0.008289227175890014</v>
      </c>
      <c r="BX43" s="447">
        <v>11069.166317827969</v>
      </c>
      <c r="BY43" s="447">
        <v>7773075.952576435</v>
      </c>
      <c r="BZ43" s="455">
        <v>1.0366666666666668</v>
      </c>
      <c r="CA43" s="447">
        <v>8058088.737504239</v>
      </c>
      <c r="CB43" s="447">
        <v>6059901.152691402</v>
      </c>
      <c r="CC43" s="447">
        <v>6052484.31528048</v>
      </c>
      <c r="CD43" s="447">
        <v>5740666.819997456</v>
      </c>
      <c r="CE43" s="447">
        <v>6052484.31528048</v>
      </c>
      <c r="CF43" s="454">
        <v>1323.525981911323</v>
      </c>
      <c r="CG43" s="450">
        <v>4573</v>
      </c>
      <c r="CH43" s="450">
        <v>189</v>
      </c>
      <c r="CI43" s="450">
        <v>246</v>
      </c>
      <c r="CJ43" s="450">
        <v>308</v>
      </c>
      <c r="CK43" s="450">
        <v>86</v>
      </c>
      <c r="CL43" s="450">
        <v>310</v>
      </c>
      <c r="CM43" s="450">
        <v>102</v>
      </c>
      <c r="CN43" s="450">
        <v>195</v>
      </c>
      <c r="CO43" s="450">
        <v>545</v>
      </c>
      <c r="CP43" s="450">
        <v>57</v>
      </c>
      <c r="CQ43" s="450">
        <v>785</v>
      </c>
      <c r="CR43" s="450">
        <v>1530</v>
      </c>
      <c r="CS43" s="450">
        <v>0</v>
      </c>
      <c r="CT43" s="450">
        <v>220</v>
      </c>
      <c r="CU43" s="450">
        <v>0</v>
      </c>
      <c r="CV43" s="450">
        <v>0</v>
      </c>
      <c r="CW43" s="447">
        <v>3358342.3800373413</v>
      </c>
      <c r="CX43" s="452">
        <v>1.0120078368304404</v>
      </c>
      <c r="CY43" s="452">
        <v>1.0366666666666668</v>
      </c>
      <c r="CZ43" s="447">
        <v>3398668.8073575823</v>
      </c>
      <c r="DA43" s="454">
        <v>743.2033254663421</v>
      </c>
      <c r="DB43" s="449">
        <v>4592.75</v>
      </c>
      <c r="DC43" s="452">
        <v>1.0059604811931848</v>
      </c>
      <c r="DD43" s="454">
        <v>308</v>
      </c>
      <c r="DE43" s="447">
        <v>37175</v>
      </c>
      <c r="DF43" s="454">
        <v>49.68499289369465</v>
      </c>
      <c r="DG43" s="454">
        <v>51.82144758812351</v>
      </c>
      <c r="DH43" s="454">
        <v>52.96151943506222</v>
      </c>
      <c r="DI43" s="454">
        <v>54.12667286263358</v>
      </c>
      <c r="DJ43" s="454">
        <v>55.912853067100485</v>
      </c>
      <c r="DK43" s="454">
        <v>57.92571577751609</v>
      </c>
      <c r="DL43" s="454">
        <v>59.77933868239659</v>
      </c>
      <c r="DM43" s="454">
        <v>62.230291568374845</v>
      </c>
      <c r="DN43" s="454">
        <v>64.96842439738333</v>
      </c>
      <c r="DO43" s="454">
        <v>68.5416877392394</v>
      </c>
      <c r="DP43" s="454">
        <v>67.92481254958625</v>
      </c>
      <c r="DQ43" s="454">
        <v>71.38897798961514</v>
      </c>
      <c r="DR43" s="454">
        <v>75.74370564698167</v>
      </c>
      <c r="DS43" s="454">
        <v>41.43</v>
      </c>
      <c r="DT43" s="454">
        <v>43.40346594350621</v>
      </c>
      <c r="DU43" s="454">
        <v>45.4437122685267</v>
      </c>
      <c r="DV43" s="454">
        <v>48.06454206010213</v>
      </c>
      <c r="DW43" s="454">
        <v>50.95641560330155</v>
      </c>
      <c r="DX43" s="454">
        <v>53.78574053257209</v>
      </c>
      <c r="DY43" s="454">
        <v>57.238823029201</v>
      </c>
      <c r="DZ43" s="454">
        <v>60.33634159303</v>
      </c>
      <c r="EA43" s="454">
        <v>62.110203615168906</v>
      </c>
      <c r="EB43" s="454">
        <v>63.62730323766622</v>
      </c>
      <c r="EC43" s="454">
        <v>67.77563216015278</v>
      </c>
      <c r="ED43" s="454">
        <v>72.86838570318699</v>
      </c>
      <c r="EE43" s="454">
        <v>0</v>
      </c>
      <c r="EF43" s="454">
        <v>72.86838570318699</v>
      </c>
      <c r="EG43" s="454">
        <v>3789.1560565657232</v>
      </c>
      <c r="EH43" s="447">
        <v>17054593.54921638</v>
      </c>
      <c r="EI43" s="454">
        <v>50.62</v>
      </c>
      <c r="EJ43" s="454">
        <v>51.85642794350621</v>
      </c>
      <c r="EK43" s="454">
        <v>53.1227586365267</v>
      </c>
      <c r="EL43" s="454">
        <v>55.00544009597812</v>
      </c>
      <c r="EM43" s="454">
        <v>57.11993305915943</v>
      </c>
      <c r="EN43" s="454">
        <v>59.08636554460987</v>
      </c>
      <c r="EO43" s="454">
        <v>61.65318353922606</v>
      </c>
      <c r="EP43" s="454">
        <v>64.43286814633325</v>
      </c>
      <c r="EQ43" s="454">
        <v>66.01692443816911</v>
      </c>
      <c r="ER43" s="454">
        <v>66.23776900140496</v>
      </c>
      <c r="ES43" s="454">
        <v>69.97051177430431</v>
      </c>
      <c r="ET43" s="454">
        <v>74.61496115614807</v>
      </c>
      <c r="EU43" s="447">
        <v>25446847</v>
      </c>
      <c r="EV43" s="447">
        <v>0</v>
      </c>
      <c r="EW43" s="447">
        <v>0</v>
      </c>
      <c r="EX43" s="447">
        <v>0</v>
      </c>
      <c r="EY43" s="447">
        <v>0</v>
      </c>
      <c r="EZ43" s="447">
        <v>0</v>
      </c>
      <c r="FA43" s="447">
        <v>0</v>
      </c>
      <c r="FB43" s="447">
        <v>0</v>
      </c>
      <c r="FC43" s="447">
        <v>0</v>
      </c>
      <c r="FD43" s="447">
        <v>25446847</v>
      </c>
      <c r="FE43" s="447">
        <v>52961.7570952808</v>
      </c>
      <c r="FF43" s="447">
        <v>0</v>
      </c>
      <c r="FG43" s="447">
        <v>0</v>
      </c>
      <c r="FH43" s="447">
        <v>133290</v>
      </c>
      <c r="FI43" s="456">
        <v>0.0313</v>
      </c>
      <c r="FJ43" s="447">
        <v>4171.977</v>
      </c>
      <c r="FK43" s="471">
        <v>4171.977</v>
      </c>
      <c r="FL43" s="498">
        <v>0</v>
      </c>
      <c r="FM43" s="37">
        <v>0</v>
      </c>
      <c r="FN43" s="37">
        <v>0</v>
      </c>
      <c r="FO43" s="37">
        <v>0</v>
      </c>
      <c r="FP43" s="40">
        <v>70.51</v>
      </c>
      <c r="FQ43" s="446">
        <v>16347</v>
      </c>
      <c r="FR43" s="450">
        <v>47751</v>
      </c>
      <c r="FS43" s="450">
        <v>0</v>
      </c>
      <c r="FT43" s="450">
        <v>0</v>
      </c>
      <c r="FU43" s="450">
        <v>0</v>
      </c>
      <c r="FV43" s="450">
        <v>0</v>
      </c>
      <c r="FW43" s="450">
        <v>0</v>
      </c>
      <c r="FX43" s="450">
        <v>0</v>
      </c>
      <c r="FY43" s="450">
        <v>0</v>
      </c>
      <c r="FZ43" s="450">
        <v>0</v>
      </c>
      <c r="GA43" s="450">
        <v>0</v>
      </c>
      <c r="GB43" s="450">
        <v>0</v>
      </c>
      <c r="GC43" s="450">
        <v>0</v>
      </c>
      <c r="GD43" s="450">
        <v>0</v>
      </c>
      <c r="GE43" s="450">
        <v>0</v>
      </c>
      <c r="GF43" s="450">
        <v>0</v>
      </c>
      <c r="GG43" s="450">
        <v>0</v>
      </c>
      <c r="GH43" s="450">
        <v>0</v>
      </c>
      <c r="GI43" s="450">
        <v>0</v>
      </c>
      <c r="GJ43" s="450">
        <v>0</v>
      </c>
      <c r="GK43" s="450">
        <v>0</v>
      </c>
      <c r="GL43" s="450">
        <v>0</v>
      </c>
      <c r="GM43" s="450">
        <v>0</v>
      </c>
      <c r="GN43" s="450">
        <v>0</v>
      </c>
      <c r="GO43" s="450">
        <v>0</v>
      </c>
      <c r="GP43" s="450">
        <v>0</v>
      </c>
      <c r="GQ43" s="450">
        <v>0</v>
      </c>
      <c r="GR43" s="450">
        <v>0</v>
      </c>
      <c r="GS43" s="450">
        <v>0</v>
      </c>
      <c r="GT43" s="450">
        <v>0</v>
      </c>
      <c r="GU43" s="450">
        <v>0</v>
      </c>
      <c r="GV43" s="450">
        <v>0</v>
      </c>
      <c r="GW43" s="450">
        <v>0</v>
      </c>
      <c r="GX43" s="450">
        <v>18730475</v>
      </c>
      <c r="GY43" s="450">
        <v>18730475</v>
      </c>
      <c r="GZ43" s="450">
        <v>0</v>
      </c>
      <c r="HA43" s="450" t="s">
        <v>888</v>
      </c>
      <c r="HB43" s="450" t="s">
        <v>888</v>
      </c>
      <c r="HC43" s="450">
        <v>0</v>
      </c>
      <c r="HD43" s="450">
        <v>0</v>
      </c>
      <c r="HE43" s="450">
        <v>0</v>
      </c>
      <c r="HF43" s="450">
        <v>0</v>
      </c>
      <c r="HG43" s="472">
        <v>0</v>
      </c>
    </row>
    <row r="44" spans="2:215" ht="12.75">
      <c r="B44" s="445" t="s">
        <v>719</v>
      </c>
      <c r="C44" s="446">
        <v>5661</v>
      </c>
      <c r="D44" s="447">
        <v>1349813</v>
      </c>
      <c r="E44" s="447">
        <v>1158139.554</v>
      </c>
      <c r="F44" s="447">
        <v>147397.6951530249</v>
      </c>
      <c r="G44" s="447">
        <v>191673.44600000003</v>
      </c>
      <c r="H44" s="448">
        <v>0.37876876876876875</v>
      </c>
      <c r="I44" s="449">
        <v>1649.17</v>
      </c>
      <c r="J44" s="449">
        <v>495.04</v>
      </c>
      <c r="K44" s="447">
        <v>1305537.249153025</v>
      </c>
      <c r="L44" s="447">
        <v>1044429.79932242</v>
      </c>
      <c r="M44" s="447">
        <v>294865.5389546148</v>
      </c>
      <c r="N44" s="447">
        <v>261107.44983060495</v>
      </c>
      <c r="O44" s="450">
        <v>1.1292881116410527</v>
      </c>
      <c r="P44" s="451">
        <v>0.9005476064299593</v>
      </c>
      <c r="Q44" s="452">
        <v>0.09945239357004063</v>
      </c>
      <c r="R44" s="447">
        <v>1339295.338277035</v>
      </c>
      <c r="S44" s="447">
        <v>905363.6486752756</v>
      </c>
      <c r="T44" s="447">
        <v>99606.16191893097</v>
      </c>
      <c r="U44" s="447">
        <v>291078.34294083476</v>
      </c>
      <c r="V44" s="447">
        <v>305359.33712716395</v>
      </c>
      <c r="W44" s="450">
        <v>0.9532321679740154</v>
      </c>
      <c r="X44" s="452">
        <v>16.733515098421446</v>
      </c>
      <c r="Y44" s="447">
        <v>99606.16191893097</v>
      </c>
      <c r="Z44" s="447">
        <v>128572.35247459536</v>
      </c>
      <c r="AA44" s="448">
        <v>0.774709025710735</v>
      </c>
      <c r="AB44" s="448">
        <v>0.06094329623741388</v>
      </c>
      <c r="AC44" s="449">
        <v>366</v>
      </c>
      <c r="AD44" s="449">
        <v>324</v>
      </c>
      <c r="AE44" s="447">
        <v>1296048.1535350413</v>
      </c>
      <c r="AF44" s="447">
        <v>0</v>
      </c>
      <c r="AG44" s="451">
        <v>0</v>
      </c>
      <c r="AH44" s="450">
        <v>0.1552511459182722</v>
      </c>
      <c r="AI44" s="452">
        <v>0.13073852985091736</v>
      </c>
      <c r="AJ44" s="447">
        <v>1296048.1535350413</v>
      </c>
      <c r="AK44" s="453">
        <v>1.0139</v>
      </c>
      <c r="AL44" s="447">
        <v>1314063.2228691783</v>
      </c>
      <c r="AM44" s="447">
        <v>3091283.713359804</v>
      </c>
      <c r="AN44" s="447">
        <v>3060772.131303433</v>
      </c>
      <c r="AO44" s="447">
        <v>2978928.736982298</v>
      </c>
      <c r="AP44" s="447">
        <v>3060772.131303433</v>
      </c>
      <c r="AQ44" s="447">
        <v>22644</v>
      </c>
      <c r="AR44" s="447">
        <v>3083416.131303433</v>
      </c>
      <c r="AS44" s="454">
        <v>544.6769354007124</v>
      </c>
      <c r="AT44" s="450">
        <v>5661</v>
      </c>
      <c r="AU44" s="450">
        <v>128</v>
      </c>
      <c r="AV44" s="450">
        <v>456</v>
      </c>
      <c r="AW44" s="450">
        <v>77</v>
      </c>
      <c r="AX44" s="450">
        <v>130</v>
      </c>
      <c r="AY44" s="450">
        <v>793</v>
      </c>
      <c r="AZ44" s="450">
        <v>402</v>
      </c>
      <c r="BA44" s="450">
        <v>185</v>
      </c>
      <c r="BB44" s="450">
        <v>974</v>
      </c>
      <c r="BC44" s="450">
        <v>70</v>
      </c>
      <c r="BD44" s="450">
        <v>1220</v>
      </c>
      <c r="BE44" s="450">
        <v>412</v>
      </c>
      <c r="BF44" s="450">
        <v>151</v>
      </c>
      <c r="BG44" s="450">
        <v>641</v>
      </c>
      <c r="BH44" s="450">
        <v>0</v>
      </c>
      <c r="BI44" s="450">
        <v>22</v>
      </c>
      <c r="BJ44" s="452">
        <v>1.7077594867026193</v>
      </c>
      <c r="BK44" s="452">
        <v>19.538245336894448</v>
      </c>
      <c r="BL44" s="452">
        <v>14.200692680172844</v>
      </c>
      <c r="BM44" s="452">
        <v>10.675105313443206</v>
      </c>
      <c r="BN44" s="449">
        <v>5098</v>
      </c>
      <c r="BO44" s="449">
        <v>563</v>
      </c>
      <c r="BP44" s="447">
        <v>1961761.3861978466</v>
      </c>
      <c r="BQ44" s="447">
        <v>5957540</v>
      </c>
      <c r="BR44" s="447">
        <v>7937612</v>
      </c>
      <c r="BS44" s="448">
        <v>0.06094329623741388</v>
      </c>
      <c r="BT44" s="449">
        <v>366</v>
      </c>
      <c r="BU44" s="449">
        <v>324</v>
      </c>
      <c r="BV44" s="447">
        <v>483744.2395336513</v>
      </c>
      <c r="BW44" s="448">
        <v>0.009056185902413917</v>
      </c>
      <c r="BX44" s="447">
        <v>15831.726789911809</v>
      </c>
      <c r="BY44" s="447">
        <v>8418877.35252141</v>
      </c>
      <c r="BZ44" s="455">
        <v>0.93</v>
      </c>
      <c r="CA44" s="447">
        <v>7829555.937844912</v>
      </c>
      <c r="CB44" s="447">
        <v>5888038.292750711</v>
      </c>
      <c r="CC44" s="447">
        <v>5880831.801821859</v>
      </c>
      <c r="CD44" s="447">
        <v>5727938.206739022</v>
      </c>
      <c r="CE44" s="447">
        <v>5880831.801821859</v>
      </c>
      <c r="CF44" s="454">
        <v>1038.8326800603884</v>
      </c>
      <c r="CG44" s="450">
        <v>5661</v>
      </c>
      <c r="CH44" s="450">
        <v>128</v>
      </c>
      <c r="CI44" s="450">
        <v>456</v>
      </c>
      <c r="CJ44" s="450">
        <v>77</v>
      </c>
      <c r="CK44" s="450">
        <v>130</v>
      </c>
      <c r="CL44" s="450">
        <v>793</v>
      </c>
      <c r="CM44" s="450">
        <v>402</v>
      </c>
      <c r="CN44" s="450">
        <v>185</v>
      </c>
      <c r="CO44" s="450">
        <v>974</v>
      </c>
      <c r="CP44" s="450">
        <v>70</v>
      </c>
      <c r="CQ44" s="450">
        <v>1220</v>
      </c>
      <c r="CR44" s="450">
        <v>412</v>
      </c>
      <c r="CS44" s="450">
        <v>151</v>
      </c>
      <c r="CT44" s="450">
        <v>641</v>
      </c>
      <c r="CU44" s="450">
        <v>0</v>
      </c>
      <c r="CV44" s="450">
        <v>22</v>
      </c>
      <c r="CW44" s="447">
        <v>4115302.528530313</v>
      </c>
      <c r="CX44" s="452">
        <v>0.9078784131051217</v>
      </c>
      <c r="CY44" s="452">
        <v>0.93</v>
      </c>
      <c r="CZ44" s="447">
        <v>3736194.3290495956</v>
      </c>
      <c r="DA44" s="454">
        <v>659.9883994081604</v>
      </c>
      <c r="DB44" s="449">
        <v>5661</v>
      </c>
      <c r="DC44" s="452">
        <v>1.0284755343578873</v>
      </c>
      <c r="DD44" s="454">
        <v>322</v>
      </c>
      <c r="DE44" s="447">
        <v>33216</v>
      </c>
      <c r="DF44" s="454">
        <v>50.9589599299566</v>
      </c>
      <c r="DG44" s="454">
        <v>53.15019520694473</v>
      </c>
      <c r="DH44" s="454">
        <v>54.3194995014975</v>
      </c>
      <c r="DI44" s="454">
        <v>55.51452849053044</v>
      </c>
      <c r="DJ44" s="454">
        <v>57.34650793071794</v>
      </c>
      <c r="DK44" s="454">
        <v>59.41098221622378</v>
      </c>
      <c r="DL44" s="454">
        <v>61.31213364714293</v>
      </c>
      <c r="DM44" s="454">
        <v>63.82593112667578</v>
      </c>
      <c r="DN44" s="454">
        <v>66.6342720962495</v>
      </c>
      <c r="DO44" s="454">
        <v>70.29915706154323</v>
      </c>
      <c r="DP44" s="454">
        <v>69.66646464798934</v>
      </c>
      <c r="DQ44" s="454">
        <v>73.2194543450368</v>
      </c>
      <c r="DR44" s="454">
        <v>77.68584106008403</v>
      </c>
      <c r="DS44" s="454">
        <v>34.88</v>
      </c>
      <c r="DT44" s="454">
        <v>37.51457395014975</v>
      </c>
      <c r="DU44" s="454">
        <v>40.248187234106084</v>
      </c>
      <c r="DV44" s="454">
        <v>43.547643727567376</v>
      </c>
      <c r="DW44" s="454">
        <v>47.157590803826075</v>
      </c>
      <c r="DX44" s="454">
        <v>50.774217032480905</v>
      </c>
      <c r="DY44" s="454">
        <v>55.04995416998525</v>
      </c>
      <c r="DZ44" s="454">
        <v>58.490165480440695</v>
      </c>
      <c r="EA44" s="454">
        <v>60.46673161728316</v>
      </c>
      <c r="EB44" s="454">
        <v>63.096450777112544</v>
      </c>
      <c r="EC44" s="454">
        <v>67.69538668240358</v>
      </c>
      <c r="ED44" s="454">
        <v>73.29006421754366</v>
      </c>
      <c r="EE44" s="454">
        <v>-4.96</v>
      </c>
      <c r="EF44" s="454">
        <v>68.33006421754366</v>
      </c>
      <c r="EG44" s="454">
        <v>3553.1633393122706</v>
      </c>
      <c r="EH44" s="447">
        <v>19712168.51056983</v>
      </c>
      <c r="EI44" s="454">
        <v>36</v>
      </c>
      <c r="EJ44" s="454">
        <v>38.54474995014974</v>
      </c>
      <c r="EK44" s="454">
        <v>41.18404489810607</v>
      </c>
      <c r="EL44" s="454">
        <v>44.393542073615365</v>
      </c>
      <c r="EM44" s="454">
        <v>47.908748535116686</v>
      </c>
      <c r="EN44" s="454">
        <v>51.42021268139083</v>
      </c>
      <c r="EO44" s="454">
        <v>55.587939346397434</v>
      </c>
      <c r="EP44" s="454">
        <v>58.9894157241512</v>
      </c>
      <c r="EQ44" s="454">
        <v>60.94284993303508</v>
      </c>
      <c r="ER44" s="454">
        <v>63.41459241534837</v>
      </c>
      <c r="ES44" s="454">
        <v>67.96288017183227</v>
      </c>
      <c r="ET44" s="454">
        <v>73.50292216175654</v>
      </c>
      <c r="EU44" s="447">
        <v>15977610</v>
      </c>
      <c r="EV44" s="447">
        <v>0</v>
      </c>
      <c r="EW44" s="447">
        <v>0</v>
      </c>
      <c r="EX44" s="447">
        <v>0</v>
      </c>
      <c r="EY44" s="447">
        <v>0</v>
      </c>
      <c r="EZ44" s="447">
        <v>0</v>
      </c>
      <c r="FA44" s="447">
        <v>0</v>
      </c>
      <c r="FB44" s="447">
        <v>0</v>
      </c>
      <c r="FC44" s="447">
        <v>0</v>
      </c>
      <c r="FD44" s="447">
        <v>15977610</v>
      </c>
      <c r="FE44" s="447">
        <v>48332.86867766324</v>
      </c>
      <c r="FF44" s="447">
        <v>0</v>
      </c>
      <c r="FG44" s="447">
        <v>0</v>
      </c>
      <c r="FH44" s="447">
        <v>12430</v>
      </c>
      <c r="FI44" s="456">
        <v>0.0689</v>
      </c>
      <c r="FJ44" s="447">
        <v>856.427</v>
      </c>
      <c r="FK44" s="471">
        <v>856.427</v>
      </c>
      <c r="FL44" s="498">
        <v>73.24</v>
      </c>
      <c r="FM44" s="37">
        <v>66.69</v>
      </c>
      <c r="FN44" s="37">
        <v>61</v>
      </c>
      <c r="FO44" s="37">
        <v>-5.69</v>
      </c>
      <c r="FP44" s="40">
        <v>61.73</v>
      </c>
      <c r="FQ44" s="446">
        <v>137632</v>
      </c>
      <c r="FR44" s="450">
        <v>24</v>
      </c>
      <c r="FS44" s="450">
        <v>0</v>
      </c>
      <c r="FT44" s="450">
        <v>0</v>
      </c>
      <c r="FU44" s="450">
        <v>0</v>
      </c>
      <c r="FV44" s="450">
        <v>0</v>
      </c>
      <c r="FW44" s="450">
        <v>0</v>
      </c>
      <c r="FX44" s="450">
        <v>0</v>
      </c>
      <c r="FY44" s="450">
        <v>0</v>
      </c>
      <c r="FZ44" s="450">
        <v>0</v>
      </c>
      <c r="GA44" s="450">
        <v>0</v>
      </c>
      <c r="GB44" s="450">
        <v>0</v>
      </c>
      <c r="GC44" s="450">
        <v>0</v>
      </c>
      <c r="GD44" s="450">
        <v>0</v>
      </c>
      <c r="GE44" s="450">
        <v>0</v>
      </c>
      <c r="GF44" s="450">
        <v>0</v>
      </c>
      <c r="GG44" s="450">
        <v>0</v>
      </c>
      <c r="GH44" s="450">
        <v>0</v>
      </c>
      <c r="GI44" s="450">
        <v>0</v>
      </c>
      <c r="GJ44" s="450">
        <v>0</v>
      </c>
      <c r="GK44" s="450">
        <v>0</v>
      </c>
      <c r="GL44" s="450">
        <v>0</v>
      </c>
      <c r="GM44" s="450">
        <v>0</v>
      </c>
      <c r="GN44" s="450">
        <v>0</v>
      </c>
      <c r="GO44" s="450">
        <v>0</v>
      </c>
      <c r="GP44" s="450">
        <v>0</v>
      </c>
      <c r="GQ44" s="450">
        <v>0</v>
      </c>
      <c r="GR44" s="450">
        <v>0</v>
      </c>
      <c r="GS44" s="450">
        <v>0</v>
      </c>
      <c r="GT44" s="450">
        <v>0</v>
      </c>
      <c r="GU44" s="450">
        <v>0</v>
      </c>
      <c r="GV44" s="450">
        <v>0</v>
      </c>
      <c r="GW44" s="450">
        <v>0</v>
      </c>
      <c r="GX44" s="450">
        <v>4116000</v>
      </c>
      <c r="GY44" s="450">
        <v>5245000</v>
      </c>
      <c r="GZ44" s="450">
        <v>0</v>
      </c>
      <c r="HA44" s="450" t="s">
        <v>888</v>
      </c>
      <c r="HB44" s="450" t="s">
        <v>888</v>
      </c>
      <c r="HC44" s="450">
        <v>0</v>
      </c>
      <c r="HD44" s="450">
        <v>0</v>
      </c>
      <c r="HE44" s="450">
        <v>0</v>
      </c>
      <c r="HF44" s="450">
        <v>0</v>
      </c>
      <c r="HG44" s="472">
        <v>0</v>
      </c>
    </row>
    <row r="45" spans="2:215" ht="12.75">
      <c r="B45" s="445" t="s">
        <v>720</v>
      </c>
      <c r="C45" s="446">
        <v>9724</v>
      </c>
      <c r="D45" s="447">
        <v>2296492</v>
      </c>
      <c r="E45" s="447">
        <v>1970390.136</v>
      </c>
      <c r="F45" s="447">
        <v>256779.82646996394</v>
      </c>
      <c r="G45" s="447">
        <v>326101.86400000006</v>
      </c>
      <c r="H45" s="448">
        <v>0.38784039489921845</v>
      </c>
      <c r="I45" s="449">
        <v>2936.11</v>
      </c>
      <c r="J45" s="449">
        <v>835.25</v>
      </c>
      <c r="K45" s="447">
        <v>2227169.962469964</v>
      </c>
      <c r="L45" s="447">
        <v>1781735.9699759712</v>
      </c>
      <c r="M45" s="447">
        <v>557387.9906074561</v>
      </c>
      <c r="N45" s="447">
        <v>445433.9924939927</v>
      </c>
      <c r="O45" s="450">
        <v>1.2513368983957218</v>
      </c>
      <c r="P45" s="451">
        <v>0.8066639243109831</v>
      </c>
      <c r="Q45" s="452">
        <v>0.19333607568901687</v>
      </c>
      <c r="R45" s="447">
        <v>2339123.960583427</v>
      </c>
      <c r="S45" s="447">
        <v>1581247.7973543967</v>
      </c>
      <c r="T45" s="447">
        <v>390283.81153641775</v>
      </c>
      <c r="U45" s="447">
        <v>588217.6635824231</v>
      </c>
      <c r="V45" s="447">
        <v>533320.2630130213</v>
      </c>
      <c r="W45" s="450">
        <v>1.1029351486839372</v>
      </c>
      <c r="X45" s="452">
        <v>19.361476231240093</v>
      </c>
      <c r="Y45" s="447">
        <v>390283.81153641775</v>
      </c>
      <c r="Z45" s="447">
        <v>224555.900216009</v>
      </c>
      <c r="AA45" s="448">
        <v>1.738025191771798</v>
      </c>
      <c r="AB45" s="448">
        <v>0.13672357054709997</v>
      </c>
      <c r="AC45" s="449">
        <v>1261</v>
      </c>
      <c r="AD45" s="449">
        <v>1398</v>
      </c>
      <c r="AE45" s="447">
        <v>2559749.2724732375</v>
      </c>
      <c r="AF45" s="447">
        <v>165527.20486949562</v>
      </c>
      <c r="AG45" s="451">
        <v>0.5</v>
      </c>
      <c r="AH45" s="450">
        <v>0.3339226840389404</v>
      </c>
      <c r="AI45" s="452">
        <v>0.2811996042728424</v>
      </c>
      <c r="AJ45" s="447">
        <v>2725276.477342733</v>
      </c>
      <c r="AK45" s="453">
        <v>1</v>
      </c>
      <c r="AL45" s="447">
        <v>2725276.477342733</v>
      </c>
      <c r="AM45" s="447">
        <v>6411109.1781547265</v>
      </c>
      <c r="AN45" s="447">
        <v>6347830.261723915</v>
      </c>
      <c r="AO45" s="447">
        <v>5884962.767246167</v>
      </c>
      <c r="AP45" s="447">
        <v>6347830.261723915</v>
      </c>
      <c r="AQ45" s="447">
        <v>38896</v>
      </c>
      <c r="AR45" s="447">
        <v>6386726.261723915</v>
      </c>
      <c r="AS45" s="454">
        <v>656.8003148625993</v>
      </c>
      <c r="AT45" s="450">
        <v>9724</v>
      </c>
      <c r="AU45" s="450">
        <v>229</v>
      </c>
      <c r="AV45" s="450">
        <v>1552</v>
      </c>
      <c r="AW45" s="450">
        <v>522</v>
      </c>
      <c r="AX45" s="450">
        <v>31</v>
      </c>
      <c r="AY45" s="450">
        <v>1484</v>
      </c>
      <c r="AZ45" s="450">
        <v>82</v>
      </c>
      <c r="BA45" s="450">
        <v>213</v>
      </c>
      <c r="BB45" s="450">
        <v>921</v>
      </c>
      <c r="BC45" s="450">
        <v>0</v>
      </c>
      <c r="BD45" s="450">
        <v>1419</v>
      </c>
      <c r="BE45" s="450">
        <v>1880</v>
      </c>
      <c r="BF45" s="450">
        <v>0</v>
      </c>
      <c r="BG45" s="450">
        <v>1391</v>
      </c>
      <c r="BH45" s="450">
        <v>0</v>
      </c>
      <c r="BI45" s="450">
        <v>0</v>
      </c>
      <c r="BJ45" s="452">
        <v>1.6463606140931542</v>
      </c>
      <c r="BK45" s="452">
        <v>15.090703008536515</v>
      </c>
      <c r="BL45" s="452">
        <v>9.869141862710412</v>
      </c>
      <c r="BM45" s="452">
        <v>10.443122291652204</v>
      </c>
      <c r="BN45" s="449">
        <v>7844</v>
      </c>
      <c r="BO45" s="449">
        <v>1880</v>
      </c>
      <c r="BP45" s="447">
        <v>3544566.6576847523</v>
      </c>
      <c r="BQ45" s="447">
        <v>10636344</v>
      </c>
      <c r="BR45" s="447">
        <v>13462884</v>
      </c>
      <c r="BS45" s="448">
        <v>0.13672357054709997</v>
      </c>
      <c r="BT45" s="449">
        <v>1261</v>
      </c>
      <c r="BU45" s="449">
        <v>1398</v>
      </c>
      <c r="BV45" s="447">
        <v>1840693.5703414234</v>
      </c>
      <c r="BW45" s="448">
        <v>0.010393544908379888</v>
      </c>
      <c r="BX45" s="447">
        <v>24105.845194530433</v>
      </c>
      <c r="BY45" s="447">
        <v>16045710.073220706</v>
      </c>
      <c r="BZ45" s="455">
        <v>0.9133333333333334</v>
      </c>
      <c r="CA45" s="447">
        <v>14655081.866874913</v>
      </c>
      <c r="CB45" s="447">
        <v>11021018.80369314</v>
      </c>
      <c r="CC45" s="447">
        <v>11007529.952553483</v>
      </c>
      <c r="CD45" s="447">
        <v>10406369.026330791</v>
      </c>
      <c r="CE45" s="447">
        <v>11007529.952553483</v>
      </c>
      <c r="CF45" s="454">
        <v>1131.99608726383</v>
      </c>
      <c r="CG45" s="450">
        <v>9724</v>
      </c>
      <c r="CH45" s="450">
        <v>229</v>
      </c>
      <c r="CI45" s="450">
        <v>1552</v>
      </c>
      <c r="CJ45" s="450">
        <v>522</v>
      </c>
      <c r="CK45" s="450">
        <v>31</v>
      </c>
      <c r="CL45" s="450">
        <v>1484</v>
      </c>
      <c r="CM45" s="450">
        <v>82</v>
      </c>
      <c r="CN45" s="450">
        <v>213</v>
      </c>
      <c r="CO45" s="450">
        <v>921</v>
      </c>
      <c r="CP45" s="450">
        <v>0</v>
      </c>
      <c r="CQ45" s="450">
        <v>1419</v>
      </c>
      <c r="CR45" s="450">
        <v>1880</v>
      </c>
      <c r="CS45" s="450">
        <v>0</v>
      </c>
      <c r="CT45" s="450">
        <v>1391</v>
      </c>
      <c r="CU45" s="450">
        <v>0</v>
      </c>
      <c r="CV45" s="450">
        <v>0</v>
      </c>
      <c r="CW45" s="447">
        <v>6833967.207257438</v>
      </c>
      <c r="CX45" s="452">
        <v>0.8916081906480408</v>
      </c>
      <c r="CY45" s="452">
        <v>0.9133333333333334</v>
      </c>
      <c r="CZ45" s="447">
        <v>6093221.136610849</v>
      </c>
      <c r="DA45" s="454">
        <v>626.616735562613</v>
      </c>
      <c r="DB45" s="449">
        <v>9724</v>
      </c>
      <c r="DC45" s="452">
        <v>1.0014705882352943</v>
      </c>
      <c r="DD45" s="454">
        <v>321.1</v>
      </c>
      <c r="DE45" s="447">
        <v>31426</v>
      </c>
      <c r="DF45" s="454">
        <v>49.209695151215485</v>
      </c>
      <c r="DG45" s="454">
        <v>51.32571204271775</v>
      </c>
      <c r="DH45" s="454">
        <v>52.45487770765752</v>
      </c>
      <c r="DI45" s="454">
        <v>53.60888501722598</v>
      </c>
      <c r="DJ45" s="454">
        <v>55.37797822279443</v>
      </c>
      <c r="DK45" s="454">
        <v>57.371585438815025</v>
      </c>
      <c r="DL45" s="454">
        <v>59.20747617285709</v>
      </c>
      <c r="DM45" s="454">
        <v>61.63498269594423</v>
      </c>
      <c r="DN45" s="454">
        <v>64.34692193456577</v>
      </c>
      <c r="DO45" s="454">
        <v>67.88600264096688</v>
      </c>
      <c r="DP45" s="454">
        <v>67.27502861719817</v>
      </c>
      <c r="DQ45" s="454">
        <v>70.70605507667527</v>
      </c>
      <c r="DR45" s="454">
        <v>75.01912443635246</v>
      </c>
      <c r="DS45" s="454">
        <v>36.59</v>
      </c>
      <c r="DT45" s="454">
        <v>38.90096977076575</v>
      </c>
      <c r="DU45" s="454">
        <v>41.295912651445185</v>
      </c>
      <c r="DV45" s="454">
        <v>44.248590325674314</v>
      </c>
      <c r="DW45" s="454">
        <v>47.488688986172356</v>
      </c>
      <c r="DX45" s="454">
        <v>50.7081852235844</v>
      </c>
      <c r="DY45" s="454">
        <v>54.55677319338993</v>
      </c>
      <c r="DZ45" s="454">
        <v>57.77834351619538</v>
      </c>
      <c r="EA45" s="454">
        <v>59.627013776009456</v>
      </c>
      <c r="EB45" s="454">
        <v>61.75638301853117</v>
      </c>
      <c r="EC45" s="454">
        <v>66.06597785731606</v>
      </c>
      <c r="ED45" s="454">
        <v>71.32678298904736</v>
      </c>
      <c r="EE45" s="454">
        <v>-2.96</v>
      </c>
      <c r="EF45" s="454">
        <v>68.36678298904737</v>
      </c>
      <c r="EG45" s="454">
        <v>3555.072715430463</v>
      </c>
      <c r="EH45" s="447">
        <v>33878136.54314891</v>
      </c>
      <c r="EI45" s="454">
        <v>38.34</v>
      </c>
      <c r="EJ45" s="454">
        <v>40.51061977076575</v>
      </c>
      <c r="EK45" s="454">
        <v>42.75819025144519</v>
      </c>
      <c r="EL45" s="454">
        <v>45.570306491374325</v>
      </c>
      <c r="EM45" s="454">
        <v>48.66237294131397</v>
      </c>
      <c r="EN45" s="454">
        <v>51.71755342500619</v>
      </c>
      <c r="EO45" s="454">
        <v>55.397375031534</v>
      </c>
      <c r="EP45" s="454">
        <v>58.558422021993074</v>
      </c>
      <c r="EQ45" s="454">
        <v>60.37094864437185</v>
      </c>
      <c r="ER45" s="454">
        <v>62.25347932827467</v>
      </c>
      <c r="ES45" s="454">
        <v>66.4839364345484</v>
      </c>
      <c r="ET45" s="454">
        <v>71.65937352687999</v>
      </c>
      <c r="EU45" s="447">
        <v>38442454</v>
      </c>
      <c r="EV45" s="447">
        <v>0</v>
      </c>
      <c r="EW45" s="447">
        <v>0</v>
      </c>
      <c r="EX45" s="447">
        <v>0</v>
      </c>
      <c r="EY45" s="447">
        <v>0</v>
      </c>
      <c r="EZ45" s="447">
        <v>0</v>
      </c>
      <c r="FA45" s="447">
        <v>0</v>
      </c>
      <c r="FB45" s="447">
        <v>0</v>
      </c>
      <c r="FC45" s="447">
        <v>0</v>
      </c>
      <c r="FD45" s="447">
        <v>38442454</v>
      </c>
      <c r="FE45" s="447">
        <v>59314.456338335935</v>
      </c>
      <c r="FF45" s="447">
        <v>0</v>
      </c>
      <c r="FG45" s="447">
        <v>0</v>
      </c>
      <c r="FH45" s="447">
        <v>7734</v>
      </c>
      <c r="FI45" s="456">
        <v>0.07980000000000001</v>
      </c>
      <c r="FJ45" s="447">
        <v>617.1732000000001</v>
      </c>
      <c r="FK45" s="471">
        <v>617.1732000000001</v>
      </c>
      <c r="FL45" s="498">
        <v>70.71</v>
      </c>
      <c r="FM45" s="37">
        <v>65.61</v>
      </c>
      <c r="FN45" s="37">
        <v>62.44</v>
      </c>
      <c r="FO45" s="37">
        <v>-3.17</v>
      </c>
      <c r="FP45" s="40">
        <v>62.65</v>
      </c>
      <c r="FQ45" s="446">
        <v>0</v>
      </c>
      <c r="FR45" s="450">
        <v>0</v>
      </c>
      <c r="FS45" s="450">
        <v>0</v>
      </c>
      <c r="FT45" s="450">
        <v>0</v>
      </c>
      <c r="FU45" s="450">
        <v>0</v>
      </c>
      <c r="FV45" s="450">
        <v>0</v>
      </c>
      <c r="FW45" s="450">
        <v>0</v>
      </c>
      <c r="FX45" s="450">
        <v>0</v>
      </c>
      <c r="FY45" s="450">
        <v>0</v>
      </c>
      <c r="FZ45" s="450">
        <v>0</v>
      </c>
      <c r="GA45" s="450">
        <v>0</v>
      </c>
      <c r="GB45" s="450">
        <v>0</v>
      </c>
      <c r="GC45" s="450">
        <v>0</v>
      </c>
      <c r="GD45" s="450">
        <v>0</v>
      </c>
      <c r="GE45" s="450">
        <v>0</v>
      </c>
      <c r="GF45" s="450">
        <v>0</v>
      </c>
      <c r="GG45" s="450">
        <v>0</v>
      </c>
      <c r="GH45" s="450">
        <v>0</v>
      </c>
      <c r="GI45" s="450">
        <v>0</v>
      </c>
      <c r="GJ45" s="450">
        <v>0</v>
      </c>
      <c r="GK45" s="450">
        <v>0</v>
      </c>
      <c r="GL45" s="450">
        <v>0</v>
      </c>
      <c r="GM45" s="450">
        <v>0</v>
      </c>
      <c r="GN45" s="450">
        <v>0</v>
      </c>
      <c r="GO45" s="450">
        <v>0</v>
      </c>
      <c r="GP45" s="450">
        <v>0</v>
      </c>
      <c r="GQ45" s="450">
        <v>0</v>
      </c>
      <c r="GR45" s="450">
        <v>0</v>
      </c>
      <c r="GS45" s="450">
        <v>0</v>
      </c>
      <c r="GT45" s="450">
        <v>0</v>
      </c>
      <c r="GU45" s="450">
        <v>0</v>
      </c>
      <c r="GV45" s="450">
        <v>0</v>
      </c>
      <c r="GW45" s="450">
        <v>220103</v>
      </c>
      <c r="GX45" s="450">
        <v>25731176</v>
      </c>
      <c r="GY45" s="450">
        <v>25731176</v>
      </c>
      <c r="GZ45" s="450">
        <v>0</v>
      </c>
      <c r="HA45" s="450" t="s">
        <v>888</v>
      </c>
      <c r="HB45" s="450" t="s">
        <v>888</v>
      </c>
      <c r="HC45" s="450">
        <v>0</v>
      </c>
      <c r="HD45" s="450">
        <v>0</v>
      </c>
      <c r="HE45" s="450">
        <v>0</v>
      </c>
      <c r="HF45" s="450">
        <v>0</v>
      </c>
      <c r="HG45" s="472">
        <v>0</v>
      </c>
    </row>
    <row r="46" spans="2:215" ht="12.75">
      <c r="B46" s="445" t="s">
        <v>721</v>
      </c>
      <c r="C46" s="446">
        <v>1887</v>
      </c>
      <c r="D46" s="447">
        <v>470471</v>
      </c>
      <c r="E46" s="447">
        <v>403664.118</v>
      </c>
      <c r="F46" s="447">
        <v>119241.30140130087</v>
      </c>
      <c r="G46" s="447">
        <v>66806.88200000001</v>
      </c>
      <c r="H46" s="448">
        <v>0.8791255961844198</v>
      </c>
      <c r="I46" s="449">
        <v>1655.4</v>
      </c>
      <c r="J46" s="449">
        <v>3.51</v>
      </c>
      <c r="K46" s="447">
        <v>522905.4194013009</v>
      </c>
      <c r="L46" s="447">
        <v>418324.3355210407</v>
      </c>
      <c r="M46" s="447">
        <v>237942.74903186056</v>
      </c>
      <c r="N46" s="447">
        <v>104581.08388026015</v>
      </c>
      <c r="O46" s="450">
        <v>2.2751987281399044</v>
      </c>
      <c r="P46" s="451">
        <v>0.019077901430842606</v>
      </c>
      <c r="Q46" s="452">
        <v>0.9809220985691574</v>
      </c>
      <c r="R46" s="447">
        <v>656267.0845529013</v>
      </c>
      <c r="S46" s="447">
        <v>443636.5491577613</v>
      </c>
      <c r="T46" s="447">
        <v>63025.904140366256</v>
      </c>
      <c r="U46" s="447">
        <v>271583.31971526676</v>
      </c>
      <c r="V46" s="447">
        <v>149628.8952780615</v>
      </c>
      <c r="W46" s="450">
        <v>1.8150459455746988</v>
      </c>
      <c r="X46" s="452">
        <v>31.86222596658192</v>
      </c>
      <c r="Y46" s="447">
        <v>63025.904140366256</v>
      </c>
      <c r="Z46" s="447">
        <v>63001.64011707853</v>
      </c>
      <c r="AA46" s="448">
        <v>1.000385133200384</v>
      </c>
      <c r="AB46" s="448">
        <v>0.07869634340222575</v>
      </c>
      <c r="AC46" s="449">
        <v>154</v>
      </c>
      <c r="AD46" s="449">
        <v>143</v>
      </c>
      <c r="AE46" s="447">
        <v>778245.7730133943</v>
      </c>
      <c r="AF46" s="447">
        <v>0</v>
      </c>
      <c r="AG46" s="451">
        <v>0</v>
      </c>
      <c r="AH46" s="450">
        <v>0.04339404675451896</v>
      </c>
      <c r="AI46" s="452">
        <v>0.036542557179927826</v>
      </c>
      <c r="AJ46" s="447">
        <v>778245.7730133943</v>
      </c>
      <c r="AK46" s="453">
        <v>1.3607</v>
      </c>
      <c r="AL46" s="447">
        <v>1058959.0233393256</v>
      </c>
      <c r="AM46" s="447">
        <v>2491160.794239928</v>
      </c>
      <c r="AN46" s="447">
        <v>2466572.544167451</v>
      </c>
      <c r="AO46" s="447">
        <v>3216065.964442412</v>
      </c>
      <c r="AP46" s="447">
        <v>3216065.964442412</v>
      </c>
      <c r="AQ46" s="447">
        <v>7548</v>
      </c>
      <c r="AR46" s="447">
        <v>3223613.964442412</v>
      </c>
      <c r="AS46" s="454">
        <v>1708.327485131114</v>
      </c>
      <c r="AT46" s="450">
        <v>1887</v>
      </c>
      <c r="AU46" s="450">
        <v>0</v>
      </c>
      <c r="AV46" s="450">
        <v>0</v>
      </c>
      <c r="AW46" s="450">
        <v>0</v>
      </c>
      <c r="AX46" s="450">
        <v>0</v>
      </c>
      <c r="AY46" s="450">
        <v>9</v>
      </c>
      <c r="AZ46" s="450">
        <v>0</v>
      </c>
      <c r="BA46" s="450">
        <v>6</v>
      </c>
      <c r="BB46" s="450">
        <v>0</v>
      </c>
      <c r="BC46" s="450">
        <v>0</v>
      </c>
      <c r="BD46" s="450">
        <v>9</v>
      </c>
      <c r="BE46" s="450">
        <v>959</v>
      </c>
      <c r="BF46" s="450">
        <v>892</v>
      </c>
      <c r="BG46" s="450">
        <v>12</v>
      </c>
      <c r="BH46" s="450">
        <v>0</v>
      </c>
      <c r="BI46" s="450">
        <v>0</v>
      </c>
      <c r="BJ46" s="452">
        <v>1.487534148597043</v>
      </c>
      <c r="BK46" s="452">
        <v>4.961630177818892</v>
      </c>
      <c r="BL46" s="452">
        <v>1.3153869873573851</v>
      </c>
      <c r="BM46" s="452">
        <v>7.292486380923013</v>
      </c>
      <c r="BN46" s="449">
        <v>36</v>
      </c>
      <c r="BO46" s="449">
        <v>1851</v>
      </c>
      <c r="BP46" s="447">
        <v>474840.2381761079</v>
      </c>
      <c r="BQ46" s="447">
        <v>2519700</v>
      </c>
      <c r="BR46" s="447">
        <v>2446137</v>
      </c>
      <c r="BS46" s="448">
        <v>0.07869634340222575</v>
      </c>
      <c r="BT46" s="449">
        <v>154</v>
      </c>
      <c r="BU46" s="449">
        <v>143</v>
      </c>
      <c r="BV46" s="447">
        <v>192502.0373608903</v>
      </c>
      <c r="BW46" s="448">
        <v>0.006758877343345224</v>
      </c>
      <c r="BX46" s="447">
        <v>1000.1729386181474</v>
      </c>
      <c r="BY46" s="447">
        <v>3188042.4484756165</v>
      </c>
      <c r="BZ46" s="455">
        <v>1.1933333333333331</v>
      </c>
      <c r="CA46" s="447">
        <v>3804397.3218475683</v>
      </c>
      <c r="CB46" s="447">
        <v>2861009.9078035913</v>
      </c>
      <c r="CC46" s="447">
        <v>2857508.2590501644</v>
      </c>
      <c r="CD46" s="447">
        <v>2809687.0314104813</v>
      </c>
      <c r="CE46" s="447">
        <v>2857508.2590501644</v>
      </c>
      <c r="CF46" s="454">
        <v>1514.3128028882695</v>
      </c>
      <c r="CG46" s="450">
        <v>1887</v>
      </c>
      <c r="CH46" s="450">
        <v>0</v>
      </c>
      <c r="CI46" s="450">
        <v>0</v>
      </c>
      <c r="CJ46" s="450">
        <v>0</v>
      </c>
      <c r="CK46" s="450">
        <v>0</v>
      </c>
      <c r="CL46" s="450">
        <v>9</v>
      </c>
      <c r="CM46" s="450">
        <v>0</v>
      </c>
      <c r="CN46" s="450">
        <v>6</v>
      </c>
      <c r="CO46" s="450">
        <v>0</v>
      </c>
      <c r="CP46" s="450">
        <v>0</v>
      </c>
      <c r="CQ46" s="450">
        <v>9</v>
      </c>
      <c r="CR46" s="450">
        <v>959</v>
      </c>
      <c r="CS46" s="450">
        <v>892</v>
      </c>
      <c r="CT46" s="450">
        <v>12</v>
      </c>
      <c r="CU46" s="450">
        <v>0</v>
      </c>
      <c r="CV46" s="450">
        <v>0</v>
      </c>
      <c r="CW46" s="447">
        <v>1757914.1445053585</v>
      </c>
      <c r="CX46" s="452">
        <v>1.1649479279270019</v>
      </c>
      <c r="CY46" s="452">
        <v>1.1933333333333331</v>
      </c>
      <c r="CZ46" s="447">
        <v>2047878.4401150856</v>
      </c>
      <c r="DA46" s="454">
        <v>1085.2561950795366</v>
      </c>
      <c r="DB46" s="449">
        <v>1887</v>
      </c>
      <c r="DC46" s="452">
        <v>0.9502384737678855</v>
      </c>
      <c r="DD46" s="454">
        <v>354.1</v>
      </c>
      <c r="DE46" s="447">
        <v>80279</v>
      </c>
      <c r="DF46" s="454">
        <v>67.10165425587368</v>
      </c>
      <c r="DG46" s="454">
        <v>69.98702538887625</v>
      </c>
      <c r="DH46" s="454">
        <v>71.52673994743151</v>
      </c>
      <c r="DI46" s="454">
        <v>73.10032822627498</v>
      </c>
      <c r="DJ46" s="454">
        <v>75.51263905774205</v>
      </c>
      <c r="DK46" s="454">
        <v>78.23109406382075</v>
      </c>
      <c r="DL46" s="454">
        <v>80.734489073863</v>
      </c>
      <c r="DM46" s="454">
        <v>84.04460312589138</v>
      </c>
      <c r="DN46" s="454">
        <v>87.7425656634306</v>
      </c>
      <c r="DO46" s="454">
        <v>92.56840677491927</v>
      </c>
      <c r="DP46" s="454">
        <v>91.735291113945</v>
      </c>
      <c r="DQ46" s="454">
        <v>96.41379096075619</v>
      </c>
      <c r="DR46" s="454">
        <v>102.2950322093623</v>
      </c>
      <c r="DS46" s="454">
        <v>51.92</v>
      </c>
      <c r="DT46" s="454">
        <v>54.90868999474314</v>
      </c>
      <c r="DU46" s="454">
        <v>58.003753069254984</v>
      </c>
      <c r="DV46" s="454">
        <v>61.8672221876906</v>
      </c>
      <c r="DW46" s="454">
        <v>66.11396388321506</v>
      </c>
      <c r="DX46" s="454">
        <v>70.31375711854211</v>
      </c>
      <c r="DY46" s="454">
        <v>75.36621755350014</v>
      </c>
      <c r="DZ46" s="454">
        <v>79.68902385225152</v>
      </c>
      <c r="EA46" s="454">
        <v>82.16799286542516</v>
      </c>
      <c r="EB46" s="454">
        <v>84.78574809064892</v>
      </c>
      <c r="EC46" s="454">
        <v>90.57061518676885</v>
      </c>
      <c r="ED46" s="454">
        <v>97.64532508721189</v>
      </c>
      <c r="EE46" s="454">
        <v>0</v>
      </c>
      <c r="EF46" s="454">
        <v>97.64532508721189</v>
      </c>
      <c r="EG46" s="454">
        <v>5077.5569045350185</v>
      </c>
      <c r="EH46" s="447">
        <v>9389722.881280428</v>
      </c>
      <c r="EI46" s="454">
        <v>61.29</v>
      </c>
      <c r="EJ46" s="454">
        <v>63.52721599474314</v>
      </c>
      <c r="EK46" s="454">
        <v>65.83320513325498</v>
      </c>
      <c r="EL46" s="454">
        <v>68.9440681720386</v>
      </c>
      <c r="EM46" s="454">
        <v>72.39820311731609</v>
      </c>
      <c r="EN46" s="454">
        <v>75.718202859869</v>
      </c>
      <c r="EO46" s="454">
        <v>79.86703996687717</v>
      </c>
      <c r="EP46" s="454">
        <v>83.86578705186541</v>
      </c>
      <c r="EQ46" s="454">
        <v>86.15123270345693</v>
      </c>
      <c r="ER46" s="454">
        <v>87.4473437605327</v>
      </c>
      <c r="ES46" s="454">
        <v>92.80848482600713</v>
      </c>
      <c r="ET46" s="454">
        <v>99.42610985263575</v>
      </c>
      <c r="EU46" s="447">
        <v>14093928</v>
      </c>
      <c r="EV46" s="447">
        <v>0</v>
      </c>
      <c r="EW46" s="447">
        <v>0</v>
      </c>
      <c r="EX46" s="447">
        <v>0</v>
      </c>
      <c r="EY46" s="447">
        <v>0</v>
      </c>
      <c r="EZ46" s="447">
        <v>0</v>
      </c>
      <c r="FA46" s="447">
        <v>0</v>
      </c>
      <c r="FB46" s="447">
        <v>0</v>
      </c>
      <c r="FC46" s="447">
        <v>0</v>
      </c>
      <c r="FD46" s="447">
        <v>14093928</v>
      </c>
      <c r="FE46" s="447">
        <v>47412.060190952565</v>
      </c>
      <c r="FF46" s="447">
        <v>0</v>
      </c>
      <c r="FG46" s="447">
        <v>0</v>
      </c>
      <c r="FH46" s="447">
        <v>925</v>
      </c>
      <c r="FI46" s="456">
        <v>0.0313</v>
      </c>
      <c r="FJ46" s="447">
        <v>28.9525</v>
      </c>
      <c r="FK46" s="471">
        <v>28.9525</v>
      </c>
      <c r="FL46" s="498">
        <v>0</v>
      </c>
      <c r="FM46" s="37">
        <v>0</v>
      </c>
      <c r="FN46" s="37">
        <v>0</v>
      </c>
      <c r="FO46" s="37">
        <v>0</v>
      </c>
      <c r="FP46" s="40">
        <v>82.58</v>
      </c>
      <c r="FQ46" s="446">
        <v>0</v>
      </c>
      <c r="FR46" s="450">
        <v>0</v>
      </c>
      <c r="FS46" s="450">
        <v>0</v>
      </c>
      <c r="FT46" s="450">
        <v>0</v>
      </c>
      <c r="FU46" s="450">
        <v>0</v>
      </c>
      <c r="FV46" s="450">
        <v>0</v>
      </c>
      <c r="FW46" s="450">
        <v>0</v>
      </c>
      <c r="FX46" s="450">
        <v>0</v>
      </c>
      <c r="FY46" s="450">
        <v>0</v>
      </c>
      <c r="FZ46" s="450">
        <v>0</v>
      </c>
      <c r="GA46" s="450">
        <v>0</v>
      </c>
      <c r="GB46" s="450">
        <v>0</v>
      </c>
      <c r="GC46" s="450">
        <v>0</v>
      </c>
      <c r="GD46" s="450">
        <v>0</v>
      </c>
      <c r="GE46" s="450">
        <v>0</v>
      </c>
      <c r="GF46" s="450">
        <v>0</v>
      </c>
      <c r="GG46" s="450">
        <v>0</v>
      </c>
      <c r="GH46" s="450">
        <v>0</v>
      </c>
      <c r="GI46" s="450">
        <v>0</v>
      </c>
      <c r="GJ46" s="450">
        <v>0</v>
      </c>
      <c r="GK46" s="450">
        <v>0</v>
      </c>
      <c r="GL46" s="450">
        <v>0</v>
      </c>
      <c r="GM46" s="450">
        <v>0</v>
      </c>
      <c r="GN46" s="450">
        <v>0</v>
      </c>
      <c r="GO46" s="450">
        <v>0</v>
      </c>
      <c r="GP46" s="450">
        <v>0</v>
      </c>
      <c r="GQ46" s="450">
        <v>0</v>
      </c>
      <c r="GR46" s="450">
        <v>0</v>
      </c>
      <c r="GS46" s="450">
        <v>0</v>
      </c>
      <c r="GT46" s="450">
        <v>0</v>
      </c>
      <c r="GU46" s="450">
        <v>0</v>
      </c>
      <c r="GV46" s="450">
        <v>0</v>
      </c>
      <c r="GW46" s="450">
        <v>0</v>
      </c>
      <c r="GX46" s="450">
        <v>11374475</v>
      </c>
      <c r="GY46" s="450">
        <v>11146985</v>
      </c>
      <c r="GZ46" s="450">
        <v>0</v>
      </c>
      <c r="HA46" s="450" t="s">
        <v>888</v>
      </c>
      <c r="HB46" s="450" t="s">
        <v>888</v>
      </c>
      <c r="HC46" s="450">
        <v>0</v>
      </c>
      <c r="HD46" s="450">
        <v>0</v>
      </c>
      <c r="HE46" s="450">
        <v>0</v>
      </c>
      <c r="HF46" s="450">
        <v>0</v>
      </c>
      <c r="HG46" s="472">
        <v>0</v>
      </c>
    </row>
    <row r="47" spans="2:215" ht="12.75">
      <c r="B47" s="445" t="s">
        <v>722</v>
      </c>
      <c r="C47" s="446">
        <v>7919</v>
      </c>
      <c r="D47" s="447">
        <v>1875927</v>
      </c>
      <c r="E47" s="447">
        <v>1609545.366</v>
      </c>
      <c r="F47" s="447">
        <v>253062.11208432328</v>
      </c>
      <c r="G47" s="447">
        <v>266381.634</v>
      </c>
      <c r="H47" s="448">
        <v>0.4679164035863114</v>
      </c>
      <c r="I47" s="449">
        <v>3133.69</v>
      </c>
      <c r="J47" s="449">
        <v>571.74</v>
      </c>
      <c r="K47" s="447">
        <v>1862607.4780843232</v>
      </c>
      <c r="L47" s="447">
        <v>1490085.9824674586</v>
      </c>
      <c r="M47" s="447">
        <v>470857.00949961407</v>
      </c>
      <c r="N47" s="447">
        <v>372521.4956168646</v>
      </c>
      <c r="O47" s="450">
        <v>1.2639727238287661</v>
      </c>
      <c r="P47" s="451">
        <v>0.7969440585932567</v>
      </c>
      <c r="Q47" s="452">
        <v>0.20305594140674327</v>
      </c>
      <c r="R47" s="447">
        <v>1960942.9919670727</v>
      </c>
      <c r="S47" s="447">
        <v>1325597.4625697413</v>
      </c>
      <c r="T47" s="447">
        <v>155174.00942809283</v>
      </c>
      <c r="U47" s="447">
        <v>337563.0016594308</v>
      </c>
      <c r="V47" s="447">
        <v>447095.0021684926</v>
      </c>
      <c r="W47" s="450">
        <v>0.7550140350981077</v>
      </c>
      <c r="X47" s="452">
        <v>13.253894675718373</v>
      </c>
      <c r="Y47" s="447">
        <v>155174.00942809283</v>
      </c>
      <c r="Z47" s="447">
        <v>188250.527228839</v>
      </c>
      <c r="AA47" s="448">
        <v>0.8242952182516968</v>
      </c>
      <c r="AB47" s="448">
        <v>0.06484404596539967</v>
      </c>
      <c r="AC47" s="449">
        <v>506</v>
      </c>
      <c r="AD47" s="449">
        <v>521</v>
      </c>
      <c r="AE47" s="447">
        <v>1818334.4736572648</v>
      </c>
      <c r="AF47" s="447">
        <v>0</v>
      </c>
      <c r="AG47" s="451">
        <v>0</v>
      </c>
      <c r="AH47" s="450">
        <v>0.07944746026757718</v>
      </c>
      <c r="AI47" s="452">
        <v>0.0669034942984581</v>
      </c>
      <c r="AJ47" s="447">
        <v>1818334.4736572648</v>
      </c>
      <c r="AK47" s="453">
        <v>1</v>
      </c>
      <c r="AL47" s="447">
        <v>1818334.4736572648</v>
      </c>
      <c r="AM47" s="447">
        <v>4277562.636281901</v>
      </c>
      <c r="AN47" s="447">
        <v>4235342.246476162</v>
      </c>
      <c r="AO47" s="447">
        <v>4113981.5439548027</v>
      </c>
      <c r="AP47" s="447">
        <v>4235342.246476162</v>
      </c>
      <c r="AQ47" s="447">
        <v>31676</v>
      </c>
      <c r="AR47" s="447">
        <v>4267018.246476162</v>
      </c>
      <c r="AS47" s="454">
        <v>538.8329645758507</v>
      </c>
      <c r="AT47" s="450">
        <v>7919</v>
      </c>
      <c r="AU47" s="450">
        <v>430</v>
      </c>
      <c r="AV47" s="450">
        <v>251</v>
      </c>
      <c r="AW47" s="450">
        <v>1151</v>
      </c>
      <c r="AX47" s="450">
        <v>10</v>
      </c>
      <c r="AY47" s="450">
        <v>1068</v>
      </c>
      <c r="AZ47" s="450">
        <v>110</v>
      </c>
      <c r="BA47" s="450">
        <v>246</v>
      </c>
      <c r="BB47" s="450">
        <v>614</v>
      </c>
      <c r="BC47" s="450">
        <v>523</v>
      </c>
      <c r="BD47" s="450">
        <v>1390</v>
      </c>
      <c r="BE47" s="450">
        <v>1608</v>
      </c>
      <c r="BF47" s="450">
        <v>0</v>
      </c>
      <c r="BG47" s="450">
        <v>482</v>
      </c>
      <c r="BH47" s="450">
        <v>30</v>
      </c>
      <c r="BI47" s="450">
        <v>6</v>
      </c>
      <c r="BJ47" s="452">
        <v>1.5604009536011163</v>
      </c>
      <c r="BK47" s="452">
        <v>12.878108868922908</v>
      </c>
      <c r="BL47" s="452">
        <v>7.856020908006528</v>
      </c>
      <c r="BM47" s="452">
        <v>10.044175921832759</v>
      </c>
      <c r="BN47" s="449">
        <v>6311</v>
      </c>
      <c r="BO47" s="449">
        <v>1608</v>
      </c>
      <c r="BP47" s="447">
        <v>2468716.5902961404</v>
      </c>
      <c r="BQ47" s="447">
        <v>8712099</v>
      </c>
      <c r="BR47" s="447">
        <v>10914362</v>
      </c>
      <c r="BS47" s="448">
        <v>0.06484404596539967</v>
      </c>
      <c r="BT47" s="449">
        <v>506</v>
      </c>
      <c r="BU47" s="449">
        <v>521</v>
      </c>
      <c r="BV47" s="447">
        <v>707731.3912110114</v>
      </c>
      <c r="BW47" s="448">
        <v>0.001438223265340832</v>
      </c>
      <c r="BX47" s="447">
        <v>2318.2111432263864</v>
      </c>
      <c r="BY47" s="447">
        <v>11890865.192650378</v>
      </c>
      <c r="BZ47" s="455">
        <v>0.97</v>
      </c>
      <c r="CA47" s="447">
        <v>11534139.236870868</v>
      </c>
      <c r="CB47" s="447">
        <v>8673985.349839307</v>
      </c>
      <c r="CC47" s="447">
        <v>8663369.081120815</v>
      </c>
      <c r="CD47" s="447">
        <v>8546333.89609107</v>
      </c>
      <c r="CE47" s="447">
        <v>8663369.081120815</v>
      </c>
      <c r="CF47" s="454">
        <v>1093.9978635081216</v>
      </c>
      <c r="CG47" s="450">
        <v>7919</v>
      </c>
      <c r="CH47" s="450">
        <v>430</v>
      </c>
      <c r="CI47" s="450">
        <v>251</v>
      </c>
      <c r="CJ47" s="450">
        <v>1151</v>
      </c>
      <c r="CK47" s="450">
        <v>10</v>
      </c>
      <c r="CL47" s="450">
        <v>1068</v>
      </c>
      <c r="CM47" s="450">
        <v>110</v>
      </c>
      <c r="CN47" s="450">
        <v>246</v>
      </c>
      <c r="CO47" s="450">
        <v>614</v>
      </c>
      <c r="CP47" s="450">
        <v>523</v>
      </c>
      <c r="CQ47" s="450">
        <v>1390</v>
      </c>
      <c r="CR47" s="450">
        <v>1608</v>
      </c>
      <c r="CS47" s="450">
        <v>0</v>
      </c>
      <c r="CT47" s="450">
        <v>482</v>
      </c>
      <c r="CU47" s="450">
        <v>30</v>
      </c>
      <c r="CV47" s="450">
        <v>6</v>
      </c>
      <c r="CW47" s="447">
        <v>5561658.913674789</v>
      </c>
      <c r="CX47" s="452">
        <v>0.9469269470021162</v>
      </c>
      <c r="CY47" s="452">
        <v>0.97</v>
      </c>
      <c r="CZ47" s="447">
        <v>5266484.695393174</v>
      </c>
      <c r="DA47" s="454">
        <v>665.0441590343697</v>
      </c>
      <c r="DB47" s="449">
        <v>7919</v>
      </c>
      <c r="DC47" s="452">
        <v>0.9967167571663088</v>
      </c>
      <c r="DD47" s="454">
        <v>299.6</v>
      </c>
      <c r="DE47" s="447">
        <v>39168</v>
      </c>
      <c r="DF47" s="454">
        <v>48.9856501502212</v>
      </c>
      <c r="DG47" s="454">
        <v>51.0920331066807</v>
      </c>
      <c r="DH47" s="454">
        <v>52.21605783502767</v>
      </c>
      <c r="DI47" s="454">
        <v>53.36481110739827</v>
      </c>
      <c r="DJ47" s="454">
        <v>55.12584987394241</v>
      </c>
      <c r="DK47" s="454">
        <v>57.110380469404326</v>
      </c>
      <c r="DL47" s="454">
        <v>58.93791264442525</v>
      </c>
      <c r="DM47" s="454">
        <v>61.354367062846684</v>
      </c>
      <c r="DN47" s="454">
        <v>64.05395921361193</v>
      </c>
      <c r="DO47" s="454">
        <v>67.57692697036059</v>
      </c>
      <c r="DP47" s="454">
        <v>66.96873462762734</v>
      </c>
      <c r="DQ47" s="454">
        <v>70.38414009363633</v>
      </c>
      <c r="DR47" s="454">
        <v>74.67757263934814</v>
      </c>
      <c r="DS47" s="454">
        <v>40.15</v>
      </c>
      <c r="DT47" s="454">
        <v>42.15157578350276</v>
      </c>
      <c r="DU47" s="454">
        <v>44.22178830147964</v>
      </c>
      <c r="DV47" s="454">
        <v>46.86170013524271</v>
      </c>
      <c r="DW47" s="454">
        <v>49.771815501438994</v>
      </c>
      <c r="DX47" s="454">
        <v>52.626746771975064</v>
      </c>
      <c r="DY47" s="454">
        <v>56.09842812427017</v>
      </c>
      <c r="DZ47" s="454">
        <v>59.17644787861292</v>
      </c>
      <c r="EA47" s="454">
        <v>60.939734258261225</v>
      </c>
      <c r="EB47" s="454">
        <v>62.53377110521065</v>
      </c>
      <c r="EC47" s="454">
        <v>66.65522276398838</v>
      </c>
      <c r="ED47" s="454">
        <v>71.71028667428078</v>
      </c>
      <c r="EE47" s="454">
        <v>-0.15</v>
      </c>
      <c r="EF47" s="454">
        <v>71.56028667428077</v>
      </c>
      <c r="EG47" s="454">
        <v>3721.1349070626</v>
      </c>
      <c r="EH47" s="447">
        <v>28878313.982448153</v>
      </c>
      <c r="EI47" s="454">
        <v>45.14</v>
      </c>
      <c r="EJ47" s="454">
        <v>46.74137778350276</v>
      </c>
      <c r="EK47" s="454">
        <v>48.39136842947964</v>
      </c>
      <c r="EL47" s="454">
        <v>50.63047937343871</v>
      </c>
      <c r="EM47" s="454">
        <v>53.118491464957046</v>
      </c>
      <c r="EN47" s="454">
        <v>55.504888100600596</v>
      </c>
      <c r="EO47" s="454">
        <v>58.49534422274951</v>
      </c>
      <c r="EP47" s="454">
        <v>61.400786018001746</v>
      </c>
      <c r="EQ47" s="454">
        <v>63.061011397191706</v>
      </c>
      <c r="ER47" s="454">
        <v>63.95120572556498</v>
      </c>
      <c r="ES47" s="454">
        <v>67.84700179278231</v>
      </c>
      <c r="ET47" s="454">
        <v>72.65864483644356</v>
      </c>
      <c r="EU47" s="447">
        <v>23811616</v>
      </c>
      <c r="EV47" s="447">
        <v>0</v>
      </c>
      <c r="EW47" s="447">
        <v>0</v>
      </c>
      <c r="EX47" s="447">
        <v>0</v>
      </c>
      <c r="EY47" s="447">
        <v>0</v>
      </c>
      <c r="EZ47" s="447">
        <v>0</v>
      </c>
      <c r="FA47" s="447">
        <v>792836</v>
      </c>
      <c r="FB47" s="447">
        <v>75000</v>
      </c>
      <c r="FC47" s="447">
        <v>0</v>
      </c>
      <c r="FD47" s="447">
        <v>22943780</v>
      </c>
      <c r="FE47" s="447">
        <v>51738.17193791059</v>
      </c>
      <c r="FF47" s="447">
        <v>0</v>
      </c>
      <c r="FG47" s="447">
        <v>0</v>
      </c>
      <c r="FH47" s="447">
        <v>17051</v>
      </c>
      <c r="FI47" s="456">
        <v>0.0461</v>
      </c>
      <c r="FJ47" s="447">
        <v>786.0511</v>
      </c>
      <c r="FK47" s="471">
        <v>786.0511</v>
      </c>
      <c r="FL47" s="498">
        <v>70.37</v>
      </c>
      <c r="FM47" s="37">
        <v>67.39</v>
      </c>
      <c r="FN47" s="37">
        <v>67.24</v>
      </c>
      <c r="FO47" s="37">
        <v>-0.15</v>
      </c>
      <c r="FP47" s="40">
        <v>67.05</v>
      </c>
      <c r="FQ47" s="446">
        <v>9878</v>
      </c>
      <c r="FR47" s="450">
        <v>8466</v>
      </c>
      <c r="FS47" s="450">
        <v>0</v>
      </c>
      <c r="FT47" s="450">
        <v>0</v>
      </c>
      <c r="FU47" s="450">
        <v>0</v>
      </c>
      <c r="FV47" s="450">
        <v>0</v>
      </c>
      <c r="FW47" s="450">
        <v>0</v>
      </c>
      <c r="FX47" s="450">
        <v>0</v>
      </c>
      <c r="FY47" s="450">
        <v>0</v>
      </c>
      <c r="FZ47" s="450">
        <v>0</v>
      </c>
      <c r="GA47" s="450">
        <v>0</v>
      </c>
      <c r="GB47" s="450">
        <v>0</v>
      </c>
      <c r="GC47" s="450">
        <v>0</v>
      </c>
      <c r="GD47" s="450">
        <v>0</v>
      </c>
      <c r="GE47" s="450">
        <v>0</v>
      </c>
      <c r="GF47" s="450">
        <v>0</v>
      </c>
      <c r="GG47" s="450">
        <v>0</v>
      </c>
      <c r="GH47" s="450">
        <v>0</v>
      </c>
      <c r="GI47" s="450">
        <v>0</v>
      </c>
      <c r="GJ47" s="450">
        <v>0</v>
      </c>
      <c r="GK47" s="450">
        <v>0</v>
      </c>
      <c r="GL47" s="450">
        <v>0</v>
      </c>
      <c r="GM47" s="450">
        <v>0</v>
      </c>
      <c r="GN47" s="450">
        <v>0</v>
      </c>
      <c r="GO47" s="450">
        <v>0</v>
      </c>
      <c r="GP47" s="450">
        <v>0</v>
      </c>
      <c r="GQ47" s="450">
        <v>0</v>
      </c>
      <c r="GR47" s="450">
        <v>0</v>
      </c>
      <c r="GS47" s="450">
        <v>0</v>
      </c>
      <c r="GT47" s="450">
        <v>0</v>
      </c>
      <c r="GU47" s="450">
        <v>0</v>
      </c>
      <c r="GV47" s="450">
        <v>0</v>
      </c>
      <c r="GW47" s="450">
        <v>1475609</v>
      </c>
      <c r="GX47" s="450">
        <v>18793846</v>
      </c>
      <c r="GY47" s="450">
        <v>18793846</v>
      </c>
      <c r="GZ47" s="450">
        <v>0</v>
      </c>
      <c r="HA47" s="450" t="s">
        <v>889</v>
      </c>
      <c r="HB47" s="450" t="s">
        <v>888</v>
      </c>
      <c r="HC47" s="450">
        <v>0</v>
      </c>
      <c r="HD47" s="450">
        <v>0</v>
      </c>
      <c r="HE47" s="450">
        <v>0</v>
      </c>
      <c r="HF47" s="450">
        <v>0</v>
      </c>
      <c r="HG47" s="472">
        <v>0</v>
      </c>
    </row>
    <row r="48" spans="2:215" ht="12.75">
      <c r="B48" s="445" t="s">
        <v>723</v>
      </c>
      <c r="C48" s="446">
        <v>6280.25</v>
      </c>
      <c r="D48" s="447">
        <v>1494098.25</v>
      </c>
      <c r="E48" s="447">
        <v>1281936.2985</v>
      </c>
      <c r="F48" s="447">
        <v>221913.5741764218</v>
      </c>
      <c r="G48" s="447">
        <v>212161.95150000002</v>
      </c>
      <c r="H48" s="448">
        <v>0.5151833127662115</v>
      </c>
      <c r="I48" s="449">
        <v>2832.87</v>
      </c>
      <c r="J48" s="449">
        <v>402.61</v>
      </c>
      <c r="K48" s="447">
        <v>1503849.872676422</v>
      </c>
      <c r="L48" s="447">
        <v>1203079.8981411376</v>
      </c>
      <c r="M48" s="447">
        <v>340665.9065899985</v>
      </c>
      <c r="N48" s="447">
        <v>300769.97453528433</v>
      </c>
      <c r="O48" s="450">
        <v>1.1326459933919828</v>
      </c>
      <c r="P48" s="451">
        <v>0.8978941921101867</v>
      </c>
      <c r="Q48" s="452">
        <v>0.10206600055730265</v>
      </c>
      <c r="R48" s="447">
        <v>1543745.8047311362</v>
      </c>
      <c r="S48" s="447">
        <v>1043572.1639982482</v>
      </c>
      <c r="T48" s="447">
        <v>197982.45366021417</v>
      </c>
      <c r="U48" s="447">
        <v>277556.5381346221</v>
      </c>
      <c r="V48" s="447">
        <v>351974.04347869905</v>
      </c>
      <c r="W48" s="450">
        <v>0.788571041749047</v>
      </c>
      <c r="X48" s="452">
        <v>13.8429711843771</v>
      </c>
      <c r="Y48" s="447">
        <v>197982.45366021417</v>
      </c>
      <c r="Z48" s="447">
        <v>148199.59725418908</v>
      </c>
      <c r="AA48" s="448">
        <v>1.3359176227762515</v>
      </c>
      <c r="AB48" s="448">
        <v>0.10509135782811194</v>
      </c>
      <c r="AC48" s="449">
        <v>653</v>
      </c>
      <c r="AD48" s="449">
        <v>667</v>
      </c>
      <c r="AE48" s="447">
        <v>1519111.1557930843</v>
      </c>
      <c r="AF48" s="447">
        <v>0</v>
      </c>
      <c r="AG48" s="451">
        <v>0</v>
      </c>
      <c r="AH48" s="450">
        <v>0.054501571672661744</v>
      </c>
      <c r="AI48" s="452">
        <v>0.04589631408452988</v>
      </c>
      <c r="AJ48" s="447">
        <v>1519111.1557930843</v>
      </c>
      <c r="AK48" s="453">
        <v>1.0076</v>
      </c>
      <c r="AL48" s="447">
        <v>1530656.4005771119</v>
      </c>
      <c r="AM48" s="447">
        <v>3600810.9195253155</v>
      </c>
      <c r="AN48" s="447">
        <v>3565270.203101987</v>
      </c>
      <c r="AO48" s="447">
        <v>3535970.5071045086</v>
      </c>
      <c r="AP48" s="447">
        <v>3565270.203101987</v>
      </c>
      <c r="AQ48" s="447">
        <v>25121</v>
      </c>
      <c r="AR48" s="447">
        <v>3590391.203101987</v>
      </c>
      <c r="AS48" s="454">
        <v>571.6955858607519</v>
      </c>
      <c r="AT48" s="450">
        <v>6273</v>
      </c>
      <c r="AU48" s="450">
        <v>480</v>
      </c>
      <c r="AV48" s="450">
        <v>248</v>
      </c>
      <c r="AW48" s="450">
        <v>42</v>
      </c>
      <c r="AX48" s="450">
        <v>93</v>
      </c>
      <c r="AY48" s="450">
        <v>678</v>
      </c>
      <c r="AZ48" s="450">
        <v>214</v>
      </c>
      <c r="BA48" s="450">
        <v>419</v>
      </c>
      <c r="BB48" s="450">
        <v>89</v>
      </c>
      <c r="BC48" s="450">
        <v>52</v>
      </c>
      <c r="BD48" s="450">
        <v>2490</v>
      </c>
      <c r="BE48" s="450">
        <v>641</v>
      </c>
      <c r="BF48" s="450">
        <v>0</v>
      </c>
      <c r="BG48" s="450">
        <v>827</v>
      </c>
      <c r="BH48" s="450">
        <v>0</v>
      </c>
      <c r="BI48" s="450">
        <v>0</v>
      </c>
      <c r="BJ48" s="452">
        <v>1.4111758308631284</v>
      </c>
      <c r="BK48" s="452">
        <v>11.290903964655273</v>
      </c>
      <c r="BL48" s="452">
        <v>7.872169515172654</v>
      </c>
      <c r="BM48" s="452">
        <v>6.837468898965237</v>
      </c>
      <c r="BN48" s="449">
        <v>5632</v>
      </c>
      <c r="BO48" s="449">
        <v>641</v>
      </c>
      <c r="BP48" s="447">
        <v>1636625.2816018218</v>
      </c>
      <c r="BQ48" s="447">
        <v>6432790</v>
      </c>
      <c r="BR48" s="447">
        <v>8140192</v>
      </c>
      <c r="BS48" s="448">
        <v>0.10521281683405069</v>
      </c>
      <c r="BT48" s="449">
        <v>653</v>
      </c>
      <c r="BU48" s="449">
        <v>667</v>
      </c>
      <c r="BV48" s="447">
        <v>856452.5298900048</v>
      </c>
      <c r="BW48" s="448">
        <v>0.0067458437860534225</v>
      </c>
      <c r="BX48" s="447">
        <v>7551.69645846878</v>
      </c>
      <c r="BY48" s="447">
        <v>8933419.507950295</v>
      </c>
      <c r="BZ48" s="455">
        <v>1.04</v>
      </c>
      <c r="CA48" s="447">
        <v>9290756.288268307</v>
      </c>
      <c r="CB48" s="447">
        <v>6986900.563481463</v>
      </c>
      <c r="CC48" s="447">
        <v>6978349.152463381</v>
      </c>
      <c r="CD48" s="447">
        <v>6943472.342938328</v>
      </c>
      <c r="CE48" s="447">
        <v>6978349.152463381</v>
      </c>
      <c r="CF48" s="454">
        <v>1112.4420775487615</v>
      </c>
      <c r="CG48" s="450">
        <v>6273</v>
      </c>
      <c r="CH48" s="450">
        <v>480</v>
      </c>
      <c r="CI48" s="450">
        <v>248</v>
      </c>
      <c r="CJ48" s="450">
        <v>42</v>
      </c>
      <c r="CK48" s="450">
        <v>93</v>
      </c>
      <c r="CL48" s="450">
        <v>678</v>
      </c>
      <c r="CM48" s="450">
        <v>214</v>
      </c>
      <c r="CN48" s="450">
        <v>419</v>
      </c>
      <c r="CO48" s="450">
        <v>89</v>
      </c>
      <c r="CP48" s="450">
        <v>52</v>
      </c>
      <c r="CQ48" s="450">
        <v>2490</v>
      </c>
      <c r="CR48" s="450">
        <v>641</v>
      </c>
      <c r="CS48" s="450">
        <v>0</v>
      </c>
      <c r="CT48" s="450">
        <v>827</v>
      </c>
      <c r="CU48" s="450">
        <v>0</v>
      </c>
      <c r="CV48" s="450">
        <v>0</v>
      </c>
      <c r="CW48" s="447">
        <v>4642141.595130622</v>
      </c>
      <c r="CX48" s="452">
        <v>1.0152618813218566</v>
      </c>
      <c r="CY48" s="452">
        <v>1.04</v>
      </c>
      <c r="CZ48" s="447">
        <v>4712989.40923476</v>
      </c>
      <c r="DA48" s="454">
        <v>751.3134719009661</v>
      </c>
      <c r="DB48" s="449">
        <v>6280.25</v>
      </c>
      <c r="DC48" s="452">
        <v>0.9907288722582701</v>
      </c>
      <c r="DD48" s="454">
        <v>325.9</v>
      </c>
      <c r="DE48" s="447">
        <v>45867</v>
      </c>
      <c r="DF48" s="454">
        <v>54.12393987892155</v>
      </c>
      <c r="DG48" s="454">
        <v>56.45126929371517</v>
      </c>
      <c r="DH48" s="454">
        <v>57.69319721817689</v>
      </c>
      <c r="DI48" s="454">
        <v>58.96244755697677</v>
      </c>
      <c r="DJ48" s="454">
        <v>60.908208326357</v>
      </c>
      <c r="DK48" s="454">
        <v>63.10090382610584</v>
      </c>
      <c r="DL48" s="454">
        <v>65.12013274854122</v>
      </c>
      <c r="DM48" s="454">
        <v>67.79005819123141</v>
      </c>
      <c r="DN48" s="454">
        <v>70.77282075164558</v>
      </c>
      <c r="DO48" s="454">
        <v>74.66532589298609</v>
      </c>
      <c r="DP48" s="454">
        <v>73.99333795994922</v>
      </c>
      <c r="DQ48" s="454">
        <v>77.76699819590662</v>
      </c>
      <c r="DR48" s="454">
        <v>82.51078508585692</v>
      </c>
      <c r="DS48" s="454">
        <v>43.36</v>
      </c>
      <c r="DT48" s="454">
        <v>45.65184772181768</v>
      </c>
      <c r="DU48" s="454">
        <v>48.02355050339534</v>
      </c>
      <c r="DV48" s="454">
        <v>51.020812752051086</v>
      </c>
      <c r="DW48" s="454">
        <v>54.320896556122186</v>
      </c>
      <c r="DX48" s="454">
        <v>57.56932649635527</v>
      </c>
      <c r="DY48" s="454">
        <v>61.50174674441095</v>
      </c>
      <c r="DZ48" s="454">
        <v>64.93726772899619</v>
      </c>
      <c r="EA48" s="454">
        <v>66.90619605041844</v>
      </c>
      <c r="EB48" s="454">
        <v>68.80869750876094</v>
      </c>
      <c r="EC48" s="454">
        <v>73.40775250454752</v>
      </c>
      <c r="ED48" s="454">
        <v>79.0419153269579</v>
      </c>
      <c r="EE48" s="454">
        <v>-0.6</v>
      </c>
      <c r="EF48" s="454">
        <v>78.44191532695791</v>
      </c>
      <c r="EG48" s="454">
        <v>4078.9795970018113</v>
      </c>
      <c r="EH48" s="447">
        <v>25104671.38178921</v>
      </c>
      <c r="EI48" s="454">
        <v>48.09</v>
      </c>
      <c r="EJ48" s="454">
        <v>50.00250172181769</v>
      </c>
      <c r="EK48" s="454">
        <v>51.97587795939534</v>
      </c>
      <c r="EL48" s="454">
        <v>54.59322273134308</v>
      </c>
      <c r="EM48" s="454">
        <v>57.49319661773349</v>
      </c>
      <c r="EN48" s="454">
        <v>60.297504549341</v>
      </c>
      <c r="EO48" s="454">
        <v>63.77377342693746</v>
      </c>
      <c r="EP48" s="454">
        <v>67.04570849038079</v>
      </c>
      <c r="EQ48" s="454">
        <v>68.91694572319221</v>
      </c>
      <c r="ER48" s="454">
        <v>70.1522778202391</v>
      </c>
      <c r="ES48" s="454">
        <v>74.53743483043836</v>
      </c>
      <c r="ET48" s="454">
        <v>79.94086003778554</v>
      </c>
      <c r="EU48" s="447">
        <v>66580666</v>
      </c>
      <c r="EV48" s="447">
        <v>0</v>
      </c>
      <c r="EW48" s="447">
        <v>0</v>
      </c>
      <c r="EX48" s="447">
        <v>0</v>
      </c>
      <c r="EY48" s="447">
        <v>0</v>
      </c>
      <c r="EZ48" s="447">
        <v>0</v>
      </c>
      <c r="FA48" s="447">
        <v>0</v>
      </c>
      <c r="FB48" s="447">
        <v>0</v>
      </c>
      <c r="FC48" s="447">
        <v>0</v>
      </c>
      <c r="FD48" s="447">
        <v>66580666</v>
      </c>
      <c r="FE48" s="447">
        <v>73069.38121974586</v>
      </c>
      <c r="FF48" s="447">
        <v>0</v>
      </c>
      <c r="FG48" s="447">
        <v>0</v>
      </c>
      <c r="FH48" s="447">
        <v>57134</v>
      </c>
      <c r="FI48" s="456">
        <v>0.0602</v>
      </c>
      <c r="FJ48" s="447">
        <v>3439.4667999999997</v>
      </c>
      <c r="FK48" s="471">
        <v>3439.4667999999997</v>
      </c>
      <c r="FL48" s="498">
        <v>77.73</v>
      </c>
      <c r="FM48" s="37">
        <v>74.45</v>
      </c>
      <c r="FN48" s="37">
        <v>73.85</v>
      </c>
      <c r="FO48" s="37">
        <v>-0.6</v>
      </c>
      <c r="FP48" s="40">
        <v>71.91</v>
      </c>
      <c r="FQ48" s="446">
        <v>252724</v>
      </c>
      <c r="FR48" s="450">
        <v>2522</v>
      </c>
      <c r="FS48" s="450">
        <v>0</v>
      </c>
      <c r="FT48" s="450">
        <v>0</v>
      </c>
      <c r="FU48" s="450">
        <v>0</v>
      </c>
      <c r="FV48" s="450">
        <v>0</v>
      </c>
      <c r="FW48" s="450">
        <v>0</v>
      </c>
      <c r="FX48" s="450">
        <v>0</v>
      </c>
      <c r="FY48" s="450">
        <v>0</v>
      </c>
      <c r="FZ48" s="450">
        <v>0</v>
      </c>
      <c r="GA48" s="450">
        <v>0</v>
      </c>
      <c r="GB48" s="450">
        <v>0</v>
      </c>
      <c r="GC48" s="450">
        <v>0</v>
      </c>
      <c r="GD48" s="450">
        <v>0</v>
      </c>
      <c r="GE48" s="450">
        <v>0</v>
      </c>
      <c r="GF48" s="450">
        <v>0</v>
      </c>
      <c r="GG48" s="450">
        <v>0</v>
      </c>
      <c r="GH48" s="450">
        <v>0</v>
      </c>
      <c r="GI48" s="450">
        <v>0</v>
      </c>
      <c r="GJ48" s="450">
        <v>0</v>
      </c>
      <c r="GK48" s="450">
        <v>0</v>
      </c>
      <c r="GL48" s="450">
        <v>0</v>
      </c>
      <c r="GM48" s="450">
        <v>0</v>
      </c>
      <c r="GN48" s="450">
        <v>0</v>
      </c>
      <c r="GO48" s="450">
        <v>0</v>
      </c>
      <c r="GP48" s="450">
        <v>0</v>
      </c>
      <c r="GQ48" s="450">
        <v>0</v>
      </c>
      <c r="GR48" s="450">
        <v>0</v>
      </c>
      <c r="GS48" s="450">
        <v>0</v>
      </c>
      <c r="GT48" s="450">
        <v>0</v>
      </c>
      <c r="GU48" s="450">
        <v>0</v>
      </c>
      <c r="GV48" s="450">
        <v>0</v>
      </c>
      <c r="GW48" s="450">
        <v>0</v>
      </c>
      <c r="GX48" s="450">
        <v>50882838</v>
      </c>
      <c r="GY48" s="450">
        <v>50882838</v>
      </c>
      <c r="GZ48" s="450">
        <v>0</v>
      </c>
      <c r="HA48" s="450" t="s">
        <v>888</v>
      </c>
      <c r="HB48" s="450" t="s">
        <v>888</v>
      </c>
      <c r="HC48" s="450">
        <v>0</v>
      </c>
      <c r="HD48" s="450">
        <v>0</v>
      </c>
      <c r="HE48" s="450">
        <v>0</v>
      </c>
      <c r="HF48" s="450">
        <v>0</v>
      </c>
      <c r="HG48" s="472">
        <v>0</v>
      </c>
    </row>
    <row r="49" spans="2:215" ht="12.75">
      <c r="B49" s="445" t="s">
        <v>724</v>
      </c>
      <c r="C49" s="446">
        <v>4761</v>
      </c>
      <c r="D49" s="447">
        <v>1140113</v>
      </c>
      <c r="E49" s="447">
        <v>978216.954</v>
      </c>
      <c r="F49" s="447">
        <v>122326.23046055173</v>
      </c>
      <c r="G49" s="447">
        <v>161896.04600000003</v>
      </c>
      <c r="H49" s="448">
        <v>0.3721592102499475</v>
      </c>
      <c r="I49" s="449">
        <v>1350.13</v>
      </c>
      <c r="J49" s="449">
        <v>421.72</v>
      </c>
      <c r="K49" s="447">
        <v>1100543.1844605517</v>
      </c>
      <c r="L49" s="447">
        <v>880434.5475684414</v>
      </c>
      <c r="M49" s="447">
        <v>248175.83988669125</v>
      </c>
      <c r="N49" s="447">
        <v>220108.63689211028</v>
      </c>
      <c r="O49" s="450">
        <v>1.1275152278932996</v>
      </c>
      <c r="P49" s="451">
        <v>0.9019113631590002</v>
      </c>
      <c r="Q49" s="452">
        <v>0.09808863684099979</v>
      </c>
      <c r="R49" s="447">
        <v>1128610.3874551326</v>
      </c>
      <c r="S49" s="447">
        <v>762940.6219196697</v>
      </c>
      <c r="T49" s="447">
        <v>122368.64119333903</v>
      </c>
      <c r="U49" s="447">
        <v>333051.38863848563</v>
      </c>
      <c r="V49" s="447">
        <v>257323.16833977023</v>
      </c>
      <c r="W49" s="450">
        <v>1.2942922737478642</v>
      </c>
      <c r="X49" s="452">
        <v>22.720655085068945</v>
      </c>
      <c r="Y49" s="447">
        <v>122368.64119333903</v>
      </c>
      <c r="Z49" s="447">
        <v>108346.59719569272</v>
      </c>
      <c r="AA49" s="448">
        <v>1.1294184068588704</v>
      </c>
      <c r="AB49" s="448">
        <v>0.0888468809073724</v>
      </c>
      <c r="AC49" s="449">
        <v>426</v>
      </c>
      <c r="AD49" s="449">
        <v>420</v>
      </c>
      <c r="AE49" s="447">
        <v>1218360.6517514945</v>
      </c>
      <c r="AF49" s="447">
        <v>73331.7068936435</v>
      </c>
      <c r="AG49" s="451">
        <v>0.5</v>
      </c>
      <c r="AH49" s="450">
        <v>0.29157084807329425</v>
      </c>
      <c r="AI49" s="452">
        <v>0.24553470313549042</v>
      </c>
      <c r="AJ49" s="447">
        <v>1291692.358645138</v>
      </c>
      <c r="AK49" s="453">
        <v>1.0093</v>
      </c>
      <c r="AL49" s="447">
        <v>1303705.097580538</v>
      </c>
      <c r="AM49" s="447">
        <v>3066916.617889465</v>
      </c>
      <c r="AN49" s="447">
        <v>3036645.543887953</v>
      </c>
      <c r="AO49" s="447">
        <v>2903387.9092131886</v>
      </c>
      <c r="AP49" s="447">
        <v>3036645.543887953</v>
      </c>
      <c r="AQ49" s="447">
        <v>19044</v>
      </c>
      <c r="AR49" s="447">
        <v>3055689.543887953</v>
      </c>
      <c r="AS49" s="454">
        <v>641.8167493988559</v>
      </c>
      <c r="AT49" s="450">
        <v>4761</v>
      </c>
      <c r="AU49" s="450">
        <v>99</v>
      </c>
      <c r="AV49" s="450">
        <v>145</v>
      </c>
      <c r="AW49" s="450">
        <v>297</v>
      </c>
      <c r="AX49" s="450">
        <v>0</v>
      </c>
      <c r="AY49" s="450">
        <v>566</v>
      </c>
      <c r="AZ49" s="450">
        <v>544</v>
      </c>
      <c r="BA49" s="450">
        <v>175</v>
      </c>
      <c r="BB49" s="450">
        <v>921</v>
      </c>
      <c r="BC49" s="450">
        <v>13</v>
      </c>
      <c r="BD49" s="450">
        <v>1037</v>
      </c>
      <c r="BE49" s="450">
        <v>467</v>
      </c>
      <c r="BF49" s="450">
        <v>0</v>
      </c>
      <c r="BG49" s="450">
        <v>487</v>
      </c>
      <c r="BH49" s="450">
        <v>0</v>
      </c>
      <c r="BI49" s="450">
        <v>10</v>
      </c>
      <c r="BJ49" s="452">
        <v>1.8956438143214356</v>
      </c>
      <c r="BK49" s="452">
        <v>24.79062155165096</v>
      </c>
      <c r="BL49" s="452">
        <v>19.7052457346575</v>
      </c>
      <c r="BM49" s="452">
        <v>10.170751633986926</v>
      </c>
      <c r="BN49" s="449">
        <v>4294</v>
      </c>
      <c r="BO49" s="449">
        <v>467</v>
      </c>
      <c r="BP49" s="447">
        <v>1808702.0064213972</v>
      </c>
      <c r="BQ49" s="447">
        <v>5112616</v>
      </c>
      <c r="BR49" s="447">
        <v>6717071</v>
      </c>
      <c r="BS49" s="448">
        <v>0.0888468809073724</v>
      </c>
      <c r="BT49" s="449">
        <v>426</v>
      </c>
      <c r="BU49" s="449">
        <v>420</v>
      </c>
      <c r="BV49" s="447">
        <v>596790.8071833649</v>
      </c>
      <c r="BW49" s="448">
        <v>0.012915565446751737</v>
      </c>
      <c r="BX49" s="447">
        <v>24093.68707887742</v>
      </c>
      <c r="BY49" s="447">
        <v>7542202.50068364</v>
      </c>
      <c r="BZ49" s="455">
        <v>0.96</v>
      </c>
      <c r="CA49" s="447">
        <v>7240514.400656294</v>
      </c>
      <c r="CB49" s="447">
        <v>5445063.090258962</v>
      </c>
      <c r="CC49" s="447">
        <v>5438398.765773285</v>
      </c>
      <c r="CD49" s="447">
        <v>5292145.561713771</v>
      </c>
      <c r="CE49" s="447">
        <v>5438398.765773285</v>
      </c>
      <c r="CF49" s="454">
        <v>1142.2807741594802</v>
      </c>
      <c r="CG49" s="450">
        <v>4761</v>
      </c>
      <c r="CH49" s="450">
        <v>99</v>
      </c>
      <c r="CI49" s="450">
        <v>145</v>
      </c>
      <c r="CJ49" s="450">
        <v>297</v>
      </c>
      <c r="CK49" s="450">
        <v>0</v>
      </c>
      <c r="CL49" s="450">
        <v>566</v>
      </c>
      <c r="CM49" s="450">
        <v>544</v>
      </c>
      <c r="CN49" s="450">
        <v>175</v>
      </c>
      <c r="CO49" s="450">
        <v>921</v>
      </c>
      <c r="CP49" s="450">
        <v>13</v>
      </c>
      <c r="CQ49" s="450">
        <v>1037</v>
      </c>
      <c r="CR49" s="450">
        <v>467</v>
      </c>
      <c r="CS49" s="450">
        <v>0</v>
      </c>
      <c r="CT49" s="450">
        <v>487</v>
      </c>
      <c r="CU49" s="450">
        <v>0</v>
      </c>
      <c r="CV49" s="450">
        <v>10</v>
      </c>
      <c r="CW49" s="447">
        <v>3455333.631451913</v>
      </c>
      <c r="CX49" s="452">
        <v>0.9371648135278675</v>
      </c>
      <c r="CY49" s="452">
        <v>0.96</v>
      </c>
      <c r="CZ49" s="447">
        <v>3238217.0983962016</v>
      </c>
      <c r="DA49" s="454">
        <v>680.1548200790173</v>
      </c>
      <c r="DB49" s="449">
        <v>4761</v>
      </c>
      <c r="DC49" s="452">
        <v>1.029699642932157</v>
      </c>
      <c r="DD49" s="454">
        <v>328.5</v>
      </c>
      <c r="DE49" s="447">
        <v>23650</v>
      </c>
      <c r="DF49" s="454">
        <v>48.6646603455069</v>
      </c>
      <c r="DG49" s="454">
        <v>50.7572407403637</v>
      </c>
      <c r="DH49" s="454">
        <v>51.87390003665169</v>
      </c>
      <c r="DI49" s="454">
        <v>53.015125837458015</v>
      </c>
      <c r="DJ49" s="454">
        <v>54.76462499009413</v>
      </c>
      <c r="DK49" s="454">
        <v>56.73615148973751</v>
      </c>
      <c r="DL49" s="454">
        <v>58.551708337409096</v>
      </c>
      <c r="DM49" s="454">
        <v>60.952328379242864</v>
      </c>
      <c r="DN49" s="454">
        <v>63.63423082792954</v>
      </c>
      <c r="DO49" s="454">
        <v>67.13411352346566</v>
      </c>
      <c r="DP49" s="454">
        <v>66.52990650175447</v>
      </c>
      <c r="DQ49" s="454">
        <v>69.92293173334394</v>
      </c>
      <c r="DR49" s="454">
        <v>74.18823056907792</v>
      </c>
      <c r="DS49" s="454">
        <v>35.3</v>
      </c>
      <c r="DT49" s="454">
        <v>37.65633000366516</v>
      </c>
      <c r="DU49" s="454">
        <v>40.099253327491596</v>
      </c>
      <c r="DV49" s="454">
        <v>43.09029072514823</v>
      </c>
      <c r="DW49" s="454">
        <v>46.36934266246555</v>
      </c>
      <c r="DX49" s="454">
        <v>49.63625274595521</v>
      </c>
      <c r="DY49" s="454">
        <v>53.52753696268007</v>
      </c>
      <c r="DZ49" s="454">
        <v>56.74402439335927</v>
      </c>
      <c r="EA49" s="454">
        <v>58.590492164698006</v>
      </c>
      <c r="EB49" s="454">
        <v>60.82106984158013</v>
      </c>
      <c r="EC49" s="454">
        <v>65.12294186946936</v>
      </c>
      <c r="ED49" s="454">
        <v>70.36863863489972</v>
      </c>
      <c r="EE49" s="454">
        <v>-0.22</v>
      </c>
      <c r="EF49" s="454">
        <v>70.14863863489973</v>
      </c>
      <c r="EG49" s="454">
        <v>3647.7292090147857</v>
      </c>
      <c r="EH49" s="447">
        <v>17019501.988837007</v>
      </c>
      <c r="EI49" s="454">
        <v>38.34</v>
      </c>
      <c r="EJ49" s="454">
        <v>40.452522003665166</v>
      </c>
      <c r="EK49" s="454">
        <v>42.63943841549159</v>
      </c>
      <c r="EL49" s="454">
        <v>45.38630052156422</v>
      </c>
      <c r="EM49" s="454">
        <v>48.408199361682954</v>
      </c>
      <c r="EN49" s="454">
        <v>51.389669507282186</v>
      </c>
      <c r="EO49" s="454">
        <v>54.987782441513176</v>
      </c>
      <c r="EP49" s="454">
        <v>58.099132197716386</v>
      </c>
      <c r="EQ49" s="454">
        <v>59.88281330745324</v>
      </c>
      <c r="ER49" s="454">
        <v>61.684597145363135</v>
      </c>
      <c r="ES49" s="454">
        <v>65.84899562649011</v>
      </c>
      <c r="ET49" s="454">
        <v>70.94639591204898</v>
      </c>
      <c r="EU49" s="447">
        <v>1339580</v>
      </c>
      <c r="EV49" s="447">
        <v>0</v>
      </c>
      <c r="EW49" s="447">
        <v>0</v>
      </c>
      <c r="EX49" s="447">
        <v>0</v>
      </c>
      <c r="EY49" s="447">
        <v>0</v>
      </c>
      <c r="EZ49" s="447">
        <v>0</v>
      </c>
      <c r="FA49" s="447">
        <v>0</v>
      </c>
      <c r="FB49" s="447">
        <v>0</v>
      </c>
      <c r="FC49" s="447">
        <v>0</v>
      </c>
      <c r="FD49" s="447">
        <v>1339580</v>
      </c>
      <c r="FE49" s="447">
        <v>41177.29663698684</v>
      </c>
      <c r="FF49" s="447">
        <v>0</v>
      </c>
      <c r="FG49" s="447">
        <v>0</v>
      </c>
      <c r="FH49" s="447">
        <v>40687</v>
      </c>
      <c r="FI49" s="456">
        <v>0.0393</v>
      </c>
      <c r="FJ49" s="447">
        <v>1598.9991</v>
      </c>
      <c r="FK49" s="471">
        <v>1598.9991</v>
      </c>
      <c r="FL49" s="498">
        <v>69.9</v>
      </c>
      <c r="FM49" s="37">
        <v>67.03</v>
      </c>
      <c r="FN49" s="37">
        <v>66.81</v>
      </c>
      <c r="FO49" s="37">
        <v>-0.22</v>
      </c>
      <c r="FP49" s="40">
        <v>65.4</v>
      </c>
      <c r="FQ49" s="446">
        <v>0</v>
      </c>
      <c r="FR49" s="450">
        <v>0</v>
      </c>
      <c r="FS49" s="450">
        <v>0</v>
      </c>
      <c r="FT49" s="450">
        <v>0</v>
      </c>
      <c r="FU49" s="450">
        <v>0</v>
      </c>
      <c r="FV49" s="450">
        <v>0</v>
      </c>
      <c r="FW49" s="450">
        <v>0</v>
      </c>
      <c r="FX49" s="450">
        <v>0</v>
      </c>
      <c r="FY49" s="450">
        <v>0</v>
      </c>
      <c r="FZ49" s="450">
        <v>0</v>
      </c>
      <c r="GA49" s="450">
        <v>0</v>
      </c>
      <c r="GB49" s="450">
        <v>0</v>
      </c>
      <c r="GC49" s="450">
        <v>0</v>
      </c>
      <c r="GD49" s="450">
        <v>0</v>
      </c>
      <c r="GE49" s="450">
        <v>0</v>
      </c>
      <c r="GF49" s="450">
        <v>0</v>
      </c>
      <c r="GG49" s="450">
        <v>0</v>
      </c>
      <c r="GH49" s="450">
        <v>0</v>
      </c>
      <c r="GI49" s="450">
        <v>0</v>
      </c>
      <c r="GJ49" s="450">
        <v>0</v>
      </c>
      <c r="GK49" s="450">
        <v>0</v>
      </c>
      <c r="GL49" s="450">
        <v>0</v>
      </c>
      <c r="GM49" s="450">
        <v>0</v>
      </c>
      <c r="GN49" s="450">
        <v>0</v>
      </c>
      <c r="GO49" s="450">
        <v>0</v>
      </c>
      <c r="GP49" s="450">
        <v>0</v>
      </c>
      <c r="GQ49" s="450">
        <v>0</v>
      </c>
      <c r="GR49" s="450">
        <v>0</v>
      </c>
      <c r="GS49" s="450">
        <v>0</v>
      </c>
      <c r="GT49" s="450">
        <v>0</v>
      </c>
      <c r="GU49" s="450">
        <v>0</v>
      </c>
      <c r="GV49" s="450">
        <v>0</v>
      </c>
      <c r="GW49" s="450">
        <v>3831500</v>
      </c>
      <c r="GX49" s="450">
        <v>8753511</v>
      </c>
      <c r="GY49" s="450">
        <v>9085511</v>
      </c>
      <c r="GZ49" s="450">
        <v>24</v>
      </c>
      <c r="HA49" s="450" t="s">
        <v>888</v>
      </c>
      <c r="HB49" s="450" t="s">
        <v>888</v>
      </c>
      <c r="HC49" s="450">
        <v>0</v>
      </c>
      <c r="HD49" s="450">
        <v>0</v>
      </c>
      <c r="HE49" s="450">
        <v>0</v>
      </c>
      <c r="HF49" s="450">
        <v>0</v>
      </c>
      <c r="HG49" s="472">
        <v>0</v>
      </c>
    </row>
    <row r="50" spans="2:215" ht="12.75">
      <c r="B50" s="445" t="s">
        <v>725</v>
      </c>
      <c r="C50" s="446">
        <v>10513</v>
      </c>
      <c r="D50" s="447">
        <v>2480329</v>
      </c>
      <c r="E50" s="447">
        <v>2128122.282</v>
      </c>
      <c r="F50" s="447">
        <v>254865.11952493544</v>
      </c>
      <c r="G50" s="447">
        <v>352206.71800000005</v>
      </c>
      <c r="H50" s="448">
        <v>0.35641681727385144</v>
      </c>
      <c r="I50" s="449">
        <v>2787.48</v>
      </c>
      <c r="J50" s="449">
        <v>959.53</v>
      </c>
      <c r="K50" s="447">
        <v>2382987.4015249354</v>
      </c>
      <c r="L50" s="447">
        <v>1906389.9212199484</v>
      </c>
      <c r="M50" s="447">
        <v>506889.731454972</v>
      </c>
      <c r="N50" s="447">
        <v>476597.480304987</v>
      </c>
      <c r="O50" s="450">
        <v>1.0635594026443451</v>
      </c>
      <c r="P50" s="451">
        <v>0.9511081518120422</v>
      </c>
      <c r="Q50" s="452">
        <v>0.04889184818795777</v>
      </c>
      <c r="R50" s="447">
        <v>2413279.6526749204</v>
      </c>
      <c r="S50" s="447">
        <v>1631377.0452082462</v>
      </c>
      <c r="T50" s="447">
        <v>238533.59174262086</v>
      </c>
      <c r="U50" s="447">
        <v>292682.7306964941</v>
      </c>
      <c r="V50" s="447">
        <v>550227.7608098818</v>
      </c>
      <c r="W50" s="450">
        <v>0.5319301415575498</v>
      </c>
      <c r="X50" s="452">
        <v>9.337768231192713</v>
      </c>
      <c r="Y50" s="447">
        <v>238533.59174262086</v>
      </c>
      <c r="Z50" s="447">
        <v>231674.84665679236</v>
      </c>
      <c r="AA50" s="448">
        <v>1.0296050485618284</v>
      </c>
      <c r="AB50" s="448">
        <v>0.08099495862265767</v>
      </c>
      <c r="AC50" s="449">
        <v>867</v>
      </c>
      <c r="AD50" s="449">
        <v>836</v>
      </c>
      <c r="AE50" s="447">
        <v>2162593.367647361</v>
      </c>
      <c r="AF50" s="447">
        <v>105783.32297104175</v>
      </c>
      <c r="AG50" s="451">
        <v>0.5</v>
      </c>
      <c r="AH50" s="450">
        <v>0.1519514848308984</v>
      </c>
      <c r="AI50" s="452">
        <v>0.12795985252124004</v>
      </c>
      <c r="AJ50" s="447">
        <v>2268376.690618403</v>
      </c>
      <c r="AK50" s="453">
        <v>1</v>
      </c>
      <c r="AL50" s="447">
        <v>2268376.690618403</v>
      </c>
      <c r="AM50" s="447">
        <v>5336269.821297463</v>
      </c>
      <c r="AN50" s="447">
        <v>5283599.782043611</v>
      </c>
      <c r="AO50" s="447">
        <v>5314052.673061298</v>
      </c>
      <c r="AP50" s="447">
        <v>5314052.673061298</v>
      </c>
      <c r="AQ50" s="447">
        <v>42052</v>
      </c>
      <c r="AR50" s="447">
        <v>5356104.673061298</v>
      </c>
      <c r="AS50" s="454">
        <v>509.4744290936268</v>
      </c>
      <c r="AT50" s="450">
        <v>10513</v>
      </c>
      <c r="AU50" s="450">
        <v>589</v>
      </c>
      <c r="AV50" s="450">
        <v>465</v>
      </c>
      <c r="AW50" s="450">
        <v>406</v>
      </c>
      <c r="AX50" s="450">
        <v>466</v>
      </c>
      <c r="AY50" s="450">
        <v>1065</v>
      </c>
      <c r="AZ50" s="450">
        <v>702</v>
      </c>
      <c r="BA50" s="450">
        <v>756</v>
      </c>
      <c r="BB50" s="450">
        <v>649</v>
      </c>
      <c r="BC50" s="450">
        <v>136</v>
      </c>
      <c r="BD50" s="450">
        <v>2482</v>
      </c>
      <c r="BE50" s="450">
        <v>514</v>
      </c>
      <c r="BF50" s="450">
        <v>0</v>
      </c>
      <c r="BG50" s="450">
        <v>2277</v>
      </c>
      <c r="BH50" s="450">
        <v>0</v>
      </c>
      <c r="BI50" s="450">
        <v>6</v>
      </c>
      <c r="BJ50" s="452">
        <v>1.1689083610449211</v>
      </c>
      <c r="BK50" s="452">
        <v>5.170780214953646</v>
      </c>
      <c r="BL50" s="452">
        <v>3.4805912777366395</v>
      </c>
      <c r="BM50" s="452">
        <v>3.380377874434012</v>
      </c>
      <c r="BN50" s="449">
        <v>9999</v>
      </c>
      <c r="BO50" s="449">
        <v>514</v>
      </c>
      <c r="BP50" s="447">
        <v>2469802.8407688686</v>
      </c>
      <c r="BQ50" s="447">
        <v>10599982</v>
      </c>
      <c r="BR50" s="447">
        <v>14208969</v>
      </c>
      <c r="BS50" s="448">
        <v>0.08099495862265767</v>
      </c>
      <c r="BT50" s="449">
        <v>867</v>
      </c>
      <c r="BU50" s="449">
        <v>836</v>
      </c>
      <c r="BV50" s="447">
        <v>1150854.8562256254</v>
      </c>
      <c r="BW50" s="448">
        <v>0.01307741774774233</v>
      </c>
      <c r="BX50" s="447">
        <v>11235.92894349025</v>
      </c>
      <c r="BY50" s="447">
        <v>14231875.625937983</v>
      </c>
      <c r="BZ50" s="455">
        <v>1.02</v>
      </c>
      <c r="CA50" s="447">
        <v>14516513.13845674</v>
      </c>
      <c r="CB50" s="447">
        <v>10916811.36388672</v>
      </c>
      <c r="CC50" s="447">
        <v>10903450.054371681</v>
      </c>
      <c r="CD50" s="447">
        <v>10383063.75583478</v>
      </c>
      <c r="CE50" s="447">
        <v>10903450.054371681</v>
      </c>
      <c r="CF50" s="454">
        <v>1037.1397369325293</v>
      </c>
      <c r="CG50" s="450">
        <v>10513</v>
      </c>
      <c r="CH50" s="450">
        <v>589</v>
      </c>
      <c r="CI50" s="450">
        <v>465</v>
      </c>
      <c r="CJ50" s="450">
        <v>406</v>
      </c>
      <c r="CK50" s="450">
        <v>466</v>
      </c>
      <c r="CL50" s="450">
        <v>1065</v>
      </c>
      <c r="CM50" s="450">
        <v>702</v>
      </c>
      <c r="CN50" s="450">
        <v>756</v>
      </c>
      <c r="CO50" s="450">
        <v>649</v>
      </c>
      <c r="CP50" s="450">
        <v>136</v>
      </c>
      <c r="CQ50" s="450">
        <v>2482</v>
      </c>
      <c r="CR50" s="450">
        <v>514</v>
      </c>
      <c r="CS50" s="450">
        <v>0</v>
      </c>
      <c r="CT50" s="450">
        <v>2277</v>
      </c>
      <c r="CU50" s="450">
        <v>0</v>
      </c>
      <c r="CV50" s="450">
        <v>6</v>
      </c>
      <c r="CW50" s="447">
        <v>7381349.679359302</v>
      </c>
      <c r="CX50" s="452">
        <v>0.9957376143733591</v>
      </c>
      <c r="CY50" s="452">
        <v>1.02</v>
      </c>
      <c r="CZ50" s="447">
        <v>7349887.52058079</v>
      </c>
      <c r="DA50" s="454">
        <v>699.1237059431932</v>
      </c>
      <c r="DB50" s="449">
        <v>10513</v>
      </c>
      <c r="DC50" s="452">
        <v>1.0104822600589747</v>
      </c>
      <c r="DD50" s="454">
        <v>255.5</v>
      </c>
      <c r="DE50" s="447">
        <v>38190</v>
      </c>
      <c r="DF50" s="454">
        <v>43.776957974085846</v>
      </c>
      <c r="DG50" s="454">
        <v>45.659367166971535</v>
      </c>
      <c r="DH50" s="454">
        <v>46.6638732446449</v>
      </c>
      <c r="DI50" s="454">
        <v>47.69047845602707</v>
      </c>
      <c r="DJ50" s="454">
        <v>49.264264245075964</v>
      </c>
      <c r="DK50" s="454">
        <v>51.03777775789869</v>
      </c>
      <c r="DL50" s="454">
        <v>52.670986646151434</v>
      </c>
      <c r="DM50" s="454">
        <v>54.83049709864364</v>
      </c>
      <c r="DN50" s="454">
        <v>57.24303897098395</v>
      </c>
      <c r="DO50" s="454">
        <v>60.39140611438807</v>
      </c>
      <c r="DP50" s="454">
        <v>59.84788345935858</v>
      </c>
      <c r="DQ50" s="454">
        <v>62.90012551578586</v>
      </c>
      <c r="DR50" s="454">
        <v>66.73703317224879</v>
      </c>
      <c r="DS50" s="454">
        <v>39.123730754787836</v>
      </c>
      <c r="DT50" s="454">
        <v>40.65239487271834</v>
      </c>
      <c r="DU50" s="454">
        <v>42.229384326152456</v>
      </c>
      <c r="DV50" s="454">
        <v>44.32811778843555</v>
      </c>
      <c r="DW50" s="454">
        <v>46.654479704402</v>
      </c>
      <c r="DX50" s="454">
        <v>48.90135032014429</v>
      </c>
      <c r="DY50" s="454">
        <v>51.69114396634489</v>
      </c>
      <c r="DZ50" s="454">
        <v>54.32971926421071</v>
      </c>
      <c r="EA50" s="454">
        <v>55.838536012594815</v>
      </c>
      <c r="EB50" s="454">
        <v>56.805661589418634</v>
      </c>
      <c r="EC50" s="454">
        <v>60.34222536754035</v>
      </c>
      <c r="ED50" s="454">
        <v>64.70158412928242</v>
      </c>
      <c r="EE50" s="454">
        <v>0</v>
      </c>
      <c r="EF50" s="454">
        <v>64.70158412928242</v>
      </c>
      <c r="EG50" s="454">
        <v>3364.482374722686</v>
      </c>
      <c r="EH50" s="447">
        <v>34663387.1413504</v>
      </c>
      <c r="EI50" s="454">
        <v>43.75071160345476</v>
      </c>
      <c r="EJ50" s="454">
        <v>44.90829185732217</v>
      </c>
      <c r="EK50" s="454">
        <v>46.09563029794367</v>
      </c>
      <c r="EL50" s="454">
        <v>47.82272086618833</v>
      </c>
      <c r="EM50" s="454">
        <v>49.75768723744647</v>
      </c>
      <c r="EN50" s="454">
        <v>51.57010879856253</v>
      </c>
      <c r="EO50" s="454">
        <v>53.9136860271716</v>
      </c>
      <c r="EP50" s="454">
        <v>56.3922382966579</v>
      </c>
      <c r="EQ50" s="454">
        <v>57.805491663205295</v>
      </c>
      <c r="ER50" s="454">
        <v>58.119978792347894</v>
      </c>
      <c r="ES50" s="454">
        <v>61.447303271763275</v>
      </c>
      <c r="ET50" s="454">
        <v>65.58094987156782</v>
      </c>
      <c r="EU50" s="447">
        <v>44512980</v>
      </c>
      <c r="EV50" s="447">
        <v>0</v>
      </c>
      <c r="EW50" s="447">
        <v>0</v>
      </c>
      <c r="EX50" s="447">
        <v>0</v>
      </c>
      <c r="EY50" s="447">
        <v>0</v>
      </c>
      <c r="EZ50" s="447">
        <v>0</v>
      </c>
      <c r="FA50" s="447">
        <v>0</v>
      </c>
      <c r="FB50" s="447">
        <v>0</v>
      </c>
      <c r="FC50" s="447">
        <v>0</v>
      </c>
      <c r="FD50" s="447">
        <v>44512980</v>
      </c>
      <c r="FE50" s="447">
        <v>62281.938036200954</v>
      </c>
      <c r="FF50" s="447">
        <v>0</v>
      </c>
      <c r="FG50" s="447">
        <v>0</v>
      </c>
      <c r="FH50" s="447">
        <v>126218</v>
      </c>
      <c r="FI50" s="456">
        <v>0.0458</v>
      </c>
      <c r="FJ50" s="447">
        <v>5780.7844000000005</v>
      </c>
      <c r="FK50" s="471">
        <v>5780.7844000000005</v>
      </c>
      <c r="FL50" s="498">
        <v>62.87</v>
      </c>
      <c r="FM50" s="37">
        <v>61.64</v>
      </c>
      <c r="FN50" s="37">
        <v>61.58</v>
      </c>
      <c r="FO50" s="37">
        <v>-0.06</v>
      </c>
      <c r="FP50" s="40">
        <v>61.85</v>
      </c>
      <c r="FQ50" s="446">
        <v>776840</v>
      </c>
      <c r="FR50" s="450">
        <v>518941</v>
      </c>
      <c r="FS50" s="450">
        <v>0</v>
      </c>
      <c r="FT50" s="450">
        <v>0</v>
      </c>
      <c r="FU50" s="450">
        <v>0</v>
      </c>
      <c r="FV50" s="450">
        <v>0</v>
      </c>
      <c r="FW50" s="450">
        <v>0</v>
      </c>
      <c r="FX50" s="450">
        <v>0</v>
      </c>
      <c r="FY50" s="450">
        <v>0</v>
      </c>
      <c r="FZ50" s="450">
        <v>0</v>
      </c>
      <c r="GA50" s="450">
        <v>0</v>
      </c>
      <c r="GB50" s="450">
        <v>0</v>
      </c>
      <c r="GC50" s="450">
        <v>0</v>
      </c>
      <c r="GD50" s="450">
        <v>0</v>
      </c>
      <c r="GE50" s="450">
        <v>0</v>
      </c>
      <c r="GF50" s="450">
        <v>0</v>
      </c>
      <c r="GG50" s="450">
        <v>0</v>
      </c>
      <c r="GH50" s="450">
        <v>0</v>
      </c>
      <c r="GI50" s="450">
        <v>0</v>
      </c>
      <c r="GJ50" s="450">
        <v>0</v>
      </c>
      <c r="GK50" s="450">
        <v>0</v>
      </c>
      <c r="GL50" s="450">
        <v>0</v>
      </c>
      <c r="GM50" s="450">
        <v>0</v>
      </c>
      <c r="GN50" s="450">
        <v>0</v>
      </c>
      <c r="GO50" s="450">
        <v>0</v>
      </c>
      <c r="GP50" s="450">
        <v>0</v>
      </c>
      <c r="GQ50" s="450">
        <v>0</v>
      </c>
      <c r="GR50" s="450">
        <v>0</v>
      </c>
      <c r="GS50" s="450">
        <v>0</v>
      </c>
      <c r="GT50" s="450">
        <v>0</v>
      </c>
      <c r="GU50" s="450">
        <v>0</v>
      </c>
      <c r="GV50" s="450">
        <v>0</v>
      </c>
      <c r="GW50" s="450">
        <v>0</v>
      </c>
      <c r="GX50" s="450">
        <v>28392207</v>
      </c>
      <c r="GY50" s="450">
        <v>29535207</v>
      </c>
      <c r="GZ50" s="450">
        <v>0</v>
      </c>
      <c r="HA50" s="450" t="s">
        <v>888</v>
      </c>
      <c r="HB50" s="450" t="s">
        <v>888</v>
      </c>
      <c r="HC50" s="450">
        <v>0</v>
      </c>
      <c r="HD50" s="450">
        <v>0</v>
      </c>
      <c r="HE50" s="450">
        <v>0</v>
      </c>
      <c r="HF50" s="450">
        <v>0</v>
      </c>
      <c r="HG50" s="472">
        <v>0</v>
      </c>
    </row>
    <row r="51" spans="2:215" ht="12.75">
      <c r="B51" s="445" t="s">
        <v>726</v>
      </c>
      <c r="C51" s="446">
        <v>8155.43</v>
      </c>
      <c r="D51" s="447">
        <v>1931015.19</v>
      </c>
      <c r="E51" s="447">
        <v>1656811.0330200002</v>
      </c>
      <c r="F51" s="447">
        <v>230081.93624482304</v>
      </c>
      <c r="G51" s="447">
        <v>274204.15698</v>
      </c>
      <c r="H51" s="448">
        <v>0.41328906017217976</v>
      </c>
      <c r="I51" s="449">
        <v>2705.6</v>
      </c>
      <c r="J51" s="449">
        <v>664.95</v>
      </c>
      <c r="K51" s="447">
        <v>1886892.9692648232</v>
      </c>
      <c r="L51" s="447">
        <v>1509514.3754118588</v>
      </c>
      <c r="M51" s="447">
        <v>440401.42937113123</v>
      </c>
      <c r="N51" s="447">
        <v>377378.5938529646</v>
      </c>
      <c r="O51" s="450">
        <v>1.1670016173273512</v>
      </c>
      <c r="P51" s="451">
        <v>0.8714439336736383</v>
      </c>
      <c r="Q51" s="452">
        <v>0.12850334071900563</v>
      </c>
      <c r="R51" s="447">
        <v>1949915.80478299</v>
      </c>
      <c r="S51" s="447">
        <v>1318143.0840333013</v>
      </c>
      <c r="T51" s="447">
        <v>101101.16091869725</v>
      </c>
      <c r="U51" s="447">
        <v>457827.21608789644</v>
      </c>
      <c r="V51" s="447">
        <v>444580.80349052174</v>
      </c>
      <c r="W51" s="450">
        <v>1.0297952869160647</v>
      </c>
      <c r="X51" s="452">
        <v>18.07754245066869</v>
      </c>
      <c r="Y51" s="447">
        <v>101101.16091869725</v>
      </c>
      <c r="Z51" s="447">
        <v>187191.91725916704</v>
      </c>
      <c r="AA51" s="448">
        <v>0.54009362369382</v>
      </c>
      <c r="AB51" s="448">
        <v>0.04248703011367886</v>
      </c>
      <c r="AC51" s="449">
        <v>339</v>
      </c>
      <c r="AD51" s="449">
        <v>354</v>
      </c>
      <c r="AE51" s="447">
        <v>1877071.461039895</v>
      </c>
      <c r="AF51" s="447">
        <v>0</v>
      </c>
      <c r="AG51" s="451">
        <v>0</v>
      </c>
      <c r="AH51" s="450">
        <v>0.023062467087242165</v>
      </c>
      <c r="AI51" s="452">
        <v>0.019421132281422615</v>
      </c>
      <c r="AJ51" s="447">
        <v>1877071.461039895</v>
      </c>
      <c r="AK51" s="453">
        <v>1.104</v>
      </c>
      <c r="AL51" s="447">
        <v>2072286.8929880443</v>
      </c>
      <c r="AM51" s="447">
        <v>4874976.036324764</v>
      </c>
      <c r="AN51" s="447">
        <v>4826859.05802467</v>
      </c>
      <c r="AO51" s="447">
        <v>4830219.977619466</v>
      </c>
      <c r="AP51" s="447">
        <v>4830219.977619466</v>
      </c>
      <c r="AQ51" s="447">
        <v>32621.72</v>
      </c>
      <c r="AR51" s="447">
        <v>4862841.697619466</v>
      </c>
      <c r="AS51" s="454">
        <v>596.2704232173492</v>
      </c>
      <c r="AT51" s="450">
        <v>8065</v>
      </c>
      <c r="AU51" s="450">
        <v>41</v>
      </c>
      <c r="AV51" s="450">
        <v>61</v>
      </c>
      <c r="AW51" s="450">
        <v>0</v>
      </c>
      <c r="AX51" s="450">
        <v>2007</v>
      </c>
      <c r="AY51" s="450">
        <v>409</v>
      </c>
      <c r="AZ51" s="450">
        <v>313</v>
      </c>
      <c r="BA51" s="450">
        <v>1510</v>
      </c>
      <c r="BB51" s="450">
        <v>201</v>
      </c>
      <c r="BC51" s="450">
        <v>14</v>
      </c>
      <c r="BD51" s="450">
        <v>1956</v>
      </c>
      <c r="BE51" s="450">
        <v>961</v>
      </c>
      <c r="BF51" s="450">
        <v>79</v>
      </c>
      <c r="BG51" s="450">
        <v>438</v>
      </c>
      <c r="BH51" s="450">
        <v>69</v>
      </c>
      <c r="BI51" s="450">
        <v>6</v>
      </c>
      <c r="BJ51" s="452">
        <v>1.4606962785955682</v>
      </c>
      <c r="BK51" s="452">
        <v>12.028475885580972</v>
      </c>
      <c r="BL51" s="452">
        <v>8.375601149445808</v>
      </c>
      <c r="BM51" s="452">
        <v>7.305749472270329</v>
      </c>
      <c r="BN51" s="449">
        <v>7025</v>
      </c>
      <c r="BO51" s="449">
        <v>1040</v>
      </c>
      <c r="BP51" s="447">
        <v>2229517.697175281</v>
      </c>
      <c r="BQ51" s="447">
        <v>8237923</v>
      </c>
      <c r="BR51" s="447">
        <v>11231910</v>
      </c>
      <c r="BS51" s="448">
        <v>0.04296342219466832</v>
      </c>
      <c r="BT51" s="449">
        <v>339</v>
      </c>
      <c r="BU51" s="449">
        <v>354</v>
      </c>
      <c r="BV51" s="447">
        <v>482561.291382517</v>
      </c>
      <c r="BW51" s="448">
        <v>0.0026156094999741472</v>
      </c>
      <c r="BX51" s="447">
        <v>4010.440927843453</v>
      </c>
      <c r="BY51" s="447">
        <v>10954012.429485641</v>
      </c>
      <c r="BZ51" s="455">
        <v>1.0633333333333332</v>
      </c>
      <c r="CA51" s="447">
        <v>11647766.550019732</v>
      </c>
      <c r="CB51" s="447">
        <v>8759436.169302644</v>
      </c>
      <c r="CC51" s="447">
        <v>8748715.315572184</v>
      </c>
      <c r="CD51" s="447">
        <v>8567894.84704724</v>
      </c>
      <c r="CE51" s="447">
        <v>8748715.315572184</v>
      </c>
      <c r="CF51" s="454">
        <v>1084.775612594195</v>
      </c>
      <c r="CG51" s="450">
        <v>8065</v>
      </c>
      <c r="CH51" s="450">
        <v>41</v>
      </c>
      <c r="CI51" s="450">
        <v>61</v>
      </c>
      <c r="CJ51" s="450">
        <v>0</v>
      </c>
      <c r="CK51" s="450">
        <v>2007</v>
      </c>
      <c r="CL51" s="450">
        <v>409</v>
      </c>
      <c r="CM51" s="450">
        <v>313</v>
      </c>
      <c r="CN51" s="450">
        <v>1510</v>
      </c>
      <c r="CO51" s="450">
        <v>201</v>
      </c>
      <c r="CP51" s="450">
        <v>14</v>
      </c>
      <c r="CQ51" s="450">
        <v>1956</v>
      </c>
      <c r="CR51" s="450">
        <v>961</v>
      </c>
      <c r="CS51" s="450">
        <v>79</v>
      </c>
      <c r="CT51" s="450">
        <v>438</v>
      </c>
      <c r="CU51" s="450">
        <v>69</v>
      </c>
      <c r="CV51" s="450">
        <v>6</v>
      </c>
      <c r="CW51" s="447">
        <v>5942275.38890663</v>
      </c>
      <c r="CX51" s="452">
        <v>1.0380401927617697</v>
      </c>
      <c r="CY51" s="452">
        <v>1.0633333333333332</v>
      </c>
      <c r="CZ51" s="447">
        <v>6168320.690144158</v>
      </c>
      <c r="DA51" s="454">
        <v>764.8258760253141</v>
      </c>
      <c r="DB51" s="449">
        <v>8155.43</v>
      </c>
      <c r="DC51" s="452">
        <v>1.0334492479243889</v>
      </c>
      <c r="DD51" s="454">
        <v>332.5</v>
      </c>
      <c r="DE51" s="447">
        <v>67466</v>
      </c>
      <c r="DF51" s="454">
        <v>63.74457347342309</v>
      </c>
      <c r="DG51" s="454">
        <v>66.48559013278027</v>
      </c>
      <c r="DH51" s="454">
        <v>67.94827311570143</v>
      </c>
      <c r="DI51" s="454">
        <v>69.44313512424684</v>
      </c>
      <c r="DJ51" s="454">
        <v>71.73475858334697</v>
      </c>
      <c r="DK51" s="454">
        <v>74.31720989234745</v>
      </c>
      <c r="DL51" s="454">
        <v>76.69536060890255</v>
      </c>
      <c r="DM51" s="454">
        <v>79.83987039386754</v>
      </c>
      <c r="DN51" s="454">
        <v>83.3528246911977</v>
      </c>
      <c r="DO51" s="454">
        <v>87.93723004921357</v>
      </c>
      <c r="DP51" s="454">
        <v>87.14579497877064</v>
      </c>
      <c r="DQ51" s="454">
        <v>91.59023052268793</v>
      </c>
      <c r="DR51" s="454">
        <v>97.17723458457189</v>
      </c>
      <c r="DS51" s="454">
        <v>49.02</v>
      </c>
      <c r="DT51" s="454">
        <v>51.88342331157014</v>
      </c>
      <c r="DU51" s="454">
        <v>54.84911156884936</v>
      </c>
      <c r="DV51" s="454">
        <v>58.543585542212085</v>
      </c>
      <c r="DW51" s="454">
        <v>62.60344823181967</v>
      </c>
      <c r="DX51" s="454">
        <v>66.62152558084867</v>
      </c>
      <c r="DY51" s="454">
        <v>71.45038058250428</v>
      </c>
      <c r="DZ51" s="454">
        <v>75.5673781462526</v>
      </c>
      <c r="EA51" s="454">
        <v>77.92857162875713</v>
      </c>
      <c r="EB51" s="454">
        <v>80.45802246281895</v>
      </c>
      <c r="EC51" s="454">
        <v>85.96715139127575</v>
      </c>
      <c r="ED51" s="454">
        <v>92.70266936575065</v>
      </c>
      <c r="EE51" s="454">
        <v>0</v>
      </c>
      <c r="EF51" s="454">
        <v>92.70266936575065</v>
      </c>
      <c r="EG51" s="454">
        <v>4820.538807019034</v>
      </c>
      <c r="EH51" s="447">
        <v>38527295.4668687</v>
      </c>
      <c r="EI51" s="454">
        <v>49.02</v>
      </c>
      <c r="EJ51" s="454">
        <v>51.88342331157014</v>
      </c>
      <c r="EK51" s="454">
        <v>54.84911156884936</v>
      </c>
      <c r="EL51" s="454">
        <v>58.543585542212085</v>
      </c>
      <c r="EM51" s="454">
        <v>62.60344823181967</v>
      </c>
      <c r="EN51" s="454">
        <v>66.62152558084867</v>
      </c>
      <c r="EO51" s="454">
        <v>71.45038058250428</v>
      </c>
      <c r="EP51" s="454">
        <v>75.5673781462526</v>
      </c>
      <c r="EQ51" s="454">
        <v>77.92857162875713</v>
      </c>
      <c r="ER51" s="454">
        <v>80.45802246281895</v>
      </c>
      <c r="ES51" s="454">
        <v>85.96715139127575</v>
      </c>
      <c r="ET51" s="454">
        <v>92.70266936575065</v>
      </c>
      <c r="EU51" s="447">
        <v>2776148</v>
      </c>
      <c r="EV51" s="447">
        <v>0</v>
      </c>
      <c r="EW51" s="447">
        <v>0</v>
      </c>
      <c r="EX51" s="447">
        <v>0</v>
      </c>
      <c r="EY51" s="447">
        <v>0</v>
      </c>
      <c r="EZ51" s="447">
        <v>0</v>
      </c>
      <c r="FA51" s="447">
        <v>0</v>
      </c>
      <c r="FB51" s="447">
        <v>0</v>
      </c>
      <c r="FC51" s="447">
        <v>0</v>
      </c>
      <c r="FD51" s="447">
        <v>2776148</v>
      </c>
      <c r="FE51" s="447">
        <v>41879.540437233896</v>
      </c>
      <c r="FF51" s="447">
        <v>0</v>
      </c>
      <c r="FG51" s="447">
        <v>0</v>
      </c>
      <c r="FH51" s="447">
        <v>118913</v>
      </c>
      <c r="FI51" s="456">
        <v>0.0313</v>
      </c>
      <c r="FJ51" s="447">
        <v>3721.9769</v>
      </c>
      <c r="FK51" s="471">
        <v>3721.9769</v>
      </c>
      <c r="FL51" s="498">
        <v>0</v>
      </c>
      <c r="FM51" s="37">
        <v>0</v>
      </c>
      <c r="FN51" s="37">
        <v>0</v>
      </c>
      <c r="FO51" s="37">
        <v>0</v>
      </c>
      <c r="FP51" s="40">
        <v>0</v>
      </c>
      <c r="FQ51" s="446">
        <v>0</v>
      </c>
      <c r="FR51" s="450">
        <v>0</v>
      </c>
      <c r="FS51" s="450">
        <v>0</v>
      </c>
      <c r="FT51" s="450">
        <v>0</v>
      </c>
      <c r="FU51" s="450">
        <v>0</v>
      </c>
      <c r="FV51" s="450">
        <v>0</v>
      </c>
      <c r="FW51" s="450">
        <v>0</v>
      </c>
      <c r="FX51" s="450">
        <v>0</v>
      </c>
      <c r="FY51" s="450">
        <v>0</v>
      </c>
      <c r="FZ51" s="450">
        <v>0</v>
      </c>
      <c r="GA51" s="450">
        <v>0</v>
      </c>
      <c r="GB51" s="450">
        <v>0</v>
      </c>
      <c r="GC51" s="450">
        <v>0</v>
      </c>
      <c r="GD51" s="450">
        <v>0</v>
      </c>
      <c r="GE51" s="450">
        <v>0</v>
      </c>
      <c r="GF51" s="450">
        <v>0</v>
      </c>
      <c r="GG51" s="450">
        <v>0</v>
      </c>
      <c r="GH51" s="450">
        <v>0</v>
      </c>
      <c r="GI51" s="450">
        <v>0</v>
      </c>
      <c r="GJ51" s="450">
        <v>0</v>
      </c>
      <c r="GK51" s="450">
        <v>0</v>
      </c>
      <c r="GL51" s="450">
        <v>0</v>
      </c>
      <c r="GM51" s="450">
        <v>0</v>
      </c>
      <c r="GN51" s="450">
        <v>0</v>
      </c>
      <c r="GO51" s="450">
        <v>0</v>
      </c>
      <c r="GP51" s="450">
        <v>0</v>
      </c>
      <c r="GQ51" s="450">
        <v>0</v>
      </c>
      <c r="GR51" s="450">
        <v>0</v>
      </c>
      <c r="GS51" s="450">
        <v>0</v>
      </c>
      <c r="GT51" s="450">
        <v>0</v>
      </c>
      <c r="GU51" s="450">
        <v>0</v>
      </c>
      <c r="GV51" s="450">
        <v>0</v>
      </c>
      <c r="GW51" s="450">
        <v>800000</v>
      </c>
      <c r="GX51" s="450">
        <v>0</v>
      </c>
      <c r="GY51" s="450">
        <v>0</v>
      </c>
      <c r="GZ51" s="450">
        <v>39</v>
      </c>
      <c r="HA51" s="450" t="s">
        <v>888</v>
      </c>
      <c r="HB51" s="450" t="s">
        <v>888</v>
      </c>
      <c r="HC51" s="450">
        <v>0</v>
      </c>
      <c r="HD51" s="450">
        <v>0</v>
      </c>
      <c r="HE51" s="450">
        <v>0</v>
      </c>
      <c r="HF51" s="450">
        <v>0</v>
      </c>
      <c r="HG51" s="472">
        <v>0</v>
      </c>
    </row>
    <row r="52" spans="2:215" ht="12.75">
      <c r="B52" s="445" t="s">
        <v>727</v>
      </c>
      <c r="C52" s="446">
        <v>14030</v>
      </c>
      <c r="D52" s="447">
        <v>3299790</v>
      </c>
      <c r="E52" s="447">
        <v>2831219.82</v>
      </c>
      <c r="F52" s="447">
        <v>566031.3282915063</v>
      </c>
      <c r="G52" s="447">
        <v>468570.18</v>
      </c>
      <c r="H52" s="448">
        <v>0.594992159657876</v>
      </c>
      <c r="I52" s="449">
        <v>7639.76</v>
      </c>
      <c r="J52" s="449">
        <v>707.98</v>
      </c>
      <c r="K52" s="447">
        <v>3397251.148291506</v>
      </c>
      <c r="L52" s="447">
        <v>2717800.918633205</v>
      </c>
      <c r="M52" s="447">
        <v>1085962.929072039</v>
      </c>
      <c r="N52" s="447">
        <v>679450.229658301</v>
      </c>
      <c r="O52" s="450">
        <v>1.5982965074839628</v>
      </c>
      <c r="P52" s="451">
        <v>0.5397719173200285</v>
      </c>
      <c r="Q52" s="452">
        <v>0.4602280826799715</v>
      </c>
      <c r="R52" s="447">
        <v>3803763.847705244</v>
      </c>
      <c r="S52" s="447">
        <v>2571344.361048745</v>
      </c>
      <c r="T52" s="447">
        <v>318945.74881971517</v>
      </c>
      <c r="U52" s="447">
        <v>996820.4701757241</v>
      </c>
      <c r="V52" s="447">
        <v>867258.1572767957</v>
      </c>
      <c r="W52" s="450">
        <v>1.1493930173061226</v>
      </c>
      <c r="X52" s="452">
        <v>20.177020934984306</v>
      </c>
      <c r="Y52" s="447">
        <v>318945.74881971517</v>
      </c>
      <c r="Z52" s="447">
        <v>365161.32937970344</v>
      </c>
      <c r="AA52" s="448">
        <v>0.8734379112966472</v>
      </c>
      <c r="AB52" s="448">
        <v>0.06870990734141126</v>
      </c>
      <c r="AC52" s="449">
        <v>1004</v>
      </c>
      <c r="AD52" s="449">
        <v>924</v>
      </c>
      <c r="AE52" s="447">
        <v>3887110.5800441843</v>
      </c>
      <c r="AF52" s="447">
        <v>304666.5467793805</v>
      </c>
      <c r="AG52" s="451">
        <v>1</v>
      </c>
      <c r="AH52" s="450">
        <v>0.17274984676103072</v>
      </c>
      <c r="AI52" s="452">
        <v>0.1454743593931198</v>
      </c>
      <c r="AJ52" s="447">
        <v>4191777.126823565</v>
      </c>
      <c r="AK52" s="453">
        <v>1.0703</v>
      </c>
      <c r="AL52" s="447">
        <v>4486459.0588392615</v>
      </c>
      <c r="AM52" s="447">
        <v>10554224.163555397</v>
      </c>
      <c r="AN52" s="447">
        <v>10450051.882241994</v>
      </c>
      <c r="AO52" s="447">
        <v>10193443.285588741</v>
      </c>
      <c r="AP52" s="447">
        <v>10450051.882241994</v>
      </c>
      <c r="AQ52" s="447">
        <v>56120</v>
      </c>
      <c r="AR52" s="447">
        <v>10506171.882241994</v>
      </c>
      <c r="AS52" s="454">
        <v>748.836199732145</v>
      </c>
      <c r="AT52" s="450">
        <v>14024</v>
      </c>
      <c r="AU52" s="450">
        <v>244</v>
      </c>
      <c r="AV52" s="450">
        <v>871</v>
      </c>
      <c r="AW52" s="450">
        <v>1041</v>
      </c>
      <c r="AX52" s="450">
        <v>11</v>
      </c>
      <c r="AY52" s="450">
        <v>1656</v>
      </c>
      <c r="AZ52" s="450">
        <v>692</v>
      </c>
      <c r="BA52" s="450">
        <v>601</v>
      </c>
      <c r="BB52" s="450">
        <v>95</v>
      </c>
      <c r="BC52" s="450">
        <v>490</v>
      </c>
      <c r="BD52" s="450">
        <v>1669</v>
      </c>
      <c r="BE52" s="450">
        <v>4808</v>
      </c>
      <c r="BF52" s="450">
        <v>1616</v>
      </c>
      <c r="BG52" s="450">
        <v>230</v>
      </c>
      <c r="BH52" s="450">
        <v>0</v>
      </c>
      <c r="BI52" s="450">
        <v>0</v>
      </c>
      <c r="BJ52" s="452">
        <v>2.0512201620441286</v>
      </c>
      <c r="BK52" s="452">
        <v>17.103179664461948</v>
      </c>
      <c r="BL52" s="452">
        <v>7.804827786475674</v>
      </c>
      <c r="BM52" s="452">
        <v>18.59670375597255</v>
      </c>
      <c r="BN52" s="449">
        <v>7600</v>
      </c>
      <c r="BO52" s="449">
        <v>6424</v>
      </c>
      <c r="BP52" s="447">
        <v>5619050.975298825</v>
      </c>
      <c r="BQ52" s="447">
        <v>16434943</v>
      </c>
      <c r="BR52" s="447">
        <v>19131878</v>
      </c>
      <c r="BS52" s="448">
        <v>0.06873930405019965</v>
      </c>
      <c r="BT52" s="449">
        <v>1004</v>
      </c>
      <c r="BU52" s="449">
        <v>924</v>
      </c>
      <c r="BV52" s="447">
        <v>1315111.9788933257</v>
      </c>
      <c r="BW52" s="448">
        <v>0.00663107856576304</v>
      </c>
      <c r="BX52" s="447">
        <v>25138.373731017964</v>
      </c>
      <c r="BY52" s="447">
        <v>23394244.327923167</v>
      </c>
      <c r="BZ52" s="455">
        <v>1.1433333333333333</v>
      </c>
      <c r="CA52" s="447">
        <v>26747419.34825882</v>
      </c>
      <c r="CB52" s="447">
        <v>20114784.36389565</v>
      </c>
      <c r="CC52" s="447">
        <v>20090165.46642131</v>
      </c>
      <c r="CD52" s="447">
        <v>19725878.329297256</v>
      </c>
      <c r="CE52" s="447">
        <v>20090165.46642131</v>
      </c>
      <c r="CF52" s="454">
        <v>1432.5560087294145</v>
      </c>
      <c r="CG52" s="450">
        <v>14024</v>
      </c>
      <c r="CH52" s="450">
        <v>244</v>
      </c>
      <c r="CI52" s="450">
        <v>871</v>
      </c>
      <c r="CJ52" s="450">
        <v>1041</v>
      </c>
      <c r="CK52" s="450">
        <v>11</v>
      </c>
      <c r="CL52" s="450">
        <v>1656</v>
      </c>
      <c r="CM52" s="450">
        <v>692</v>
      </c>
      <c r="CN52" s="450">
        <v>601</v>
      </c>
      <c r="CO52" s="450">
        <v>95</v>
      </c>
      <c r="CP52" s="450">
        <v>490</v>
      </c>
      <c r="CQ52" s="450">
        <v>1669</v>
      </c>
      <c r="CR52" s="450">
        <v>4808</v>
      </c>
      <c r="CS52" s="450">
        <v>1616</v>
      </c>
      <c r="CT52" s="450">
        <v>230</v>
      </c>
      <c r="CU52" s="450">
        <v>0</v>
      </c>
      <c r="CV52" s="450">
        <v>0</v>
      </c>
      <c r="CW52" s="447">
        <v>10962019.24538247</v>
      </c>
      <c r="CX52" s="452">
        <v>1.116137260555759</v>
      </c>
      <c r="CY52" s="452">
        <v>1.1433333333333333</v>
      </c>
      <c r="CZ52" s="447">
        <v>12235118.130700696</v>
      </c>
      <c r="DA52" s="454">
        <v>872.4413955148814</v>
      </c>
      <c r="DB52" s="449">
        <v>14030</v>
      </c>
      <c r="DC52" s="452">
        <v>1.001646471846044</v>
      </c>
      <c r="DD52" s="454">
        <v>354.1</v>
      </c>
      <c r="DE52" s="447">
        <v>68791</v>
      </c>
      <c r="DF52" s="454">
        <v>65.51762060732108</v>
      </c>
      <c r="DG52" s="454">
        <v>68.33487829343588</v>
      </c>
      <c r="DH52" s="454">
        <v>69.83824561589145</v>
      </c>
      <c r="DI52" s="454">
        <v>71.37468701944105</v>
      </c>
      <c r="DJ52" s="454">
        <v>73.73005169108261</v>
      </c>
      <c r="DK52" s="454">
        <v>76.38433355196156</v>
      </c>
      <c r="DL52" s="454">
        <v>78.82863222562432</v>
      </c>
      <c r="DM52" s="454">
        <v>82.0606061468749</v>
      </c>
      <c r="DN52" s="454">
        <v>85.67127281733738</v>
      </c>
      <c r="DO52" s="454">
        <v>90.38319282229094</v>
      </c>
      <c r="DP52" s="454">
        <v>89.56974408689032</v>
      </c>
      <c r="DQ52" s="454">
        <v>94.13780103532173</v>
      </c>
      <c r="DR52" s="454">
        <v>99.88020689847635</v>
      </c>
      <c r="DS52" s="454">
        <v>54.28</v>
      </c>
      <c r="DT52" s="454">
        <v>56.91056856158914</v>
      </c>
      <c r="DU52" s="454">
        <v>59.630610619888195</v>
      </c>
      <c r="DV52" s="454">
        <v>63.11487463543676</v>
      </c>
      <c r="DW52" s="454">
        <v>66.95805632654806</v>
      </c>
      <c r="DX52" s="454">
        <v>70.72203381176871</v>
      </c>
      <c r="DY52" s="454">
        <v>75.30943098781596</v>
      </c>
      <c r="DZ52" s="454">
        <v>79.40618226973069</v>
      </c>
      <c r="EA52" s="454">
        <v>81.75257534605257</v>
      </c>
      <c r="EB52" s="454">
        <v>83.80277673437205</v>
      </c>
      <c r="EC52" s="454">
        <v>89.28893488532435</v>
      </c>
      <c r="ED52" s="454">
        <v>96.02172165961593</v>
      </c>
      <c r="EE52" s="454">
        <v>-0.86</v>
      </c>
      <c r="EF52" s="454">
        <v>95.16172165961594</v>
      </c>
      <c r="EG52" s="454">
        <v>4948.409526300029</v>
      </c>
      <c r="EH52" s="447">
        <v>68037661.94090961</v>
      </c>
      <c r="EI52" s="454">
        <v>67.34</v>
      </c>
      <c r="EJ52" s="454">
        <v>68.92315656158914</v>
      </c>
      <c r="EK52" s="454">
        <v>70.54337945188819</v>
      </c>
      <c r="EL52" s="454">
        <v>72.97865356346075</v>
      </c>
      <c r="EM52" s="454">
        <v>75.71709201463335</v>
      </c>
      <c r="EN52" s="454">
        <v>78.25480450352205</v>
      </c>
      <c r="EO52" s="454">
        <v>81.58272241990814</v>
      </c>
      <c r="EP52" s="454">
        <v>85.22779671871223</v>
      </c>
      <c r="EQ52" s="454">
        <v>87.30445499223129</v>
      </c>
      <c r="ER52" s="454">
        <v>87.51253548022926</v>
      </c>
      <c r="ES52" s="454">
        <v>92.4081000388411</v>
      </c>
      <c r="ET52" s="454">
        <v>98.50379733052688</v>
      </c>
      <c r="EU52" s="447">
        <v>105015943</v>
      </c>
      <c r="EV52" s="447">
        <v>0</v>
      </c>
      <c r="EW52" s="447">
        <v>0</v>
      </c>
      <c r="EX52" s="447">
        <v>0</v>
      </c>
      <c r="EY52" s="447">
        <v>0</v>
      </c>
      <c r="EZ52" s="447">
        <v>0</v>
      </c>
      <c r="FA52" s="447">
        <v>0</v>
      </c>
      <c r="FB52" s="447">
        <v>0</v>
      </c>
      <c r="FC52" s="447">
        <v>0</v>
      </c>
      <c r="FD52" s="447">
        <v>105015943</v>
      </c>
      <c r="FE52" s="447">
        <v>91857.86529013324</v>
      </c>
      <c r="FF52" s="447">
        <v>0</v>
      </c>
      <c r="FG52" s="447">
        <v>0</v>
      </c>
      <c r="FH52" s="447">
        <v>140497</v>
      </c>
      <c r="FI52" s="456">
        <v>0.0481</v>
      </c>
      <c r="FJ52" s="447">
        <v>6757.905699999999</v>
      </c>
      <c r="FK52" s="471">
        <v>6757.905699999999</v>
      </c>
      <c r="FL52" s="498">
        <v>94.12</v>
      </c>
      <c r="FM52" s="37">
        <v>91.2</v>
      </c>
      <c r="FN52" s="37">
        <v>90.34</v>
      </c>
      <c r="FO52" s="37">
        <v>-0.86</v>
      </c>
      <c r="FP52" s="40">
        <v>90.34</v>
      </c>
      <c r="FQ52" s="446">
        <v>1291211</v>
      </c>
      <c r="FR52" s="450">
        <v>28247</v>
      </c>
      <c r="FS52" s="450">
        <v>0</v>
      </c>
      <c r="FT52" s="450">
        <v>0</v>
      </c>
      <c r="FU52" s="450">
        <v>0</v>
      </c>
      <c r="FV52" s="450">
        <v>0</v>
      </c>
      <c r="FW52" s="450">
        <v>0</v>
      </c>
      <c r="FX52" s="450">
        <v>0</v>
      </c>
      <c r="FY52" s="450">
        <v>0</v>
      </c>
      <c r="FZ52" s="450">
        <v>0</v>
      </c>
      <c r="GA52" s="450">
        <v>0</v>
      </c>
      <c r="GB52" s="450">
        <v>0</v>
      </c>
      <c r="GC52" s="450">
        <v>0</v>
      </c>
      <c r="GD52" s="450">
        <v>0</v>
      </c>
      <c r="GE52" s="450">
        <v>0</v>
      </c>
      <c r="GF52" s="450">
        <v>0</v>
      </c>
      <c r="GG52" s="450">
        <v>0</v>
      </c>
      <c r="GH52" s="450">
        <v>0</v>
      </c>
      <c r="GI52" s="450">
        <v>0</v>
      </c>
      <c r="GJ52" s="450">
        <v>0</v>
      </c>
      <c r="GK52" s="450">
        <v>0</v>
      </c>
      <c r="GL52" s="450">
        <v>0</v>
      </c>
      <c r="GM52" s="450">
        <v>0</v>
      </c>
      <c r="GN52" s="450">
        <v>0</v>
      </c>
      <c r="GO52" s="450">
        <v>0</v>
      </c>
      <c r="GP52" s="450">
        <v>0</v>
      </c>
      <c r="GQ52" s="450">
        <v>0</v>
      </c>
      <c r="GR52" s="450">
        <v>0</v>
      </c>
      <c r="GS52" s="450">
        <v>0</v>
      </c>
      <c r="GT52" s="450">
        <v>0</v>
      </c>
      <c r="GU52" s="450">
        <v>0</v>
      </c>
      <c r="GV52" s="450">
        <v>0</v>
      </c>
      <c r="GW52" s="450">
        <v>5762979</v>
      </c>
      <c r="GX52" s="450">
        <v>85308433</v>
      </c>
      <c r="GY52" s="450">
        <v>87592433</v>
      </c>
      <c r="GZ52" s="450">
        <v>0</v>
      </c>
      <c r="HA52" s="450" t="s">
        <v>889</v>
      </c>
      <c r="HB52" s="450" t="s">
        <v>889</v>
      </c>
      <c r="HC52" s="450">
        <v>0</v>
      </c>
      <c r="HD52" s="450">
        <v>0</v>
      </c>
      <c r="HE52" s="450">
        <v>0</v>
      </c>
      <c r="HF52" s="450">
        <v>0</v>
      </c>
      <c r="HG52" s="472">
        <v>0</v>
      </c>
    </row>
    <row r="53" spans="2:215" ht="12.75">
      <c r="B53" s="445" t="s">
        <v>728</v>
      </c>
      <c r="C53" s="446">
        <v>10593.25</v>
      </c>
      <c r="D53" s="447">
        <v>2499027.25</v>
      </c>
      <c r="E53" s="447">
        <v>2144165.3805</v>
      </c>
      <c r="F53" s="447">
        <v>294418.60940055636</v>
      </c>
      <c r="G53" s="447">
        <v>354861.86950000003</v>
      </c>
      <c r="H53" s="448">
        <v>0.40864984778042623</v>
      </c>
      <c r="I53" s="449">
        <v>3456.76</v>
      </c>
      <c r="J53" s="449">
        <v>872.17</v>
      </c>
      <c r="K53" s="447">
        <v>2438583.9899005564</v>
      </c>
      <c r="L53" s="447">
        <v>1950867.1919204453</v>
      </c>
      <c r="M53" s="447">
        <v>591549.2675852508</v>
      </c>
      <c r="N53" s="447">
        <v>487716.79798011115</v>
      </c>
      <c r="O53" s="450">
        <v>1.212895003893989</v>
      </c>
      <c r="P53" s="451">
        <v>0.8361928586599957</v>
      </c>
      <c r="Q53" s="452">
        <v>0.16378354140608406</v>
      </c>
      <c r="R53" s="447">
        <v>2542416.459505696</v>
      </c>
      <c r="S53" s="447">
        <v>1718673.5266258505</v>
      </c>
      <c r="T53" s="447">
        <v>164017.2044249281</v>
      </c>
      <c r="U53" s="447">
        <v>296251.5016332621</v>
      </c>
      <c r="V53" s="447">
        <v>579670.9527672987</v>
      </c>
      <c r="W53" s="450">
        <v>0.5110683918505545</v>
      </c>
      <c r="X53" s="452">
        <v>8.971550623950769</v>
      </c>
      <c r="Y53" s="447">
        <v>164017.2044249281</v>
      </c>
      <c r="Z53" s="447">
        <v>244071.9801125468</v>
      </c>
      <c r="AA53" s="448">
        <v>0.6720034161614793</v>
      </c>
      <c r="AB53" s="448">
        <v>0.05286385198121445</v>
      </c>
      <c r="AC53" s="449">
        <v>579</v>
      </c>
      <c r="AD53" s="449">
        <v>541</v>
      </c>
      <c r="AE53" s="447">
        <v>2178942.2326840404</v>
      </c>
      <c r="AF53" s="447">
        <v>0</v>
      </c>
      <c r="AG53" s="451">
        <v>0</v>
      </c>
      <c r="AH53" s="450">
        <v>0.0023430222918462713</v>
      </c>
      <c r="AI53" s="452">
        <v>0.001973082311451435</v>
      </c>
      <c r="AJ53" s="447">
        <v>2178942.2326840404</v>
      </c>
      <c r="AK53" s="453">
        <v>1.0716</v>
      </c>
      <c r="AL53" s="447">
        <v>2334954.496544218</v>
      </c>
      <c r="AM53" s="447">
        <v>5492891.57552351</v>
      </c>
      <c r="AN53" s="447">
        <v>5438675.648557951</v>
      </c>
      <c r="AO53" s="447">
        <v>5424502.652758479</v>
      </c>
      <c r="AP53" s="447">
        <v>5438675.648557951</v>
      </c>
      <c r="AQ53" s="447">
        <v>42373</v>
      </c>
      <c r="AR53" s="447">
        <v>5481048.648557951</v>
      </c>
      <c r="AS53" s="454">
        <v>517.4095436771482</v>
      </c>
      <c r="AT53" s="450">
        <v>10593</v>
      </c>
      <c r="AU53" s="450">
        <v>141</v>
      </c>
      <c r="AV53" s="450">
        <v>501</v>
      </c>
      <c r="AW53" s="450">
        <v>168</v>
      </c>
      <c r="AX53" s="450">
        <v>499</v>
      </c>
      <c r="AY53" s="450">
        <v>3242</v>
      </c>
      <c r="AZ53" s="450">
        <v>549</v>
      </c>
      <c r="BA53" s="450">
        <v>679</v>
      </c>
      <c r="BB53" s="450">
        <v>367</v>
      </c>
      <c r="BC53" s="450">
        <v>49</v>
      </c>
      <c r="BD53" s="450">
        <v>2100</v>
      </c>
      <c r="BE53" s="450">
        <v>1601</v>
      </c>
      <c r="BF53" s="450">
        <v>134</v>
      </c>
      <c r="BG53" s="450">
        <v>563</v>
      </c>
      <c r="BH53" s="450">
        <v>0</v>
      </c>
      <c r="BI53" s="450">
        <v>0</v>
      </c>
      <c r="BJ53" s="452">
        <v>1.4651937627151759</v>
      </c>
      <c r="BK53" s="452">
        <v>11.415204779833473</v>
      </c>
      <c r="BL53" s="452">
        <v>7.022061749965715</v>
      </c>
      <c r="BM53" s="452">
        <v>8.786286059735515</v>
      </c>
      <c r="BN53" s="449">
        <v>8858</v>
      </c>
      <c r="BO53" s="449">
        <v>1735</v>
      </c>
      <c r="BP53" s="447">
        <v>3172802.3682778147</v>
      </c>
      <c r="BQ53" s="447">
        <v>11158278</v>
      </c>
      <c r="BR53" s="447">
        <v>15055279</v>
      </c>
      <c r="BS53" s="448">
        <v>0.052865099594071555</v>
      </c>
      <c r="BT53" s="449">
        <v>579</v>
      </c>
      <c r="BU53" s="449">
        <v>541</v>
      </c>
      <c r="BV53" s="447">
        <v>795898.823751534</v>
      </c>
      <c r="BW53" s="448">
        <v>0.009635372958132635</v>
      </c>
      <c r="BX53" s="447">
        <v>18415.158143891393</v>
      </c>
      <c r="BY53" s="447">
        <v>15145394.350173239</v>
      </c>
      <c r="BZ53" s="455">
        <v>1.0833333333333333</v>
      </c>
      <c r="CA53" s="447">
        <v>16407510.546021007</v>
      </c>
      <c r="CB53" s="447">
        <v>12338892.671641631</v>
      </c>
      <c r="CC53" s="447">
        <v>12323790.84762331</v>
      </c>
      <c r="CD53" s="447">
        <v>12019415.982834145</v>
      </c>
      <c r="CE53" s="447">
        <v>12323790.84762331</v>
      </c>
      <c r="CF53" s="454">
        <v>1163.3900545287745</v>
      </c>
      <c r="CG53" s="450">
        <v>10593</v>
      </c>
      <c r="CH53" s="450">
        <v>141</v>
      </c>
      <c r="CI53" s="450">
        <v>501</v>
      </c>
      <c r="CJ53" s="450">
        <v>168</v>
      </c>
      <c r="CK53" s="450">
        <v>499</v>
      </c>
      <c r="CL53" s="450">
        <v>3242</v>
      </c>
      <c r="CM53" s="450">
        <v>549</v>
      </c>
      <c r="CN53" s="450">
        <v>679</v>
      </c>
      <c r="CO53" s="450">
        <v>367</v>
      </c>
      <c r="CP53" s="450">
        <v>49</v>
      </c>
      <c r="CQ53" s="450">
        <v>2100</v>
      </c>
      <c r="CR53" s="450">
        <v>1601</v>
      </c>
      <c r="CS53" s="450">
        <v>134</v>
      </c>
      <c r="CT53" s="450">
        <v>563</v>
      </c>
      <c r="CU53" s="450">
        <v>0</v>
      </c>
      <c r="CV53" s="450">
        <v>0</v>
      </c>
      <c r="CW53" s="447">
        <v>8097397.71822545</v>
      </c>
      <c r="CX53" s="452">
        <v>1.0575644597102671</v>
      </c>
      <c r="CY53" s="452">
        <v>1.0833333333333333</v>
      </c>
      <c r="CZ53" s="447">
        <v>8563520.042934248</v>
      </c>
      <c r="DA53" s="454">
        <v>808.4131070456195</v>
      </c>
      <c r="DB53" s="449">
        <v>10593.25</v>
      </c>
      <c r="DC53" s="452">
        <v>1.0159913152243174</v>
      </c>
      <c r="DD53" s="454">
        <v>343.7</v>
      </c>
      <c r="DE53" s="447">
        <v>75560</v>
      </c>
      <c r="DF53" s="454">
        <v>67.0840758342566</v>
      </c>
      <c r="DG53" s="454">
        <v>69.96869109512963</v>
      </c>
      <c r="DH53" s="454">
        <v>71.50800229922247</v>
      </c>
      <c r="DI53" s="454">
        <v>73.08117834980534</v>
      </c>
      <c r="DJ53" s="454">
        <v>75.49285723534891</v>
      </c>
      <c r="DK53" s="454">
        <v>78.21060009582145</v>
      </c>
      <c r="DL53" s="454">
        <v>80.71333929888772</v>
      </c>
      <c r="DM53" s="454">
        <v>84.02258621014211</v>
      </c>
      <c r="DN53" s="454">
        <v>87.71958000338834</v>
      </c>
      <c r="DO53" s="454">
        <v>92.5441569035747</v>
      </c>
      <c r="DP53" s="454">
        <v>91.71125949144253</v>
      </c>
      <c r="DQ53" s="454">
        <v>96.3885337255061</v>
      </c>
      <c r="DR53" s="454">
        <v>102.26823428276197</v>
      </c>
      <c r="DS53" s="454">
        <v>48.23</v>
      </c>
      <c r="DT53" s="454">
        <v>51.51275422992224</v>
      </c>
      <c r="DU53" s="454">
        <v>54.916606325961055</v>
      </c>
      <c r="DV53" s="454">
        <v>59.074354697296656</v>
      </c>
      <c r="DW53" s="454">
        <v>63.63096984203106</v>
      </c>
      <c r="DX53" s="454">
        <v>68.17485728062799</v>
      </c>
      <c r="DY53" s="454">
        <v>73.58053838533542</v>
      </c>
      <c r="DZ53" s="454">
        <v>78.02935962196774</v>
      </c>
      <c r="EA53" s="454">
        <v>80.58360975305489</v>
      </c>
      <c r="EB53" s="454">
        <v>83.71923746923997</v>
      </c>
      <c r="EC53" s="454">
        <v>89.66884160923819</v>
      </c>
      <c r="ED53" s="454">
        <v>96.92103928124178</v>
      </c>
      <c r="EE53" s="454">
        <v>-5.37</v>
      </c>
      <c r="EF53" s="454">
        <v>91.55103928124177</v>
      </c>
      <c r="EG53" s="454">
        <v>4760.654042624572</v>
      </c>
      <c r="EH53" s="447">
        <v>49422182.46829209</v>
      </c>
      <c r="EI53" s="454">
        <v>48.23</v>
      </c>
      <c r="EJ53" s="454">
        <v>51.51275422992224</v>
      </c>
      <c r="EK53" s="454">
        <v>54.916606325961055</v>
      </c>
      <c r="EL53" s="454">
        <v>59.074354697296656</v>
      </c>
      <c r="EM53" s="454">
        <v>63.63096984203106</v>
      </c>
      <c r="EN53" s="454">
        <v>68.17485728062799</v>
      </c>
      <c r="EO53" s="454">
        <v>73.58053838533542</v>
      </c>
      <c r="EP53" s="454">
        <v>78.02935962196774</v>
      </c>
      <c r="EQ53" s="454">
        <v>80.58360975305489</v>
      </c>
      <c r="ER53" s="454">
        <v>83.71923746923997</v>
      </c>
      <c r="ES53" s="454">
        <v>89.66884160923819</v>
      </c>
      <c r="ET53" s="454">
        <v>96.92103928124178</v>
      </c>
      <c r="EU53" s="447">
        <v>-5880604</v>
      </c>
      <c r="EV53" s="447">
        <v>0</v>
      </c>
      <c r="EW53" s="447">
        <v>0</v>
      </c>
      <c r="EX53" s="447">
        <v>0</v>
      </c>
      <c r="EY53" s="447">
        <v>0</v>
      </c>
      <c r="EZ53" s="447">
        <v>0</v>
      </c>
      <c r="FA53" s="447">
        <v>0</v>
      </c>
      <c r="FB53" s="447">
        <v>0</v>
      </c>
      <c r="FC53" s="447">
        <v>0</v>
      </c>
      <c r="FD53" s="447">
        <v>0</v>
      </c>
      <c r="FE53" s="447">
        <v>0</v>
      </c>
      <c r="FF53" s="447">
        <v>0</v>
      </c>
      <c r="FG53" s="447">
        <v>0</v>
      </c>
      <c r="FH53" s="447">
        <v>73000</v>
      </c>
      <c r="FI53" s="456">
        <v>0.0313</v>
      </c>
      <c r="FJ53" s="447">
        <v>2284.9</v>
      </c>
      <c r="FK53" s="471">
        <v>2284.9</v>
      </c>
      <c r="FL53" s="498">
        <v>96.37</v>
      </c>
      <c r="FM53" s="37">
        <v>89.59</v>
      </c>
      <c r="FN53" s="37">
        <v>83.33</v>
      </c>
      <c r="FO53" s="37">
        <v>-6.26</v>
      </c>
      <c r="FP53" s="40">
        <v>84.22</v>
      </c>
      <c r="FQ53" s="446">
        <v>0</v>
      </c>
      <c r="FR53" s="450">
        <v>0</v>
      </c>
      <c r="FS53" s="450">
        <v>0</v>
      </c>
      <c r="FT53" s="450">
        <v>0</v>
      </c>
      <c r="FU53" s="450">
        <v>0</v>
      </c>
      <c r="FV53" s="450">
        <v>0</v>
      </c>
      <c r="FW53" s="450">
        <v>0</v>
      </c>
      <c r="FX53" s="450">
        <v>0</v>
      </c>
      <c r="FY53" s="450">
        <v>0</v>
      </c>
      <c r="FZ53" s="450">
        <v>0</v>
      </c>
      <c r="GA53" s="450">
        <v>0</v>
      </c>
      <c r="GB53" s="450">
        <v>0</v>
      </c>
      <c r="GC53" s="450">
        <v>0</v>
      </c>
      <c r="GD53" s="450">
        <v>0</v>
      </c>
      <c r="GE53" s="450">
        <v>0</v>
      </c>
      <c r="GF53" s="450">
        <v>0</v>
      </c>
      <c r="GG53" s="450">
        <v>0</v>
      </c>
      <c r="GH53" s="450">
        <v>0</v>
      </c>
      <c r="GI53" s="450">
        <v>0</v>
      </c>
      <c r="GJ53" s="450">
        <v>0</v>
      </c>
      <c r="GK53" s="450">
        <v>0</v>
      </c>
      <c r="GL53" s="450">
        <v>0</v>
      </c>
      <c r="GM53" s="450">
        <v>0</v>
      </c>
      <c r="GN53" s="450">
        <v>0</v>
      </c>
      <c r="GO53" s="450">
        <v>0</v>
      </c>
      <c r="GP53" s="450">
        <v>0</v>
      </c>
      <c r="GQ53" s="450">
        <v>0</v>
      </c>
      <c r="GR53" s="450">
        <v>0</v>
      </c>
      <c r="GS53" s="450">
        <v>0</v>
      </c>
      <c r="GT53" s="450">
        <v>0</v>
      </c>
      <c r="GU53" s="450">
        <v>0</v>
      </c>
      <c r="GV53" s="450">
        <v>0</v>
      </c>
      <c r="GW53" s="450">
        <v>0</v>
      </c>
      <c r="GX53" s="450">
        <v>-8114558</v>
      </c>
      <c r="GY53" s="450">
        <v>-8114558</v>
      </c>
      <c r="GZ53" s="450">
        <v>0</v>
      </c>
      <c r="HA53" s="450" t="s">
        <v>888</v>
      </c>
      <c r="HB53" s="450" t="s">
        <v>888</v>
      </c>
      <c r="HC53" s="450">
        <v>0</v>
      </c>
      <c r="HD53" s="450">
        <v>0</v>
      </c>
      <c r="HE53" s="450">
        <v>0</v>
      </c>
      <c r="HF53" s="450">
        <v>0</v>
      </c>
      <c r="HG53" s="472">
        <v>0</v>
      </c>
    </row>
    <row r="54" spans="2:215" ht="12.75">
      <c r="B54" s="445" t="s">
        <v>729</v>
      </c>
      <c r="C54" s="446">
        <v>5443</v>
      </c>
      <c r="D54" s="447">
        <v>1299019</v>
      </c>
      <c r="E54" s="447">
        <v>1114558.302</v>
      </c>
      <c r="F54" s="447">
        <v>169532.11629142528</v>
      </c>
      <c r="G54" s="447">
        <v>184460.69800000003</v>
      </c>
      <c r="H54" s="448">
        <v>0.4526823442954253</v>
      </c>
      <c r="I54" s="449">
        <v>2056.79</v>
      </c>
      <c r="J54" s="449">
        <v>407.16</v>
      </c>
      <c r="K54" s="447">
        <v>1284090.418291425</v>
      </c>
      <c r="L54" s="447">
        <v>1027272.3346331401</v>
      </c>
      <c r="M54" s="447">
        <v>281844.04573294125</v>
      </c>
      <c r="N54" s="447">
        <v>256818.08365828497</v>
      </c>
      <c r="O54" s="450">
        <v>1.0974462612529854</v>
      </c>
      <c r="P54" s="451">
        <v>0.9250413374977035</v>
      </c>
      <c r="Q54" s="452">
        <v>0.07495866250229653</v>
      </c>
      <c r="R54" s="447">
        <v>1309116.3803660814</v>
      </c>
      <c r="S54" s="447">
        <v>884962.6731274711</v>
      </c>
      <c r="T54" s="447">
        <v>193276.74837553778</v>
      </c>
      <c r="U54" s="447">
        <v>246310.53364047137</v>
      </c>
      <c r="V54" s="447">
        <v>298478.53472346655</v>
      </c>
      <c r="W54" s="450">
        <v>0.8252202586985774</v>
      </c>
      <c r="X54" s="452">
        <v>14.486329901984925</v>
      </c>
      <c r="Y54" s="447">
        <v>193276.74837553778</v>
      </c>
      <c r="Z54" s="447">
        <v>125675.17251514381</v>
      </c>
      <c r="AA54" s="448">
        <v>1.5379071658107173</v>
      </c>
      <c r="AB54" s="448">
        <v>0.12098107661216241</v>
      </c>
      <c r="AC54" s="449">
        <v>621</v>
      </c>
      <c r="AD54" s="449">
        <v>696</v>
      </c>
      <c r="AE54" s="447">
        <v>1324549.9551434803</v>
      </c>
      <c r="AF54" s="447">
        <v>127201.07226283307</v>
      </c>
      <c r="AG54" s="451">
        <v>0.75</v>
      </c>
      <c r="AH54" s="450">
        <v>0.2962032656533784</v>
      </c>
      <c r="AI54" s="452">
        <v>0.24943570792675018</v>
      </c>
      <c r="AJ54" s="447">
        <v>1451751.0274063135</v>
      </c>
      <c r="AK54" s="453">
        <v>1</v>
      </c>
      <c r="AL54" s="447">
        <v>1451751.0274063135</v>
      </c>
      <c r="AM54" s="447">
        <v>3415189.0325913792</v>
      </c>
      <c r="AN54" s="447">
        <v>3381480.44092909</v>
      </c>
      <c r="AO54" s="447">
        <v>3245652.045031834</v>
      </c>
      <c r="AP54" s="447">
        <v>3381480.44092909</v>
      </c>
      <c r="AQ54" s="447">
        <v>21772</v>
      </c>
      <c r="AR54" s="447">
        <v>3403252.44092909</v>
      </c>
      <c r="AS54" s="454">
        <v>625.253066494413</v>
      </c>
      <c r="AT54" s="450">
        <v>5443</v>
      </c>
      <c r="AU54" s="450">
        <v>56</v>
      </c>
      <c r="AV54" s="450">
        <v>248</v>
      </c>
      <c r="AW54" s="450">
        <v>131</v>
      </c>
      <c r="AX54" s="450">
        <v>2</v>
      </c>
      <c r="AY54" s="450">
        <v>1457</v>
      </c>
      <c r="AZ54" s="450">
        <v>331</v>
      </c>
      <c r="BA54" s="450">
        <v>144</v>
      </c>
      <c r="BB54" s="450">
        <v>420</v>
      </c>
      <c r="BC54" s="450">
        <v>0</v>
      </c>
      <c r="BD54" s="450">
        <v>1903</v>
      </c>
      <c r="BE54" s="450">
        <v>408</v>
      </c>
      <c r="BF54" s="450">
        <v>0</v>
      </c>
      <c r="BG54" s="450">
        <v>343</v>
      </c>
      <c r="BH54" s="450">
        <v>0</v>
      </c>
      <c r="BI54" s="450">
        <v>0</v>
      </c>
      <c r="BJ54" s="452">
        <v>1.6221710484818208</v>
      </c>
      <c r="BK54" s="452">
        <v>18.033693550258977</v>
      </c>
      <c r="BL54" s="452">
        <v>12.046293072506074</v>
      </c>
      <c r="BM54" s="452">
        <v>11.974800955505804</v>
      </c>
      <c r="BN54" s="449">
        <v>5035</v>
      </c>
      <c r="BO54" s="449">
        <v>408</v>
      </c>
      <c r="BP54" s="447">
        <v>1713087.2470650328</v>
      </c>
      <c r="BQ54" s="447">
        <v>5638525</v>
      </c>
      <c r="BR54" s="447">
        <v>7521539</v>
      </c>
      <c r="BS54" s="448">
        <v>0.12098107661216241</v>
      </c>
      <c r="BT54" s="449">
        <v>621</v>
      </c>
      <c r="BU54" s="449">
        <v>696</v>
      </c>
      <c r="BV54" s="447">
        <v>909963.8860003675</v>
      </c>
      <c r="BW54" s="448">
        <v>0.01919464358163011</v>
      </c>
      <c r="BX54" s="447">
        <v>29778.808439515444</v>
      </c>
      <c r="BY54" s="447">
        <v>8291354.941504915</v>
      </c>
      <c r="BZ54" s="455">
        <v>0.9333333333333335</v>
      </c>
      <c r="CA54" s="447">
        <v>7738597.945404588</v>
      </c>
      <c r="CB54" s="447">
        <v>5819635.416933494</v>
      </c>
      <c r="CC54" s="447">
        <v>5812512.645688444</v>
      </c>
      <c r="CD54" s="447">
        <v>5803708.856431009</v>
      </c>
      <c r="CE54" s="447">
        <v>5812512.645688444</v>
      </c>
      <c r="CF54" s="454">
        <v>1067.8876806335559</v>
      </c>
      <c r="CG54" s="450">
        <v>5443</v>
      </c>
      <c r="CH54" s="450">
        <v>56</v>
      </c>
      <c r="CI54" s="450">
        <v>248</v>
      </c>
      <c r="CJ54" s="450">
        <v>131</v>
      </c>
      <c r="CK54" s="450">
        <v>2</v>
      </c>
      <c r="CL54" s="450">
        <v>1457</v>
      </c>
      <c r="CM54" s="450">
        <v>331</v>
      </c>
      <c r="CN54" s="450">
        <v>144</v>
      </c>
      <c r="CO54" s="450">
        <v>420</v>
      </c>
      <c r="CP54" s="450">
        <v>0</v>
      </c>
      <c r="CQ54" s="450">
        <v>1903</v>
      </c>
      <c r="CR54" s="450">
        <v>408</v>
      </c>
      <c r="CS54" s="450">
        <v>0</v>
      </c>
      <c r="CT54" s="450">
        <v>343</v>
      </c>
      <c r="CU54" s="450">
        <v>0</v>
      </c>
      <c r="CV54" s="450">
        <v>0</v>
      </c>
      <c r="CW54" s="447">
        <v>4180312.3554621385</v>
      </c>
      <c r="CX54" s="452">
        <v>0.9111324575965379</v>
      </c>
      <c r="CY54" s="452">
        <v>0.9333333333333335</v>
      </c>
      <c r="CZ54" s="447">
        <v>3808818.2699533906</v>
      </c>
      <c r="DA54" s="454">
        <v>699.7645177206302</v>
      </c>
      <c r="DB54" s="449">
        <v>5443</v>
      </c>
      <c r="DC54" s="452">
        <v>0.9911813338232592</v>
      </c>
      <c r="DD54" s="454">
        <v>289.7</v>
      </c>
      <c r="DE54" s="447">
        <v>27077</v>
      </c>
      <c r="DF54" s="454">
        <v>43.61709894175934</v>
      </c>
      <c r="DG54" s="454">
        <v>45.49263419625498</v>
      </c>
      <c r="DH54" s="454">
        <v>46.493472148572586</v>
      </c>
      <c r="DI54" s="454">
        <v>47.516328535841176</v>
      </c>
      <c r="DJ54" s="454">
        <v>49.08436737752393</v>
      </c>
      <c r="DK54" s="454">
        <v>50.85140460311479</v>
      </c>
      <c r="DL54" s="454">
        <v>52.47864955041445</v>
      </c>
      <c r="DM54" s="454">
        <v>54.63027418198144</v>
      </c>
      <c r="DN54" s="454">
        <v>57.034006245988614</v>
      </c>
      <c r="DO54" s="454">
        <v>60.17087658951798</v>
      </c>
      <c r="DP54" s="454">
        <v>59.629338700212315</v>
      </c>
      <c r="DQ54" s="454">
        <v>62.670434973923136</v>
      </c>
      <c r="DR54" s="454">
        <v>66.49333150733244</v>
      </c>
      <c r="DS54" s="454">
        <v>34.7</v>
      </c>
      <c r="DT54" s="454">
        <v>36.56640721485725</v>
      </c>
      <c r="DU54" s="454">
        <v>38.49814154716822</v>
      </c>
      <c r="DV54" s="454">
        <v>40.93305361313716</v>
      </c>
      <c r="DW54" s="454">
        <v>43.613037980339335</v>
      </c>
      <c r="DX54" s="454">
        <v>46.25365425482756</v>
      </c>
      <c r="DY54" s="454">
        <v>49.44609809981667</v>
      </c>
      <c r="DZ54" s="454">
        <v>52.22309084173971</v>
      </c>
      <c r="EA54" s="454">
        <v>53.81481273870697</v>
      </c>
      <c r="EB54" s="454">
        <v>55.38222511661682</v>
      </c>
      <c r="EC54" s="454">
        <v>59.099461872836045</v>
      </c>
      <c r="ED54" s="454">
        <v>63.651729662142394</v>
      </c>
      <c r="EE54" s="454">
        <v>-0.33</v>
      </c>
      <c r="EF54" s="454">
        <v>63.321729662142396</v>
      </c>
      <c r="EG54" s="454">
        <v>3292.7299424314047</v>
      </c>
      <c r="EH54" s="447">
        <v>17563882.495121054</v>
      </c>
      <c r="EI54" s="454">
        <v>40.62</v>
      </c>
      <c r="EJ54" s="454">
        <v>42.011623214857245</v>
      </c>
      <c r="EK54" s="454">
        <v>43.44481777116822</v>
      </c>
      <c r="EL54" s="454">
        <v>45.40423058510516</v>
      </c>
      <c r="EM54" s="454">
        <v>47.58344313144692</v>
      </c>
      <c r="EN54" s="454">
        <v>49.668202684780084</v>
      </c>
      <c r="EO54" s="454">
        <v>52.28973403228114</v>
      </c>
      <c r="EP54" s="454">
        <v>54.861984987066734</v>
      </c>
      <c r="EQ54" s="454">
        <v>56.331438121967174</v>
      </c>
      <c r="ER54" s="454">
        <v>57.06383091872056</v>
      </c>
      <c r="ES54" s="454">
        <v>60.51335603124487</v>
      </c>
      <c r="ET54" s="454">
        <v>64.77683593869622</v>
      </c>
      <c r="EU54" s="447">
        <v>32714490</v>
      </c>
      <c r="EV54" s="447">
        <v>0</v>
      </c>
      <c r="EW54" s="447">
        <v>0</v>
      </c>
      <c r="EX54" s="447">
        <v>0</v>
      </c>
      <c r="EY54" s="447">
        <v>0</v>
      </c>
      <c r="EZ54" s="447">
        <v>0</v>
      </c>
      <c r="FA54" s="447">
        <v>0</v>
      </c>
      <c r="FB54" s="447">
        <v>0</v>
      </c>
      <c r="FC54" s="447">
        <v>0</v>
      </c>
      <c r="FD54" s="447">
        <v>32714490</v>
      </c>
      <c r="FE54" s="447">
        <v>56514.430716828065</v>
      </c>
      <c r="FF54" s="447">
        <v>0</v>
      </c>
      <c r="FG54" s="447">
        <v>0</v>
      </c>
      <c r="FH54" s="447">
        <v>11285</v>
      </c>
      <c r="FI54" s="456">
        <v>0.0452</v>
      </c>
      <c r="FJ54" s="447">
        <v>510.082</v>
      </c>
      <c r="FK54" s="471">
        <v>510.082</v>
      </c>
      <c r="FL54" s="498">
        <v>62.68</v>
      </c>
      <c r="FM54" s="37">
        <v>59.94</v>
      </c>
      <c r="FN54" s="37">
        <v>59.61</v>
      </c>
      <c r="FO54" s="37">
        <v>-0.33</v>
      </c>
      <c r="FP54" s="40">
        <v>59.61</v>
      </c>
      <c r="FQ54" s="446">
        <v>184519</v>
      </c>
      <c r="FR54" s="450">
        <v>68709</v>
      </c>
      <c r="FS54" s="450">
        <v>0</v>
      </c>
      <c r="FT54" s="450">
        <v>0</v>
      </c>
      <c r="FU54" s="450">
        <v>0</v>
      </c>
      <c r="FV54" s="450">
        <v>0</v>
      </c>
      <c r="FW54" s="450">
        <v>0</v>
      </c>
      <c r="FX54" s="450">
        <v>0</v>
      </c>
      <c r="FY54" s="450">
        <v>0</v>
      </c>
      <c r="FZ54" s="450">
        <v>0</v>
      </c>
      <c r="GA54" s="450">
        <v>0</v>
      </c>
      <c r="GB54" s="450">
        <v>0</v>
      </c>
      <c r="GC54" s="450">
        <v>0</v>
      </c>
      <c r="GD54" s="450">
        <v>0</v>
      </c>
      <c r="GE54" s="450">
        <v>0</v>
      </c>
      <c r="GF54" s="450">
        <v>0</v>
      </c>
      <c r="GG54" s="450">
        <v>0</v>
      </c>
      <c r="GH54" s="450">
        <v>0</v>
      </c>
      <c r="GI54" s="450">
        <v>0</v>
      </c>
      <c r="GJ54" s="450">
        <v>0</v>
      </c>
      <c r="GK54" s="450">
        <v>0</v>
      </c>
      <c r="GL54" s="450">
        <v>0</v>
      </c>
      <c r="GM54" s="450">
        <v>0</v>
      </c>
      <c r="GN54" s="450">
        <v>0</v>
      </c>
      <c r="GO54" s="450">
        <v>0</v>
      </c>
      <c r="GP54" s="450">
        <v>0</v>
      </c>
      <c r="GQ54" s="450">
        <v>0</v>
      </c>
      <c r="GR54" s="450">
        <v>0</v>
      </c>
      <c r="GS54" s="450">
        <v>0</v>
      </c>
      <c r="GT54" s="450">
        <v>0</v>
      </c>
      <c r="GU54" s="450">
        <v>0</v>
      </c>
      <c r="GV54" s="450">
        <v>0</v>
      </c>
      <c r="GW54" s="450">
        <v>3521585</v>
      </c>
      <c r="GX54" s="450">
        <v>37241816</v>
      </c>
      <c r="GY54" s="450">
        <v>41092737</v>
      </c>
      <c r="GZ54" s="450">
        <v>32</v>
      </c>
      <c r="HA54" s="450" t="s">
        <v>888</v>
      </c>
      <c r="HB54" s="450" t="s">
        <v>888</v>
      </c>
      <c r="HC54" s="450">
        <v>76</v>
      </c>
      <c r="HD54" s="450">
        <v>0</v>
      </c>
      <c r="HE54" s="450">
        <v>0</v>
      </c>
      <c r="HF54" s="450">
        <v>0</v>
      </c>
      <c r="HG54" s="472">
        <v>0</v>
      </c>
    </row>
    <row r="55" spans="2:215" ht="12.75">
      <c r="B55" s="445" t="s">
        <v>730</v>
      </c>
      <c r="C55" s="446">
        <v>4337.25</v>
      </c>
      <c r="D55" s="447">
        <v>1041379.25</v>
      </c>
      <c r="E55" s="447">
        <v>893503.3965</v>
      </c>
      <c r="F55" s="447">
        <v>141034.17024374244</v>
      </c>
      <c r="G55" s="447">
        <v>147875.85350000003</v>
      </c>
      <c r="H55" s="448">
        <v>0.4697561819125022</v>
      </c>
      <c r="I55" s="449">
        <v>1725.71</v>
      </c>
      <c r="J55" s="449">
        <v>311.74</v>
      </c>
      <c r="K55" s="447">
        <v>1034537.5667437424</v>
      </c>
      <c r="L55" s="447">
        <v>827630.053394994</v>
      </c>
      <c r="M55" s="447">
        <v>263578.3947788356</v>
      </c>
      <c r="N55" s="447">
        <v>206907.51334874844</v>
      </c>
      <c r="O55" s="450">
        <v>1.2738947489768861</v>
      </c>
      <c r="P55" s="451">
        <v>0.7892097527234999</v>
      </c>
      <c r="Q55" s="452">
        <v>0.21073260706668973</v>
      </c>
      <c r="R55" s="447">
        <v>1091208.4481738296</v>
      </c>
      <c r="S55" s="447">
        <v>737656.9109655089</v>
      </c>
      <c r="T55" s="447">
        <v>111604.46957364341</v>
      </c>
      <c r="U55" s="447">
        <v>232486.44995434268</v>
      </c>
      <c r="V55" s="447">
        <v>248795.52618363316</v>
      </c>
      <c r="W55" s="450">
        <v>0.9344478717947166</v>
      </c>
      <c r="X55" s="452">
        <v>16.403766151323296</v>
      </c>
      <c r="Y55" s="447">
        <v>111604.46957364341</v>
      </c>
      <c r="Z55" s="447">
        <v>104756.01102468764</v>
      </c>
      <c r="AA55" s="448">
        <v>1.065375327696869</v>
      </c>
      <c r="AB55" s="448">
        <v>0.08380886506426884</v>
      </c>
      <c r="AC55" s="449">
        <v>359</v>
      </c>
      <c r="AD55" s="449">
        <v>368</v>
      </c>
      <c r="AE55" s="447">
        <v>1081747.8304934949</v>
      </c>
      <c r="AF55" s="447">
        <v>0</v>
      </c>
      <c r="AG55" s="451">
        <v>0</v>
      </c>
      <c r="AH55" s="450">
        <v>0.07037077194927047</v>
      </c>
      <c r="AI55" s="452">
        <v>0.05925992503762245</v>
      </c>
      <c r="AJ55" s="447">
        <v>1081747.8304934949</v>
      </c>
      <c r="AK55" s="453">
        <v>1.072</v>
      </c>
      <c r="AL55" s="447">
        <v>1159633.6742890265</v>
      </c>
      <c r="AM55" s="447">
        <v>2727994.07852398</v>
      </c>
      <c r="AN55" s="447">
        <v>2701068.2370632123</v>
      </c>
      <c r="AO55" s="447">
        <v>2624962.657227178</v>
      </c>
      <c r="AP55" s="447">
        <v>2701068.2370632123</v>
      </c>
      <c r="AQ55" s="447">
        <v>17349</v>
      </c>
      <c r="AR55" s="447">
        <v>2718417.2370632123</v>
      </c>
      <c r="AS55" s="454">
        <v>626.7605595857311</v>
      </c>
      <c r="AT55" s="450">
        <v>4337</v>
      </c>
      <c r="AU55" s="450">
        <v>218</v>
      </c>
      <c r="AV55" s="450">
        <v>383</v>
      </c>
      <c r="AW55" s="450">
        <v>410</v>
      </c>
      <c r="AX55" s="450">
        <v>0</v>
      </c>
      <c r="AY55" s="450">
        <v>796</v>
      </c>
      <c r="AZ55" s="450">
        <v>114</v>
      </c>
      <c r="BA55" s="450">
        <v>95</v>
      </c>
      <c r="BB55" s="450">
        <v>143</v>
      </c>
      <c r="BC55" s="450">
        <v>14</v>
      </c>
      <c r="BD55" s="450">
        <v>1011</v>
      </c>
      <c r="BE55" s="450">
        <v>914</v>
      </c>
      <c r="BF55" s="450">
        <v>0</v>
      </c>
      <c r="BG55" s="450">
        <v>239</v>
      </c>
      <c r="BH55" s="450">
        <v>0</v>
      </c>
      <c r="BI55" s="450">
        <v>0</v>
      </c>
      <c r="BJ55" s="452">
        <v>1.5601606616730068</v>
      </c>
      <c r="BK55" s="452">
        <v>12.714479773570954</v>
      </c>
      <c r="BL55" s="452">
        <v>7.894447774183693</v>
      </c>
      <c r="BM55" s="452">
        <v>9.64006399877452</v>
      </c>
      <c r="BN55" s="449">
        <v>3423</v>
      </c>
      <c r="BO55" s="449">
        <v>914</v>
      </c>
      <c r="BP55" s="447">
        <v>1386042.0513483142</v>
      </c>
      <c r="BQ55" s="447">
        <v>4785991</v>
      </c>
      <c r="BR55" s="447">
        <v>5992776</v>
      </c>
      <c r="BS55" s="448">
        <v>0.08381369610329721</v>
      </c>
      <c r="BT55" s="449">
        <v>359</v>
      </c>
      <c r="BU55" s="449">
        <v>368</v>
      </c>
      <c r="BV55" s="447">
        <v>502276.70647913305</v>
      </c>
      <c r="BW55" s="448">
        <v>0.0050052386389513705</v>
      </c>
      <c r="BX55" s="447">
        <v>4362.315276380669</v>
      </c>
      <c r="BY55" s="447">
        <v>6678672.073103828</v>
      </c>
      <c r="BZ55" s="455">
        <v>1.0666666666666667</v>
      </c>
      <c r="CA55" s="447">
        <v>7123916.877977417</v>
      </c>
      <c r="CB55" s="447">
        <v>5357378.592718726</v>
      </c>
      <c r="CC55" s="447">
        <v>5350821.587089468</v>
      </c>
      <c r="CD55" s="447">
        <v>5241461.16696166</v>
      </c>
      <c r="CE55" s="447">
        <v>5350821.587089468</v>
      </c>
      <c r="CF55" s="454">
        <v>1233.7610299952657</v>
      </c>
      <c r="CG55" s="450">
        <v>4337</v>
      </c>
      <c r="CH55" s="450">
        <v>218</v>
      </c>
      <c r="CI55" s="450">
        <v>383</v>
      </c>
      <c r="CJ55" s="450">
        <v>410</v>
      </c>
      <c r="CK55" s="450">
        <v>0</v>
      </c>
      <c r="CL55" s="450">
        <v>796</v>
      </c>
      <c r="CM55" s="450">
        <v>114</v>
      </c>
      <c r="CN55" s="450">
        <v>95</v>
      </c>
      <c r="CO55" s="450">
        <v>143</v>
      </c>
      <c r="CP55" s="450">
        <v>14</v>
      </c>
      <c r="CQ55" s="450">
        <v>1011</v>
      </c>
      <c r="CR55" s="450">
        <v>914</v>
      </c>
      <c r="CS55" s="450">
        <v>0</v>
      </c>
      <c r="CT55" s="450">
        <v>239</v>
      </c>
      <c r="CU55" s="450">
        <v>0</v>
      </c>
      <c r="CV55" s="450">
        <v>0</v>
      </c>
      <c r="CW55" s="447">
        <v>3165239.5355465394</v>
      </c>
      <c r="CX55" s="452">
        <v>1.0412942372531862</v>
      </c>
      <c r="CY55" s="452">
        <v>1.0666666666666667</v>
      </c>
      <c r="CZ55" s="447">
        <v>3295945.6878905627</v>
      </c>
      <c r="DA55" s="454">
        <v>759.9598081370908</v>
      </c>
      <c r="DB55" s="449">
        <v>4337.25</v>
      </c>
      <c r="DC55" s="452">
        <v>1.0009280073779467</v>
      </c>
      <c r="DD55" s="454">
        <v>316.4</v>
      </c>
      <c r="DE55" s="447">
        <v>51710</v>
      </c>
      <c r="DF55" s="454">
        <v>55.301040429063285</v>
      </c>
      <c r="DG55" s="454">
        <v>57.678985167513005</v>
      </c>
      <c r="DH55" s="454">
        <v>58.94792284119828</v>
      </c>
      <c r="DI55" s="454">
        <v>60.244777143704624</v>
      </c>
      <c r="DJ55" s="454">
        <v>62.23285478944687</v>
      </c>
      <c r="DK55" s="454">
        <v>64.47323756186694</v>
      </c>
      <c r="DL55" s="454">
        <v>66.53638116384667</v>
      </c>
      <c r="DM55" s="454">
        <v>69.26437279156438</v>
      </c>
      <c r="DN55" s="454">
        <v>72.31200519439321</v>
      </c>
      <c r="DO55" s="454">
        <v>76.28916548008483</v>
      </c>
      <c r="DP55" s="454">
        <v>75.60256299076407</v>
      </c>
      <c r="DQ55" s="454">
        <v>79.45829370329304</v>
      </c>
      <c r="DR55" s="454">
        <v>84.3052496191939</v>
      </c>
      <c r="DS55" s="454">
        <v>48.22</v>
      </c>
      <c r="DT55" s="454">
        <v>50.247548284119816</v>
      </c>
      <c r="DU55" s="454">
        <v>52.340970212740906</v>
      </c>
      <c r="DV55" s="454">
        <v>55.08880129972204</v>
      </c>
      <c r="DW55" s="454">
        <v>58.129318062991295</v>
      </c>
      <c r="DX55" s="454">
        <v>61.08061039481362</v>
      </c>
      <c r="DY55" s="454">
        <v>64.72080689511365</v>
      </c>
      <c r="DZ55" s="454">
        <v>68.09557604248693</v>
      </c>
      <c r="EA55" s="454">
        <v>70.02642538452402</v>
      </c>
      <c r="EB55" s="454">
        <v>71.41780821883228</v>
      </c>
      <c r="EC55" s="454">
        <v>75.93975189105278</v>
      </c>
      <c r="ED55" s="454">
        <v>81.50536997210372</v>
      </c>
      <c r="EE55" s="454">
        <v>0</v>
      </c>
      <c r="EF55" s="454">
        <v>81.50536997210372</v>
      </c>
      <c r="EG55" s="454">
        <v>4238.279238549394</v>
      </c>
      <c r="EH55" s="447">
        <v>18014827.09485039</v>
      </c>
      <c r="EI55" s="454">
        <v>51.59</v>
      </c>
      <c r="EJ55" s="454">
        <v>53.34727428411982</v>
      </c>
      <c r="EK55" s="454">
        <v>55.156899076740906</v>
      </c>
      <c r="EL55" s="454">
        <v>57.63404900167004</v>
      </c>
      <c r="EM55" s="454">
        <v>60.38949802232112</v>
      </c>
      <c r="EN55" s="454">
        <v>63.02436515983727</v>
      </c>
      <c r="EO55" s="454">
        <v>66.33956586342535</v>
      </c>
      <c r="EP55" s="454">
        <v>69.59778436508019</v>
      </c>
      <c r="EQ55" s="454">
        <v>71.45903138817046</v>
      </c>
      <c r="ER55" s="454">
        <v>72.3750736838812</v>
      </c>
      <c r="ES55" s="454">
        <v>76.74462069406592</v>
      </c>
      <c r="ET55" s="454">
        <v>82.14584432210142</v>
      </c>
      <c r="EU55" s="447">
        <v>-817540</v>
      </c>
      <c r="EV55" s="447">
        <v>0</v>
      </c>
      <c r="EW55" s="447">
        <v>0</v>
      </c>
      <c r="EX55" s="447">
        <v>0</v>
      </c>
      <c r="EY55" s="447">
        <v>0</v>
      </c>
      <c r="EZ55" s="447">
        <v>0</v>
      </c>
      <c r="FA55" s="447">
        <v>0</v>
      </c>
      <c r="FB55" s="447">
        <v>0</v>
      </c>
      <c r="FC55" s="447">
        <v>0</v>
      </c>
      <c r="FD55" s="447">
        <v>0</v>
      </c>
      <c r="FE55" s="447">
        <v>0</v>
      </c>
      <c r="FF55" s="447">
        <v>0</v>
      </c>
      <c r="FG55" s="447">
        <v>0</v>
      </c>
      <c r="FH55" s="447">
        <v>42623</v>
      </c>
      <c r="FI55" s="456">
        <v>0.0313</v>
      </c>
      <c r="FJ55" s="447">
        <v>1334.0999000000002</v>
      </c>
      <c r="FK55" s="471">
        <v>1334.0999000000002</v>
      </c>
      <c r="FL55" s="498">
        <v>79.52</v>
      </c>
      <c r="FM55" s="37">
        <v>77.04</v>
      </c>
      <c r="FN55" s="37">
        <v>75.76</v>
      </c>
      <c r="FO55" s="37">
        <v>-1.28</v>
      </c>
      <c r="FP55" s="40">
        <v>78.69</v>
      </c>
      <c r="FQ55" s="446">
        <v>0</v>
      </c>
      <c r="FR55" s="450">
        <v>0</v>
      </c>
      <c r="FS55" s="450">
        <v>0</v>
      </c>
      <c r="FT55" s="450">
        <v>0</v>
      </c>
      <c r="FU55" s="450">
        <v>0</v>
      </c>
      <c r="FV55" s="450">
        <v>0</v>
      </c>
      <c r="FW55" s="450">
        <v>0</v>
      </c>
      <c r="FX55" s="450">
        <v>0</v>
      </c>
      <c r="FY55" s="450">
        <v>0</v>
      </c>
      <c r="FZ55" s="450">
        <v>0</v>
      </c>
      <c r="GA55" s="450">
        <v>0</v>
      </c>
      <c r="GB55" s="450">
        <v>0</v>
      </c>
      <c r="GC55" s="450">
        <v>0</v>
      </c>
      <c r="GD55" s="450">
        <v>0</v>
      </c>
      <c r="GE55" s="450">
        <v>0</v>
      </c>
      <c r="GF55" s="450">
        <v>0</v>
      </c>
      <c r="GG55" s="450">
        <v>0</v>
      </c>
      <c r="GH55" s="450">
        <v>0</v>
      </c>
      <c r="GI55" s="450">
        <v>0</v>
      </c>
      <c r="GJ55" s="450">
        <v>0</v>
      </c>
      <c r="GK55" s="450">
        <v>0</v>
      </c>
      <c r="GL55" s="450">
        <v>0</v>
      </c>
      <c r="GM55" s="450">
        <v>0</v>
      </c>
      <c r="GN55" s="450">
        <v>0</v>
      </c>
      <c r="GO55" s="450">
        <v>0</v>
      </c>
      <c r="GP55" s="450">
        <v>0</v>
      </c>
      <c r="GQ55" s="450">
        <v>0</v>
      </c>
      <c r="GR55" s="450">
        <v>0</v>
      </c>
      <c r="GS55" s="450">
        <v>0</v>
      </c>
      <c r="GT55" s="450">
        <v>0</v>
      </c>
      <c r="GU55" s="450">
        <v>0</v>
      </c>
      <c r="GV55" s="450">
        <v>0</v>
      </c>
      <c r="GW55" s="450">
        <v>0</v>
      </c>
      <c r="GX55" s="450">
        <v>-2789000</v>
      </c>
      <c r="GY55" s="450">
        <v>-2789000</v>
      </c>
      <c r="GZ55" s="450">
        <v>0</v>
      </c>
      <c r="HA55" s="450" t="s">
        <v>888</v>
      </c>
      <c r="HB55" s="450" t="s">
        <v>888</v>
      </c>
      <c r="HC55" s="450">
        <v>0</v>
      </c>
      <c r="HD55" s="450">
        <v>0</v>
      </c>
      <c r="HE55" s="450">
        <v>0</v>
      </c>
      <c r="HF55" s="450">
        <v>0</v>
      </c>
      <c r="HG55" s="472">
        <v>0</v>
      </c>
    </row>
    <row r="56" spans="2:215" ht="12.75">
      <c r="B56" s="445" t="s">
        <v>731</v>
      </c>
      <c r="C56" s="446">
        <v>13512</v>
      </c>
      <c r="D56" s="447">
        <v>3179096</v>
      </c>
      <c r="E56" s="447">
        <v>2727664.368</v>
      </c>
      <c r="F56" s="447">
        <v>339376.4777469852</v>
      </c>
      <c r="G56" s="447">
        <v>451431.63200000004</v>
      </c>
      <c r="H56" s="448">
        <v>0.3702841918294849</v>
      </c>
      <c r="I56" s="449">
        <v>3802.08</v>
      </c>
      <c r="J56" s="449">
        <v>1201.2</v>
      </c>
      <c r="K56" s="447">
        <v>3067040.845746985</v>
      </c>
      <c r="L56" s="447">
        <v>2453632.676597588</v>
      </c>
      <c r="M56" s="447">
        <v>682457.4457388162</v>
      </c>
      <c r="N56" s="447">
        <v>613408.1691493969</v>
      </c>
      <c r="O56" s="450">
        <v>1.1125666074600356</v>
      </c>
      <c r="P56" s="451">
        <v>0.9134103019538188</v>
      </c>
      <c r="Q56" s="452">
        <v>0.08658969804618118</v>
      </c>
      <c r="R56" s="447">
        <v>3136090.1223364044</v>
      </c>
      <c r="S56" s="447">
        <v>2119996.9226994095</v>
      </c>
      <c r="T56" s="447">
        <v>351499.40005351795</v>
      </c>
      <c r="U56" s="447">
        <v>844044.7564532249</v>
      </c>
      <c r="V56" s="447">
        <v>715028.5478927002</v>
      </c>
      <c r="W56" s="450">
        <v>1.180435045482807</v>
      </c>
      <c r="X56" s="452">
        <v>20.72194825136326</v>
      </c>
      <c r="Y56" s="447">
        <v>351499.40005351795</v>
      </c>
      <c r="Z56" s="447">
        <v>301064.65174429485</v>
      </c>
      <c r="AA56" s="448">
        <v>1.1675213214736986</v>
      </c>
      <c r="AB56" s="448">
        <v>0.09184428656009473</v>
      </c>
      <c r="AC56" s="449">
        <v>1215</v>
      </c>
      <c r="AD56" s="449">
        <v>1267</v>
      </c>
      <c r="AE56" s="447">
        <v>3315541.0792061524</v>
      </c>
      <c r="AF56" s="447">
        <v>373248.2094716547</v>
      </c>
      <c r="AG56" s="451">
        <v>0.75</v>
      </c>
      <c r="AH56" s="450">
        <v>0.3703435525676906</v>
      </c>
      <c r="AI56" s="452">
        <v>0.3118699789047241</v>
      </c>
      <c r="AJ56" s="447">
        <v>3688789.288677807</v>
      </c>
      <c r="AK56" s="453">
        <v>1</v>
      </c>
      <c r="AL56" s="447">
        <v>3688789.288677807</v>
      </c>
      <c r="AM56" s="447">
        <v>8677736.39171472</v>
      </c>
      <c r="AN56" s="447">
        <v>8592085.416090878</v>
      </c>
      <c r="AO56" s="447">
        <v>8119978.302775043</v>
      </c>
      <c r="AP56" s="447">
        <v>8592085.416090878</v>
      </c>
      <c r="AQ56" s="447">
        <v>54048</v>
      </c>
      <c r="AR56" s="447">
        <v>8646133.416090878</v>
      </c>
      <c r="AS56" s="454">
        <v>639.8855399712018</v>
      </c>
      <c r="AT56" s="450">
        <v>13488</v>
      </c>
      <c r="AU56" s="450">
        <v>1290</v>
      </c>
      <c r="AV56" s="450">
        <v>2406</v>
      </c>
      <c r="AW56" s="450">
        <v>282</v>
      </c>
      <c r="AX56" s="450">
        <v>174</v>
      </c>
      <c r="AY56" s="450">
        <v>1260</v>
      </c>
      <c r="AZ56" s="450">
        <v>306</v>
      </c>
      <c r="BA56" s="450">
        <v>519</v>
      </c>
      <c r="BB56" s="450">
        <v>1668</v>
      </c>
      <c r="BC56" s="450">
        <v>81</v>
      </c>
      <c r="BD56" s="450">
        <v>3016</v>
      </c>
      <c r="BE56" s="450">
        <v>1082</v>
      </c>
      <c r="BF56" s="450">
        <v>79</v>
      </c>
      <c r="BG56" s="450">
        <v>1325</v>
      </c>
      <c r="BH56" s="450">
        <v>0</v>
      </c>
      <c r="BI56" s="450">
        <v>0</v>
      </c>
      <c r="BJ56" s="452">
        <v>1.6433933961348268</v>
      </c>
      <c r="BK56" s="452">
        <v>18.23525656369529</v>
      </c>
      <c r="BL56" s="452">
        <v>11.883802055683262</v>
      </c>
      <c r="BM56" s="452">
        <v>12.70290901602406</v>
      </c>
      <c r="BN56" s="449">
        <v>12327</v>
      </c>
      <c r="BO56" s="449">
        <v>1161</v>
      </c>
      <c r="BP56" s="447">
        <v>4730695.237621258</v>
      </c>
      <c r="BQ56" s="447">
        <v>14218283</v>
      </c>
      <c r="BR56" s="447">
        <v>18972674</v>
      </c>
      <c r="BS56" s="448">
        <v>0.09200771055753262</v>
      </c>
      <c r="BT56" s="449">
        <v>1215</v>
      </c>
      <c r="BU56" s="449">
        <v>1267</v>
      </c>
      <c r="BV56" s="447">
        <v>1745632.2978944248</v>
      </c>
      <c r="BW56" s="448">
        <v>0.018719580816863358</v>
      </c>
      <c r="BX56" s="447">
        <v>72771.24396379865</v>
      </c>
      <c r="BY56" s="447">
        <v>20767381.77947948</v>
      </c>
      <c r="BZ56" s="455">
        <v>0.9133333333333334</v>
      </c>
      <c r="CA56" s="447">
        <v>18967542.02525793</v>
      </c>
      <c r="CB56" s="447">
        <v>14264105.736093313</v>
      </c>
      <c r="CC56" s="447">
        <v>14246647.60428702</v>
      </c>
      <c r="CD56" s="447">
        <v>13977098.645693792</v>
      </c>
      <c r="CE56" s="447">
        <v>14246647.60428702</v>
      </c>
      <c r="CF56" s="454">
        <v>1056.2461153830827</v>
      </c>
      <c r="CG56" s="450">
        <v>13488</v>
      </c>
      <c r="CH56" s="450">
        <v>1290</v>
      </c>
      <c r="CI56" s="450">
        <v>2406</v>
      </c>
      <c r="CJ56" s="450">
        <v>282</v>
      </c>
      <c r="CK56" s="450">
        <v>174</v>
      </c>
      <c r="CL56" s="450">
        <v>1260</v>
      </c>
      <c r="CM56" s="450">
        <v>306</v>
      </c>
      <c r="CN56" s="450">
        <v>519</v>
      </c>
      <c r="CO56" s="450">
        <v>1668</v>
      </c>
      <c r="CP56" s="450">
        <v>81</v>
      </c>
      <c r="CQ56" s="450">
        <v>3016</v>
      </c>
      <c r="CR56" s="450">
        <v>1082</v>
      </c>
      <c r="CS56" s="450">
        <v>79</v>
      </c>
      <c r="CT56" s="450">
        <v>1325</v>
      </c>
      <c r="CU56" s="450">
        <v>0</v>
      </c>
      <c r="CV56" s="450">
        <v>0</v>
      </c>
      <c r="CW56" s="447">
        <v>9100873.811571542</v>
      </c>
      <c r="CX56" s="452">
        <v>0.8916081906480408</v>
      </c>
      <c r="CY56" s="452">
        <v>0.9133333333333334</v>
      </c>
      <c r="CZ56" s="447">
        <v>8114413.632451441</v>
      </c>
      <c r="DA56" s="454">
        <v>601.6024341971709</v>
      </c>
      <c r="DB56" s="449">
        <v>13512</v>
      </c>
      <c r="DC56" s="452">
        <v>1.0174807578448786</v>
      </c>
      <c r="DD56" s="454">
        <v>321.1</v>
      </c>
      <c r="DE56" s="447">
        <v>27669</v>
      </c>
      <c r="DF56" s="454">
        <v>48.593489777170625</v>
      </c>
      <c r="DG56" s="454">
        <v>50.683009837588955</v>
      </c>
      <c r="DH56" s="454">
        <v>51.7980360540159</v>
      </c>
      <c r="DI56" s="454">
        <v>52.93759284720424</v>
      </c>
      <c r="DJ56" s="454">
        <v>54.68453341116198</v>
      </c>
      <c r="DK56" s="454">
        <v>56.6531766139638</v>
      </c>
      <c r="DL56" s="454">
        <v>58.46607826561063</v>
      </c>
      <c r="DM56" s="454">
        <v>60.86318747450066</v>
      </c>
      <c r="DN56" s="454">
        <v>63.54116772337868</v>
      </c>
      <c r="DO56" s="454">
        <v>67.0359319481645</v>
      </c>
      <c r="DP56" s="454">
        <v>66.43260856063102</v>
      </c>
      <c r="DQ56" s="454">
        <v>69.8206715972232</v>
      </c>
      <c r="DR56" s="454">
        <v>74.07973256465381</v>
      </c>
      <c r="DS56" s="454">
        <v>36.21</v>
      </c>
      <c r="DT56" s="454">
        <v>38.485761605401585</v>
      </c>
      <c r="DU56" s="454">
        <v>40.844131081440835</v>
      </c>
      <c r="DV56" s="454">
        <v>43.75355565763258</v>
      </c>
      <c r="DW56" s="454">
        <v>46.9464683688297</v>
      </c>
      <c r="DX56" s="454">
        <v>50.11830917479531</v>
      </c>
      <c r="DY56" s="454">
        <v>53.91116537566966</v>
      </c>
      <c r="DZ56" s="454">
        <v>57.08969121566351</v>
      </c>
      <c r="EA56" s="454">
        <v>58.91359765254873</v>
      </c>
      <c r="EB56" s="454">
        <v>61.00527536714655</v>
      </c>
      <c r="EC56" s="454">
        <v>65.25736984814147</v>
      </c>
      <c r="ED56" s="454">
        <v>70.44848519782202</v>
      </c>
      <c r="EE56" s="454">
        <v>-1.53</v>
      </c>
      <c r="EF56" s="454">
        <v>68.91848519782202</v>
      </c>
      <c r="EG56" s="454">
        <v>3583.761230286745</v>
      </c>
      <c r="EH56" s="447">
        <v>47455306.10876181</v>
      </c>
      <c r="EI56" s="454">
        <v>41.78</v>
      </c>
      <c r="EJ56" s="454">
        <v>43.609047605401585</v>
      </c>
      <c r="EK56" s="454">
        <v>45.49835178544084</v>
      </c>
      <c r="EL56" s="454">
        <v>47.960389396460585</v>
      </c>
      <c r="EM56" s="454">
        <v>50.682136728908965</v>
      </c>
      <c r="EN56" s="454">
        <v>53.33098396446348</v>
      </c>
      <c r="EO56" s="454">
        <v>56.58668094050532</v>
      </c>
      <c r="EP56" s="454">
        <v>59.572569659831004</v>
      </c>
      <c r="EQ56" s="454">
        <v>61.28143606213647</v>
      </c>
      <c r="ER56" s="454">
        <v>62.5874619073016</v>
      </c>
      <c r="ES56" s="454">
        <v>66.58767229110383</v>
      </c>
      <c r="ET56" s="454">
        <v>71.50707336680932</v>
      </c>
      <c r="EU56" s="447">
        <v>208440305</v>
      </c>
      <c r="EV56" s="447">
        <v>0</v>
      </c>
      <c r="EW56" s="447">
        <v>0</v>
      </c>
      <c r="EX56" s="447">
        <v>0</v>
      </c>
      <c r="EY56" s="447">
        <v>0</v>
      </c>
      <c r="EZ56" s="447">
        <v>0</v>
      </c>
      <c r="FA56" s="447">
        <v>0</v>
      </c>
      <c r="FB56" s="447">
        <v>0</v>
      </c>
      <c r="FC56" s="447">
        <v>0</v>
      </c>
      <c r="FD56" s="447">
        <v>208440305</v>
      </c>
      <c r="FE56" s="447">
        <v>142415.24719548484</v>
      </c>
      <c r="FF56" s="447">
        <v>0</v>
      </c>
      <c r="FG56" s="447">
        <v>0</v>
      </c>
      <c r="FH56" s="447">
        <v>47920</v>
      </c>
      <c r="FI56" s="456">
        <v>0.049699999999999994</v>
      </c>
      <c r="FJ56" s="447">
        <v>2381.624</v>
      </c>
      <c r="FK56" s="471">
        <v>2381.624</v>
      </c>
      <c r="FL56" s="498">
        <v>69.77</v>
      </c>
      <c r="FM56" s="37">
        <v>65.77</v>
      </c>
      <c r="FN56" s="37">
        <v>64.24</v>
      </c>
      <c r="FO56" s="37">
        <v>-1.53</v>
      </c>
      <c r="FP56" s="40">
        <v>63.24</v>
      </c>
      <c r="FQ56" s="446">
        <v>392399</v>
      </c>
      <c r="FR56" s="450">
        <v>1696006</v>
      </c>
      <c r="FS56" s="450">
        <v>0</v>
      </c>
      <c r="FT56" s="450">
        <v>0</v>
      </c>
      <c r="FU56" s="450">
        <v>0</v>
      </c>
      <c r="FV56" s="450">
        <v>0</v>
      </c>
      <c r="FW56" s="450">
        <v>0</v>
      </c>
      <c r="FX56" s="450">
        <v>0</v>
      </c>
      <c r="FY56" s="450">
        <v>0</v>
      </c>
      <c r="FZ56" s="450">
        <v>0</v>
      </c>
      <c r="GA56" s="450">
        <v>0</v>
      </c>
      <c r="GB56" s="450">
        <v>0</v>
      </c>
      <c r="GC56" s="450">
        <v>0</v>
      </c>
      <c r="GD56" s="450">
        <v>0</v>
      </c>
      <c r="GE56" s="450">
        <v>0</v>
      </c>
      <c r="GF56" s="450">
        <v>0</v>
      </c>
      <c r="GG56" s="450">
        <v>0</v>
      </c>
      <c r="GH56" s="450">
        <v>0</v>
      </c>
      <c r="GI56" s="450">
        <v>0</v>
      </c>
      <c r="GJ56" s="450">
        <v>0</v>
      </c>
      <c r="GK56" s="450">
        <v>0</v>
      </c>
      <c r="GL56" s="450">
        <v>0</v>
      </c>
      <c r="GM56" s="450">
        <v>0</v>
      </c>
      <c r="GN56" s="450">
        <v>0</v>
      </c>
      <c r="GO56" s="450">
        <v>0</v>
      </c>
      <c r="GP56" s="450">
        <v>0</v>
      </c>
      <c r="GQ56" s="450">
        <v>0</v>
      </c>
      <c r="GR56" s="450">
        <v>0</v>
      </c>
      <c r="GS56" s="450">
        <v>0</v>
      </c>
      <c r="GT56" s="450">
        <v>0</v>
      </c>
      <c r="GU56" s="450">
        <v>0</v>
      </c>
      <c r="GV56" s="450">
        <v>0</v>
      </c>
      <c r="GW56" s="450">
        <v>2004714</v>
      </c>
      <c r="GX56" s="450">
        <v>190387685</v>
      </c>
      <c r="GY56" s="450">
        <v>218387685</v>
      </c>
      <c r="GZ56" s="450">
        <v>25</v>
      </c>
      <c r="HA56" s="450" t="s">
        <v>888</v>
      </c>
      <c r="HB56" s="450" t="s">
        <v>888</v>
      </c>
      <c r="HC56" s="450">
        <v>7</v>
      </c>
      <c r="HD56" s="450">
        <v>7</v>
      </c>
      <c r="HE56" s="450">
        <v>8</v>
      </c>
      <c r="HF56" s="450">
        <v>8</v>
      </c>
      <c r="HG56" s="472">
        <v>0</v>
      </c>
    </row>
    <row r="57" spans="2:215" ht="12.75">
      <c r="B57" s="445" t="s">
        <v>732</v>
      </c>
      <c r="C57" s="446">
        <v>20690</v>
      </c>
      <c r="D57" s="447">
        <v>4851570</v>
      </c>
      <c r="E57" s="447">
        <v>4162647.06</v>
      </c>
      <c r="F57" s="447">
        <v>383215.9811563439</v>
      </c>
      <c r="G57" s="447">
        <v>688922.94</v>
      </c>
      <c r="H57" s="448">
        <v>0.2739797003383277</v>
      </c>
      <c r="I57" s="449">
        <v>3488.8</v>
      </c>
      <c r="J57" s="449">
        <v>2179.84</v>
      </c>
      <c r="K57" s="447">
        <v>4545863.041156344</v>
      </c>
      <c r="L57" s="447">
        <v>3636690.4329250753</v>
      </c>
      <c r="M57" s="447">
        <v>990031.4055442873</v>
      </c>
      <c r="N57" s="447">
        <v>909172.6082312686</v>
      </c>
      <c r="O57" s="450">
        <v>1.0889366843885935</v>
      </c>
      <c r="P57" s="451">
        <v>0.9314161430642822</v>
      </c>
      <c r="Q57" s="452">
        <v>0.06848719188013533</v>
      </c>
      <c r="R57" s="447">
        <v>4626721.838469363</v>
      </c>
      <c r="S57" s="447">
        <v>3127663.9628052893</v>
      </c>
      <c r="T57" s="447">
        <v>428719.25876921194</v>
      </c>
      <c r="U57" s="447">
        <v>1017653.5688115342</v>
      </c>
      <c r="V57" s="447">
        <v>1054892.5791710147</v>
      </c>
      <c r="W57" s="450">
        <v>0.9646987654527396</v>
      </c>
      <c r="X57" s="452">
        <v>16.93480549595971</v>
      </c>
      <c r="Y57" s="447">
        <v>428719.25876921194</v>
      </c>
      <c r="Z57" s="447">
        <v>444165.29649305885</v>
      </c>
      <c r="AA57" s="448">
        <v>0.9652245732708019</v>
      </c>
      <c r="AB57" s="448">
        <v>0.07593040115998066</v>
      </c>
      <c r="AC57" s="449">
        <v>1605</v>
      </c>
      <c r="AD57" s="449">
        <v>1537</v>
      </c>
      <c r="AE57" s="447">
        <v>4574036.790386036</v>
      </c>
      <c r="AF57" s="447">
        <v>885765.1217639328</v>
      </c>
      <c r="AG57" s="451">
        <v>1</v>
      </c>
      <c r="AH57" s="450">
        <v>0.4485132988775688</v>
      </c>
      <c r="AI57" s="452">
        <v>0.37769749760627747</v>
      </c>
      <c r="AJ57" s="447">
        <v>5459801.912149969</v>
      </c>
      <c r="AK57" s="453">
        <v>1</v>
      </c>
      <c r="AL57" s="447">
        <v>5459801.912149969</v>
      </c>
      <c r="AM57" s="447">
        <v>12843976.17669282</v>
      </c>
      <c r="AN57" s="447">
        <v>12717203.589837857</v>
      </c>
      <c r="AO57" s="447">
        <v>12410876.828074107</v>
      </c>
      <c r="AP57" s="447">
        <v>12717203.589837857</v>
      </c>
      <c r="AQ57" s="447">
        <v>82760</v>
      </c>
      <c r="AR57" s="447">
        <v>12799963.589837857</v>
      </c>
      <c r="AS57" s="454">
        <v>618.6545959322309</v>
      </c>
      <c r="AT57" s="450">
        <v>20690</v>
      </c>
      <c r="AU57" s="450">
        <v>372</v>
      </c>
      <c r="AV57" s="450">
        <v>2333</v>
      </c>
      <c r="AW57" s="450">
        <v>2295</v>
      </c>
      <c r="AX57" s="450">
        <v>58</v>
      </c>
      <c r="AY57" s="450">
        <v>2490</v>
      </c>
      <c r="AZ57" s="450">
        <v>489</v>
      </c>
      <c r="BA57" s="450">
        <v>917</v>
      </c>
      <c r="BB57" s="450">
        <v>1929</v>
      </c>
      <c r="BC57" s="450">
        <v>16</v>
      </c>
      <c r="BD57" s="450">
        <v>2487</v>
      </c>
      <c r="BE57" s="450">
        <v>819</v>
      </c>
      <c r="BF57" s="450">
        <v>598</v>
      </c>
      <c r="BG57" s="450">
        <v>5885</v>
      </c>
      <c r="BH57" s="450">
        <v>0</v>
      </c>
      <c r="BI57" s="450">
        <v>2</v>
      </c>
      <c r="BJ57" s="452">
        <v>1.789105822373577</v>
      </c>
      <c r="BK57" s="452">
        <v>23.178300389818848</v>
      </c>
      <c r="BL57" s="452">
        <v>14.55160926393029</v>
      </c>
      <c r="BM57" s="452">
        <v>17.253382251777115</v>
      </c>
      <c r="BN57" s="449">
        <v>19273</v>
      </c>
      <c r="BO57" s="449">
        <v>1417</v>
      </c>
      <c r="BP57" s="447">
        <v>8303034.374466198</v>
      </c>
      <c r="BQ57" s="447">
        <v>21538104</v>
      </c>
      <c r="BR57" s="447">
        <v>28629246</v>
      </c>
      <c r="BS57" s="448">
        <v>0.07593040115998066</v>
      </c>
      <c r="BT57" s="449">
        <v>1605</v>
      </c>
      <c r="BU57" s="449">
        <v>1537</v>
      </c>
      <c r="BV57" s="447">
        <v>2173830.133687772</v>
      </c>
      <c r="BW57" s="448">
        <v>0.014780578416155828</v>
      </c>
      <c r="BX57" s="447">
        <v>112030.88109912614</v>
      </c>
      <c r="BY57" s="447">
        <v>32126999.389253095</v>
      </c>
      <c r="BZ57" s="455">
        <v>0.9433333333333334</v>
      </c>
      <c r="CA57" s="447">
        <v>30306469.42386209</v>
      </c>
      <c r="CB57" s="447">
        <v>22791286.49215523</v>
      </c>
      <c r="CC57" s="447">
        <v>22763391.768786196</v>
      </c>
      <c r="CD57" s="447">
        <v>22294944.50926964</v>
      </c>
      <c r="CE57" s="447">
        <v>22763391.768786196</v>
      </c>
      <c r="CF57" s="454">
        <v>1100.2122652869114</v>
      </c>
      <c r="CG57" s="450">
        <v>20690</v>
      </c>
      <c r="CH57" s="450">
        <v>372</v>
      </c>
      <c r="CI57" s="450">
        <v>2333</v>
      </c>
      <c r="CJ57" s="450">
        <v>2295</v>
      </c>
      <c r="CK57" s="450">
        <v>58</v>
      </c>
      <c r="CL57" s="450">
        <v>2490</v>
      </c>
      <c r="CM57" s="450">
        <v>489</v>
      </c>
      <c r="CN57" s="450">
        <v>917</v>
      </c>
      <c r="CO57" s="450">
        <v>1929</v>
      </c>
      <c r="CP57" s="450">
        <v>16</v>
      </c>
      <c r="CQ57" s="450">
        <v>2487</v>
      </c>
      <c r="CR57" s="450">
        <v>819</v>
      </c>
      <c r="CS57" s="450">
        <v>598</v>
      </c>
      <c r="CT57" s="450">
        <v>5885</v>
      </c>
      <c r="CU57" s="450">
        <v>0</v>
      </c>
      <c r="CV57" s="450">
        <v>2</v>
      </c>
      <c r="CW57" s="447">
        <v>13927033.779626103</v>
      </c>
      <c r="CX57" s="452">
        <v>0.9208945910707865</v>
      </c>
      <c r="CY57" s="452">
        <v>0.9433333333333334</v>
      </c>
      <c r="CZ57" s="447">
        <v>12825330.077317812</v>
      </c>
      <c r="DA57" s="454">
        <v>619.880622393321</v>
      </c>
      <c r="DB57" s="449">
        <v>20690</v>
      </c>
      <c r="DC57" s="452">
        <v>1.0221749637506043</v>
      </c>
      <c r="DD57" s="454">
        <v>299.1</v>
      </c>
      <c r="DE57" s="447">
        <v>24893</v>
      </c>
      <c r="DF57" s="454">
        <v>45.143864176354356</v>
      </c>
      <c r="DG57" s="454">
        <v>47.08505033593759</v>
      </c>
      <c r="DH57" s="454">
        <v>48.12092144332821</v>
      </c>
      <c r="DI57" s="454">
        <v>49.17958171508142</v>
      </c>
      <c r="DJ57" s="454">
        <v>50.8025079116791</v>
      </c>
      <c r="DK57" s="454">
        <v>52.63139819649954</v>
      </c>
      <c r="DL57" s="454">
        <v>54.315602938787514</v>
      </c>
      <c r="DM57" s="454">
        <v>56.5425426592778</v>
      </c>
      <c r="DN57" s="454">
        <v>59.03041453628601</v>
      </c>
      <c r="DO57" s="454">
        <v>62.27708733578174</v>
      </c>
      <c r="DP57" s="454">
        <v>61.7165935497597</v>
      </c>
      <c r="DQ57" s="454">
        <v>64.86413982079745</v>
      </c>
      <c r="DR57" s="454">
        <v>68.82085234986609</v>
      </c>
      <c r="DS57" s="454">
        <v>34.28</v>
      </c>
      <c r="DT57" s="454">
        <v>36.342836144332814</v>
      </c>
      <c r="DU57" s="454">
        <v>38.479845559016276</v>
      </c>
      <c r="DV57" s="454">
        <v>41.131283893615716</v>
      </c>
      <c r="DW57" s="454">
        <v>44.043351268459254</v>
      </c>
      <c r="DX57" s="454">
        <v>46.929882580672874</v>
      </c>
      <c r="DY57" s="454">
        <v>50.39171474503993</v>
      </c>
      <c r="DZ57" s="454">
        <v>53.32244623187327</v>
      </c>
      <c r="EA57" s="454">
        <v>55.003645378848596</v>
      </c>
      <c r="EB57" s="454">
        <v>56.85648911093431</v>
      </c>
      <c r="EC57" s="454">
        <v>60.777764008633056</v>
      </c>
      <c r="ED57" s="454">
        <v>65.56911879733627</v>
      </c>
      <c r="EE57" s="454">
        <v>-1.54</v>
      </c>
      <c r="EF57" s="454">
        <v>64.02911879733627</v>
      </c>
      <c r="EG57" s="454">
        <v>3329.514177461486</v>
      </c>
      <c r="EH57" s="447">
        <v>67509895.36504458</v>
      </c>
      <c r="EI57" s="454">
        <v>36.9</v>
      </c>
      <c r="EJ57" s="454">
        <v>38.75271214433281</v>
      </c>
      <c r="EK57" s="454">
        <v>40.66908402301627</v>
      </c>
      <c r="EL57" s="454">
        <v>43.110081810263715</v>
      </c>
      <c r="EM57" s="454">
        <v>45.80052381844268</v>
      </c>
      <c r="EN57" s="454">
        <v>48.44105097365862</v>
      </c>
      <c r="EO57" s="454">
        <v>51.650215782718455</v>
      </c>
      <c r="EP57" s="454">
        <v>54.49033519483894</v>
      </c>
      <c r="EQ57" s="454">
        <v>56.117422153196856</v>
      </c>
      <c r="ER57" s="454">
        <v>57.60071330037887</v>
      </c>
      <c r="ES57" s="454">
        <v>61.40350770711804</v>
      </c>
      <c r="ET57" s="454">
        <v>66.0670543454057</v>
      </c>
      <c r="EU57" s="447">
        <v>329672605</v>
      </c>
      <c r="EV57" s="447">
        <v>0</v>
      </c>
      <c r="EW57" s="447">
        <v>0</v>
      </c>
      <c r="EX57" s="447">
        <v>0</v>
      </c>
      <c r="EY57" s="447">
        <v>0</v>
      </c>
      <c r="EZ57" s="447">
        <v>0</v>
      </c>
      <c r="FA57" s="447">
        <v>0</v>
      </c>
      <c r="FB57" s="447">
        <v>0</v>
      </c>
      <c r="FC57" s="447">
        <v>0</v>
      </c>
      <c r="FD57" s="447">
        <v>329672605</v>
      </c>
      <c r="FE57" s="447">
        <v>201677.761092976</v>
      </c>
      <c r="FF57" s="447">
        <v>0</v>
      </c>
      <c r="FG57" s="447">
        <v>0</v>
      </c>
      <c r="FH57" s="447">
        <v>24231</v>
      </c>
      <c r="FI57" s="456">
        <v>0.0471</v>
      </c>
      <c r="FJ57" s="447">
        <v>1141.2801000000002</v>
      </c>
      <c r="FK57" s="471">
        <v>1141.2801000000002</v>
      </c>
      <c r="FL57" s="446">
        <v>64.85</v>
      </c>
      <c r="FM57" s="450">
        <v>61</v>
      </c>
      <c r="FN57" s="450">
        <v>59.46</v>
      </c>
      <c r="FO57" s="450">
        <v>-1.54</v>
      </c>
      <c r="FP57" s="472">
        <v>59.43</v>
      </c>
      <c r="FQ57" s="446">
        <v>174231</v>
      </c>
      <c r="FR57" s="450">
        <v>235516</v>
      </c>
      <c r="FS57" s="450">
        <v>0</v>
      </c>
      <c r="FT57" s="450">
        <v>0</v>
      </c>
      <c r="FU57" s="450">
        <v>0</v>
      </c>
      <c r="FV57" s="450">
        <v>0</v>
      </c>
      <c r="FW57" s="450">
        <v>0</v>
      </c>
      <c r="FX57" s="450">
        <v>0</v>
      </c>
      <c r="FY57" s="450">
        <v>0</v>
      </c>
      <c r="FZ57" s="450">
        <v>0</v>
      </c>
      <c r="GA57" s="450">
        <v>0</v>
      </c>
      <c r="GB57" s="450">
        <v>0</v>
      </c>
      <c r="GC57" s="450">
        <v>0</v>
      </c>
      <c r="GD57" s="450">
        <v>0</v>
      </c>
      <c r="GE57" s="450">
        <v>0</v>
      </c>
      <c r="GF57" s="450">
        <v>0</v>
      </c>
      <c r="GG57" s="450">
        <v>0</v>
      </c>
      <c r="GH57" s="450">
        <v>0</v>
      </c>
      <c r="GI57" s="450">
        <v>0</v>
      </c>
      <c r="GJ57" s="450">
        <v>0</v>
      </c>
      <c r="GK57" s="450">
        <v>0</v>
      </c>
      <c r="GL57" s="450">
        <v>0</v>
      </c>
      <c r="GM57" s="450">
        <v>0</v>
      </c>
      <c r="GN57" s="450">
        <v>0</v>
      </c>
      <c r="GO57" s="450">
        <v>0</v>
      </c>
      <c r="GP57" s="450">
        <v>0</v>
      </c>
      <c r="GQ57" s="450">
        <v>0</v>
      </c>
      <c r="GR57" s="450">
        <v>0</v>
      </c>
      <c r="GS57" s="450">
        <v>0</v>
      </c>
      <c r="GT57" s="450">
        <v>0</v>
      </c>
      <c r="GU57" s="450">
        <v>0</v>
      </c>
      <c r="GV57" s="450">
        <v>0</v>
      </c>
      <c r="GW57" s="450">
        <v>0</v>
      </c>
      <c r="GX57" s="450">
        <v>287735548</v>
      </c>
      <c r="GY57" s="450">
        <v>302003453</v>
      </c>
      <c r="GZ57" s="450">
        <v>10</v>
      </c>
      <c r="HA57" s="450" t="s">
        <v>888</v>
      </c>
      <c r="HB57" s="450" t="s">
        <v>889</v>
      </c>
      <c r="HC57" s="450">
        <v>44</v>
      </c>
      <c r="HD57" s="450">
        <v>0</v>
      </c>
      <c r="HE57" s="450">
        <v>0</v>
      </c>
      <c r="HF57" s="450">
        <v>0</v>
      </c>
      <c r="HG57" s="472">
        <v>0</v>
      </c>
    </row>
    <row r="58" spans="2:215" ht="12.75">
      <c r="B58" s="445" t="s">
        <v>733</v>
      </c>
      <c r="C58" s="446">
        <v>4458</v>
      </c>
      <c r="D58" s="447">
        <v>1069514</v>
      </c>
      <c r="E58" s="447">
        <v>917643.012</v>
      </c>
      <c r="F58" s="447">
        <v>124662.46013856432</v>
      </c>
      <c r="G58" s="447">
        <v>151870.988</v>
      </c>
      <c r="H58" s="448">
        <v>0.40430237774786904</v>
      </c>
      <c r="I58" s="449">
        <v>1432.01</v>
      </c>
      <c r="J58" s="449">
        <v>370.37</v>
      </c>
      <c r="K58" s="447">
        <v>1042305.4721385643</v>
      </c>
      <c r="L58" s="447">
        <v>833844.3777108515</v>
      </c>
      <c r="M58" s="447">
        <v>226333.19633221522</v>
      </c>
      <c r="N58" s="447">
        <v>208461.09442771281</v>
      </c>
      <c r="O58" s="450">
        <v>1.0857335127860026</v>
      </c>
      <c r="P58" s="451">
        <v>0.9340511440107672</v>
      </c>
      <c r="Q58" s="452">
        <v>0.06594885598923284</v>
      </c>
      <c r="R58" s="447">
        <v>1060177.5740430667</v>
      </c>
      <c r="S58" s="447">
        <v>716680.0400531131</v>
      </c>
      <c r="T58" s="447">
        <v>81986.22874823453</v>
      </c>
      <c r="U58" s="447">
        <v>178042.06068376245</v>
      </c>
      <c r="V58" s="447">
        <v>241720.4868818192</v>
      </c>
      <c r="W58" s="450">
        <v>0.7365617328530779</v>
      </c>
      <c r="X58" s="452">
        <v>12.929973716489625</v>
      </c>
      <c r="Y58" s="447">
        <v>81986.22874823453</v>
      </c>
      <c r="Z58" s="447">
        <v>101777.0471081344</v>
      </c>
      <c r="AA58" s="448">
        <v>0.8055473319158802</v>
      </c>
      <c r="AB58" s="448">
        <v>0.06336922386720502</v>
      </c>
      <c r="AC58" s="449">
        <v>279</v>
      </c>
      <c r="AD58" s="449">
        <v>286</v>
      </c>
      <c r="AE58" s="447">
        <v>976708.3294851101</v>
      </c>
      <c r="AF58" s="447">
        <v>0</v>
      </c>
      <c r="AG58" s="451">
        <v>0</v>
      </c>
      <c r="AH58" s="450">
        <v>0.11268063972492012</v>
      </c>
      <c r="AI58" s="452">
        <v>0.09488948434591293</v>
      </c>
      <c r="AJ58" s="447">
        <v>976708.3294851101</v>
      </c>
      <c r="AK58" s="453">
        <v>1.0056</v>
      </c>
      <c r="AL58" s="447">
        <v>982177.8961302268</v>
      </c>
      <c r="AM58" s="447">
        <v>2310536.1150736925</v>
      </c>
      <c r="AN58" s="447">
        <v>2287730.6663325746</v>
      </c>
      <c r="AO58" s="447">
        <v>2214195.304600637</v>
      </c>
      <c r="AP58" s="447">
        <v>2287730.6663325746</v>
      </c>
      <c r="AQ58" s="447">
        <v>17832</v>
      </c>
      <c r="AR58" s="447">
        <v>2305562.6663325746</v>
      </c>
      <c r="AS58" s="454">
        <v>517.1742185582267</v>
      </c>
      <c r="AT58" s="450">
        <v>4458</v>
      </c>
      <c r="AU58" s="450">
        <v>253</v>
      </c>
      <c r="AV58" s="450">
        <v>357</v>
      </c>
      <c r="AW58" s="450">
        <v>202</v>
      </c>
      <c r="AX58" s="450">
        <v>113</v>
      </c>
      <c r="AY58" s="450">
        <v>696</v>
      </c>
      <c r="AZ58" s="450">
        <v>291</v>
      </c>
      <c r="BA58" s="450">
        <v>177</v>
      </c>
      <c r="BB58" s="450">
        <v>189</v>
      </c>
      <c r="BC58" s="450">
        <v>115</v>
      </c>
      <c r="BD58" s="450">
        <v>1200</v>
      </c>
      <c r="BE58" s="450">
        <v>288</v>
      </c>
      <c r="BF58" s="450">
        <v>6</v>
      </c>
      <c r="BG58" s="450">
        <v>571</v>
      </c>
      <c r="BH58" s="450">
        <v>0</v>
      </c>
      <c r="BI58" s="450">
        <v>0</v>
      </c>
      <c r="BJ58" s="452">
        <v>1.3477002676781178</v>
      </c>
      <c r="BK58" s="452">
        <v>10.266826836954202</v>
      </c>
      <c r="BL58" s="452">
        <v>7.9892823893424385</v>
      </c>
      <c r="BM58" s="452">
        <v>4.555088895223528</v>
      </c>
      <c r="BN58" s="449">
        <v>4164</v>
      </c>
      <c r="BO58" s="449">
        <v>294</v>
      </c>
      <c r="BP58" s="447">
        <v>1196763.2284992393</v>
      </c>
      <c r="BQ58" s="447">
        <v>4545182</v>
      </c>
      <c r="BR58" s="447">
        <v>6116351</v>
      </c>
      <c r="BS58" s="448">
        <v>0.06336922386720502</v>
      </c>
      <c r="BT58" s="449">
        <v>279</v>
      </c>
      <c r="BU58" s="449">
        <v>286</v>
      </c>
      <c r="BV58" s="447">
        <v>387588.4157694033</v>
      </c>
      <c r="BW58" s="448">
        <v>0.007147793461887516</v>
      </c>
      <c r="BX58" s="447">
        <v>5170.738090075516</v>
      </c>
      <c r="BY58" s="447">
        <v>6134704.382358718</v>
      </c>
      <c r="BZ58" s="455">
        <v>1.0666666666666667</v>
      </c>
      <c r="CA58" s="447">
        <v>6543684.674515965</v>
      </c>
      <c r="CB58" s="447">
        <v>4921028.247975098</v>
      </c>
      <c r="CC58" s="447">
        <v>4915005.300489631</v>
      </c>
      <c r="CD58" s="447">
        <v>4806648.359446903</v>
      </c>
      <c r="CE58" s="447">
        <v>4915005.300489631</v>
      </c>
      <c r="CF58" s="454">
        <v>1102.5135263547847</v>
      </c>
      <c r="CG58" s="450">
        <v>4458</v>
      </c>
      <c r="CH58" s="450">
        <v>253</v>
      </c>
      <c r="CI58" s="450">
        <v>357</v>
      </c>
      <c r="CJ58" s="450">
        <v>202</v>
      </c>
      <c r="CK58" s="450">
        <v>113</v>
      </c>
      <c r="CL58" s="450">
        <v>696</v>
      </c>
      <c r="CM58" s="450">
        <v>291</v>
      </c>
      <c r="CN58" s="450">
        <v>177</v>
      </c>
      <c r="CO58" s="450">
        <v>189</v>
      </c>
      <c r="CP58" s="450">
        <v>115</v>
      </c>
      <c r="CQ58" s="450">
        <v>1200</v>
      </c>
      <c r="CR58" s="450">
        <v>288</v>
      </c>
      <c r="CS58" s="450">
        <v>6</v>
      </c>
      <c r="CT58" s="450">
        <v>571</v>
      </c>
      <c r="CU58" s="450">
        <v>0</v>
      </c>
      <c r="CV58" s="450">
        <v>0</v>
      </c>
      <c r="CW58" s="447">
        <v>3182665.3826853596</v>
      </c>
      <c r="CX58" s="452">
        <v>1.0412942372531862</v>
      </c>
      <c r="CY58" s="452">
        <v>1.0666666666666667</v>
      </c>
      <c r="CZ58" s="447">
        <v>3314091.1220954712</v>
      </c>
      <c r="DA58" s="454">
        <v>743.4031229464942</v>
      </c>
      <c r="DB58" s="449">
        <v>4458</v>
      </c>
      <c r="DC58" s="452">
        <v>1.014423508299686</v>
      </c>
      <c r="DD58" s="454">
        <v>316.4</v>
      </c>
      <c r="DE58" s="447">
        <v>40151</v>
      </c>
      <c r="DF58" s="454">
        <v>52.00987617512416</v>
      </c>
      <c r="DG58" s="454">
        <v>54.2463008506545</v>
      </c>
      <c r="DH58" s="454">
        <v>55.43971946936889</v>
      </c>
      <c r="DI58" s="454">
        <v>56.65939329769499</v>
      </c>
      <c r="DJ58" s="454">
        <v>58.52915327651892</v>
      </c>
      <c r="DK58" s="454">
        <v>60.63620279447359</v>
      </c>
      <c r="DL58" s="454">
        <v>62.57656128389673</v>
      </c>
      <c r="DM58" s="454">
        <v>65.14220029653649</v>
      </c>
      <c r="DN58" s="454">
        <v>68.00845710958409</v>
      </c>
      <c r="DO58" s="454">
        <v>71.7489222506112</v>
      </c>
      <c r="DP58" s="454">
        <v>71.1031819503557</v>
      </c>
      <c r="DQ58" s="454">
        <v>74.72944422982384</v>
      </c>
      <c r="DR58" s="454">
        <v>79.28794032784309</v>
      </c>
      <c r="DS58" s="454">
        <v>44.81</v>
      </c>
      <c r="DT58" s="454">
        <v>46.76020994693688</v>
      </c>
      <c r="DU58" s="454">
        <v>48.774541091538985</v>
      </c>
      <c r="DV58" s="454">
        <v>51.40223248867966</v>
      </c>
      <c r="DW58" s="454">
        <v>54.30749713487233</v>
      </c>
      <c r="DX58" s="454">
        <v>57.13387441663965</v>
      </c>
      <c r="DY58" s="454">
        <v>60.6095306734848</v>
      </c>
      <c r="DZ58" s="454">
        <v>63.802139699392114</v>
      </c>
      <c r="EA58" s="454">
        <v>65.62923537669437</v>
      </c>
      <c r="EB58" s="454">
        <v>67.01401515473786</v>
      </c>
      <c r="EC58" s="454">
        <v>71.29127278806835</v>
      </c>
      <c r="ED58" s="454">
        <v>76.55201540306616</v>
      </c>
      <c r="EE58" s="454">
        <v>0</v>
      </c>
      <c r="EF58" s="454">
        <v>76.55201540306616</v>
      </c>
      <c r="EG58" s="454">
        <v>3980.7048009594405</v>
      </c>
      <c r="EH58" s="447">
        <v>17391062.362623643</v>
      </c>
      <c r="EI58" s="454">
        <v>55.29</v>
      </c>
      <c r="EJ58" s="454">
        <v>56.39971394693688</v>
      </c>
      <c r="EK58" s="454">
        <v>57.531494947538974</v>
      </c>
      <c r="EL58" s="454">
        <v>59.31742415527165</v>
      </c>
      <c r="EM58" s="454">
        <v>61.33618733480602</v>
      </c>
      <c r="EN58" s="454">
        <v>63.17854798858262</v>
      </c>
      <c r="EO58" s="454">
        <v>65.6435348241989</v>
      </c>
      <c r="EP58" s="454">
        <v>68.47369555125479</v>
      </c>
      <c r="EQ58" s="454">
        <v>70.0843424740874</v>
      </c>
      <c r="ER58" s="454">
        <v>69.99091191251608</v>
      </c>
      <c r="ES58" s="454">
        <v>73.79424758200828</v>
      </c>
      <c r="ET58" s="454">
        <v>78.54375759534386</v>
      </c>
      <c r="EU58" s="447">
        <v>304903</v>
      </c>
      <c r="EV58" s="447">
        <v>0</v>
      </c>
      <c r="EW58" s="447">
        <v>0</v>
      </c>
      <c r="EX58" s="447">
        <v>0</v>
      </c>
      <c r="EY58" s="447">
        <v>0</v>
      </c>
      <c r="EZ58" s="447">
        <v>0</v>
      </c>
      <c r="FA58" s="447">
        <v>0</v>
      </c>
      <c r="FB58" s="447">
        <v>0</v>
      </c>
      <c r="FC58" s="447">
        <v>0</v>
      </c>
      <c r="FD58" s="447">
        <v>304903</v>
      </c>
      <c r="FE58" s="447">
        <v>40671.51096689797</v>
      </c>
      <c r="FF58" s="447">
        <v>0</v>
      </c>
      <c r="FG58" s="447">
        <v>0</v>
      </c>
      <c r="FH58" s="447">
        <v>0</v>
      </c>
      <c r="FI58" s="456">
        <v>0</v>
      </c>
      <c r="FJ58" s="447">
        <v>0</v>
      </c>
      <c r="FK58" s="471">
        <v>0</v>
      </c>
      <c r="FL58" s="446">
        <v>0</v>
      </c>
      <c r="FM58" s="450">
        <v>0</v>
      </c>
      <c r="FN58" s="450">
        <v>0</v>
      </c>
      <c r="FO58" s="450">
        <v>0</v>
      </c>
      <c r="FP58" s="472">
        <v>73.97</v>
      </c>
      <c r="FQ58" s="446">
        <v>0</v>
      </c>
      <c r="FR58" s="450">
        <v>0</v>
      </c>
      <c r="FS58" s="450">
        <v>0</v>
      </c>
      <c r="FT58" s="450">
        <v>0</v>
      </c>
      <c r="FU58" s="450">
        <v>0</v>
      </c>
      <c r="FV58" s="450">
        <v>0</v>
      </c>
      <c r="FW58" s="450">
        <v>0</v>
      </c>
      <c r="FX58" s="450">
        <v>0</v>
      </c>
      <c r="FY58" s="450">
        <v>0</v>
      </c>
      <c r="FZ58" s="450">
        <v>0</v>
      </c>
      <c r="GA58" s="450">
        <v>0</v>
      </c>
      <c r="GB58" s="450">
        <v>0</v>
      </c>
      <c r="GC58" s="450">
        <v>0</v>
      </c>
      <c r="GD58" s="450">
        <v>0</v>
      </c>
      <c r="GE58" s="450">
        <v>0</v>
      </c>
      <c r="GF58" s="450">
        <v>0</v>
      </c>
      <c r="GG58" s="450">
        <v>0</v>
      </c>
      <c r="GH58" s="450">
        <v>0</v>
      </c>
      <c r="GI58" s="450">
        <v>0</v>
      </c>
      <c r="GJ58" s="450">
        <v>0</v>
      </c>
      <c r="GK58" s="450">
        <v>0</v>
      </c>
      <c r="GL58" s="450">
        <v>0</v>
      </c>
      <c r="GM58" s="450">
        <v>0</v>
      </c>
      <c r="GN58" s="450">
        <v>0</v>
      </c>
      <c r="GO58" s="450">
        <v>0</v>
      </c>
      <c r="GP58" s="450">
        <v>0</v>
      </c>
      <c r="GQ58" s="450">
        <v>0</v>
      </c>
      <c r="GR58" s="450">
        <v>0</v>
      </c>
      <c r="GS58" s="450">
        <v>0</v>
      </c>
      <c r="GT58" s="450">
        <v>0</v>
      </c>
      <c r="GU58" s="450">
        <v>0</v>
      </c>
      <c r="GV58" s="450">
        <v>0</v>
      </c>
      <c r="GW58" s="450">
        <v>0</v>
      </c>
      <c r="GX58" s="450">
        <v>-4966632</v>
      </c>
      <c r="GY58" s="450">
        <v>-4966632</v>
      </c>
      <c r="GZ58" s="450">
        <v>0</v>
      </c>
      <c r="HA58" s="450" t="s">
        <v>888</v>
      </c>
      <c r="HB58" s="450" t="s">
        <v>888</v>
      </c>
      <c r="HC58" s="450">
        <v>0</v>
      </c>
      <c r="HD58" s="450">
        <v>0</v>
      </c>
      <c r="HE58" s="450">
        <v>0</v>
      </c>
      <c r="HF58" s="450">
        <v>0</v>
      </c>
      <c r="HG58" s="472">
        <v>0</v>
      </c>
    </row>
    <row r="59" spans="2:215" ht="12.75">
      <c r="B59" s="445" t="s">
        <v>734</v>
      </c>
      <c r="C59" s="446">
        <v>22992</v>
      </c>
      <c r="D59" s="447">
        <v>5387936</v>
      </c>
      <c r="E59" s="447">
        <v>4622849.0879999995</v>
      </c>
      <c r="F59" s="447">
        <v>602787.7939944018</v>
      </c>
      <c r="G59" s="447">
        <v>765086.9120000001</v>
      </c>
      <c r="H59" s="448">
        <v>0.3880601948503828</v>
      </c>
      <c r="I59" s="449">
        <v>6948.23</v>
      </c>
      <c r="J59" s="449">
        <v>1974.05</v>
      </c>
      <c r="K59" s="447">
        <v>5225636.881994401</v>
      </c>
      <c r="L59" s="447">
        <v>4180509.505595521</v>
      </c>
      <c r="M59" s="447">
        <v>1306318.3082355172</v>
      </c>
      <c r="N59" s="447">
        <v>1045127.37639888</v>
      </c>
      <c r="O59" s="450">
        <v>1.2499130132219902</v>
      </c>
      <c r="P59" s="451">
        <v>0.807759220598469</v>
      </c>
      <c r="Q59" s="452">
        <v>0.19224077940153098</v>
      </c>
      <c r="R59" s="447">
        <v>5486827.813831039</v>
      </c>
      <c r="S59" s="447">
        <v>3709095.6021497822</v>
      </c>
      <c r="T59" s="447">
        <v>581284.8796129752</v>
      </c>
      <c r="U59" s="447">
        <v>748773.2757251357</v>
      </c>
      <c r="V59" s="447">
        <v>1250996.7415534768</v>
      </c>
      <c r="W59" s="450">
        <v>0.5985413477538843</v>
      </c>
      <c r="X59" s="452">
        <v>10.507094720645398</v>
      </c>
      <c r="Y59" s="447">
        <v>581284.8796129752</v>
      </c>
      <c r="Z59" s="447">
        <v>526735.4701277798</v>
      </c>
      <c r="AA59" s="448">
        <v>1.1035612989418813</v>
      </c>
      <c r="AB59" s="448">
        <v>0.08681280445372304</v>
      </c>
      <c r="AC59" s="449">
        <v>1817</v>
      </c>
      <c r="AD59" s="449">
        <v>2175</v>
      </c>
      <c r="AE59" s="447">
        <v>5039153.757487893</v>
      </c>
      <c r="AF59" s="447">
        <v>523440.80630151904</v>
      </c>
      <c r="AG59" s="451">
        <v>0.75</v>
      </c>
      <c r="AH59" s="450">
        <v>0.2856856576818377</v>
      </c>
      <c r="AI59" s="452">
        <v>0.24057872593402863</v>
      </c>
      <c r="AJ59" s="447">
        <v>5562594.563789412</v>
      </c>
      <c r="AK59" s="453">
        <v>1.0076</v>
      </c>
      <c r="AL59" s="447">
        <v>5604870.282474212</v>
      </c>
      <c r="AM59" s="447">
        <v>13185243.996005062</v>
      </c>
      <c r="AN59" s="447">
        <v>13055103.028232118</v>
      </c>
      <c r="AO59" s="447">
        <v>12646330.695898294</v>
      </c>
      <c r="AP59" s="447">
        <v>13055103.028232118</v>
      </c>
      <c r="AQ59" s="447">
        <v>91968</v>
      </c>
      <c r="AR59" s="447">
        <v>13147071.028232118</v>
      </c>
      <c r="AS59" s="454">
        <v>571.8106745055723</v>
      </c>
      <c r="AT59" s="450">
        <v>22992</v>
      </c>
      <c r="AU59" s="450">
        <v>227</v>
      </c>
      <c r="AV59" s="450">
        <v>4902</v>
      </c>
      <c r="AW59" s="450">
        <v>2169</v>
      </c>
      <c r="AX59" s="450">
        <v>0</v>
      </c>
      <c r="AY59" s="450">
        <v>3981</v>
      </c>
      <c r="AZ59" s="450">
        <v>454</v>
      </c>
      <c r="BA59" s="450">
        <v>523</v>
      </c>
      <c r="BB59" s="450">
        <v>935</v>
      </c>
      <c r="BC59" s="450">
        <v>22</v>
      </c>
      <c r="BD59" s="450">
        <v>3365</v>
      </c>
      <c r="BE59" s="450">
        <v>2931</v>
      </c>
      <c r="BF59" s="450">
        <v>1489</v>
      </c>
      <c r="BG59" s="450">
        <v>1985</v>
      </c>
      <c r="BH59" s="450">
        <v>0</v>
      </c>
      <c r="BI59" s="450">
        <v>9</v>
      </c>
      <c r="BJ59" s="452">
        <v>1.5622115775708072</v>
      </c>
      <c r="BK59" s="452">
        <v>13.149725515398094</v>
      </c>
      <c r="BL59" s="452">
        <v>7.732902925050584</v>
      </c>
      <c r="BM59" s="452">
        <v>10.83364518069502</v>
      </c>
      <c r="BN59" s="449">
        <v>18572</v>
      </c>
      <c r="BO59" s="449">
        <v>4420</v>
      </c>
      <c r="BP59" s="447">
        <v>8033944.862472373</v>
      </c>
      <c r="BQ59" s="447">
        <v>25164846</v>
      </c>
      <c r="BR59" s="447">
        <v>32937327</v>
      </c>
      <c r="BS59" s="448">
        <v>0.08681280445372304</v>
      </c>
      <c r="BT59" s="449">
        <v>1817</v>
      </c>
      <c r="BU59" s="449">
        <v>2175</v>
      </c>
      <c r="BV59" s="447">
        <v>2859381.728079332</v>
      </c>
      <c r="BW59" s="448">
        <v>0.01886966861920773</v>
      </c>
      <c r="BX59" s="447">
        <v>90169.97635002506</v>
      </c>
      <c r="BY59" s="447">
        <v>36148342.56690173</v>
      </c>
      <c r="BZ59" s="455">
        <v>0.9533333333333333</v>
      </c>
      <c r="CA59" s="447">
        <v>34461419.913779646</v>
      </c>
      <c r="CB59" s="447">
        <v>25915921.884421397</v>
      </c>
      <c r="CC59" s="447">
        <v>25884202.855657123</v>
      </c>
      <c r="CD59" s="447">
        <v>24769113.68566762</v>
      </c>
      <c r="CE59" s="447">
        <v>25884202.855657123</v>
      </c>
      <c r="CF59" s="454">
        <v>1125.7917038820947</v>
      </c>
      <c r="CG59" s="450">
        <v>22992</v>
      </c>
      <c r="CH59" s="450">
        <v>227</v>
      </c>
      <c r="CI59" s="450">
        <v>4902</v>
      </c>
      <c r="CJ59" s="450">
        <v>2169</v>
      </c>
      <c r="CK59" s="450">
        <v>0</v>
      </c>
      <c r="CL59" s="450">
        <v>3981</v>
      </c>
      <c r="CM59" s="450">
        <v>454</v>
      </c>
      <c r="CN59" s="450">
        <v>523</v>
      </c>
      <c r="CO59" s="450">
        <v>935</v>
      </c>
      <c r="CP59" s="450">
        <v>22</v>
      </c>
      <c r="CQ59" s="450">
        <v>3365</v>
      </c>
      <c r="CR59" s="450">
        <v>2931</v>
      </c>
      <c r="CS59" s="450">
        <v>1489</v>
      </c>
      <c r="CT59" s="450">
        <v>1985</v>
      </c>
      <c r="CU59" s="450">
        <v>0</v>
      </c>
      <c r="CV59" s="450">
        <v>9</v>
      </c>
      <c r="CW59" s="447">
        <v>16274342.38635592</v>
      </c>
      <c r="CX59" s="452">
        <v>0.930656724545035</v>
      </c>
      <c r="CY59" s="452">
        <v>0.9533333333333333</v>
      </c>
      <c r="CZ59" s="447">
        <v>15145826.17941043</v>
      </c>
      <c r="DA59" s="454">
        <v>658.7433098212608</v>
      </c>
      <c r="DB59" s="449">
        <v>22992</v>
      </c>
      <c r="DC59" s="452">
        <v>1.016953723034099</v>
      </c>
      <c r="DD59" s="454">
        <v>320.6</v>
      </c>
      <c r="DE59" s="447">
        <v>35730</v>
      </c>
      <c r="DF59" s="454">
        <v>51.16662114441681</v>
      </c>
      <c r="DG59" s="454">
        <v>53.36678585362673</v>
      </c>
      <c r="DH59" s="454">
        <v>54.54085514240651</v>
      </c>
      <c r="DI59" s="454">
        <v>55.74075395553944</v>
      </c>
      <c r="DJ59" s="454">
        <v>57.580198836072235</v>
      </c>
      <c r="DK59" s="454">
        <v>59.65308599417082</v>
      </c>
      <c r="DL59" s="454">
        <v>61.561984745984276</v>
      </c>
      <c r="DM59" s="454">
        <v>64.08602612056963</v>
      </c>
      <c r="DN59" s="454">
        <v>66.90581126987468</v>
      </c>
      <c r="DO59" s="454">
        <v>70.58563088971778</v>
      </c>
      <c r="DP59" s="454">
        <v>69.95036021171032</v>
      </c>
      <c r="DQ59" s="454">
        <v>73.51782858250753</v>
      </c>
      <c r="DR59" s="454">
        <v>78.00241612604049</v>
      </c>
      <c r="DS59" s="454">
        <v>37.92</v>
      </c>
      <c r="DT59" s="454">
        <v>40.332901514240646</v>
      </c>
      <c r="DU59" s="454">
        <v>42.83361741510788</v>
      </c>
      <c r="DV59" s="454">
        <v>45.91376079558966</v>
      </c>
      <c r="DW59" s="454">
        <v>49.2932890142223</v>
      </c>
      <c r="DX59" s="454">
        <v>52.652559343228546</v>
      </c>
      <c r="DY59" s="454">
        <v>56.666256645154654</v>
      </c>
      <c r="DZ59" s="454">
        <v>60.020265196689586</v>
      </c>
      <c r="EA59" s="454">
        <v>61.945034968557486</v>
      </c>
      <c r="EB59" s="454">
        <v>64.17672527529645</v>
      </c>
      <c r="EC59" s="454">
        <v>68.66335632797076</v>
      </c>
      <c r="ED59" s="454">
        <v>74.13946982949285</v>
      </c>
      <c r="EE59" s="454">
        <v>-0.76</v>
      </c>
      <c r="EF59" s="454">
        <v>73.37946982949285</v>
      </c>
      <c r="EG59" s="454">
        <v>3815.732431133628</v>
      </c>
      <c r="EH59" s="447">
        <v>85976693.65549187</v>
      </c>
      <c r="EI59" s="454">
        <v>44.09</v>
      </c>
      <c r="EJ59" s="454">
        <v>46.00806751424065</v>
      </c>
      <c r="EK59" s="454">
        <v>47.98919043910788</v>
      </c>
      <c r="EL59" s="454">
        <v>50.57375436265766</v>
      </c>
      <c r="EM59" s="454">
        <v>53.43136330177868</v>
      </c>
      <c r="EN59" s="454">
        <v>56.21130323052704</v>
      </c>
      <c r="EO59" s="454">
        <v>59.62997855449684</v>
      </c>
      <c r="EP59" s="454">
        <v>62.770599128559134</v>
      </c>
      <c r="EQ59" s="454">
        <v>64.56793676158374</v>
      </c>
      <c r="ER59" s="454">
        <v>65.92934483593497</v>
      </c>
      <c r="ES59" s="454">
        <v>70.13695885455563</v>
      </c>
      <c r="ET59" s="454">
        <v>75.31208904002277</v>
      </c>
      <c r="EU59" s="447">
        <v>97361228</v>
      </c>
      <c r="EV59" s="447">
        <v>0</v>
      </c>
      <c r="EW59" s="447">
        <v>0</v>
      </c>
      <c r="EX59" s="447">
        <v>0</v>
      </c>
      <c r="EY59" s="447">
        <v>0</v>
      </c>
      <c r="EZ59" s="447">
        <v>0</v>
      </c>
      <c r="FA59" s="447">
        <v>0</v>
      </c>
      <c r="FB59" s="447">
        <v>0</v>
      </c>
      <c r="FC59" s="447">
        <v>0</v>
      </c>
      <c r="FD59" s="447">
        <v>97361228</v>
      </c>
      <c r="FE59" s="447">
        <v>88115.97757482275</v>
      </c>
      <c r="FF59" s="447">
        <v>0</v>
      </c>
      <c r="FG59" s="447">
        <v>0</v>
      </c>
      <c r="FH59" s="447">
        <v>102335</v>
      </c>
      <c r="FI59" s="456">
        <v>0.051500000000000004</v>
      </c>
      <c r="FJ59" s="447">
        <v>5270.2525000000005</v>
      </c>
      <c r="FK59" s="471">
        <v>5270.2525000000005</v>
      </c>
      <c r="FL59" s="446">
        <v>73.53</v>
      </c>
      <c r="FM59" s="450">
        <v>70.11</v>
      </c>
      <c r="FN59" s="450">
        <v>69.33</v>
      </c>
      <c r="FO59" s="450">
        <v>-0.78</v>
      </c>
      <c r="FP59" s="472">
        <v>69.35</v>
      </c>
      <c r="FQ59" s="446">
        <v>1023707</v>
      </c>
      <c r="FR59" s="450">
        <v>320940</v>
      </c>
      <c r="FS59" s="450">
        <v>0</v>
      </c>
      <c r="FT59" s="450">
        <v>0</v>
      </c>
      <c r="FU59" s="450">
        <v>0</v>
      </c>
      <c r="FV59" s="450">
        <v>0</v>
      </c>
      <c r="FW59" s="450">
        <v>0</v>
      </c>
      <c r="FX59" s="450">
        <v>0</v>
      </c>
      <c r="FY59" s="450">
        <v>0</v>
      </c>
      <c r="FZ59" s="450">
        <v>0</v>
      </c>
      <c r="GA59" s="450">
        <v>0</v>
      </c>
      <c r="GB59" s="450">
        <v>0</v>
      </c>
      <c r="GC59" s="450">
        <v>0</v>
      </c>
      <c r="GD59" s="450">
        <v>0</v>
      </c>
      <c r="GE59" s="450">
        <v>0</v>
      </c>
      <c r="GF59" s="450">
        <v>0</v>
      </c>
      <c r="GG59" s="450">
        <v>0</v>
      </c>
      <c r="GH59" s="450">
        <v>0</v>
      </c>
      <c r="GI59" s="450">
        <v>0</v>
      </c>
      <c r="GJ59" s="450">
        <v>0</v>
      </c>
      <c r="GK59" s="450">
        <v>0</v>
      </c>
      <c r="GL59" s="450">
        <v>0</v>
      </c>
      <c r="GM59" s="450">
        <v>0</v>
      </c>
      <c r="GN59" s="450">
        <v>0</v>
      </c>
      <c r="GO59" s="450">
        <v>0</v>
      </c>
      <c r="GP59" s="450">
        <v>0</v>
      </c>
      <c r="GQ59" s="450">
        <v>0</v>
      </c>
      <c r="GR59" s="450">
        <v>0</v>
      </c>
      <c r="GS59" s="450">
        <v>0</v>
      </c>
      <c r="GT59" s="450">
        <v>0</v>
      </c>
      <c r="GU59" s="450">
        <v>0</v>
      </c>
      <c r="GV59" s="450">
        <v>0</v>
      </c>
      <c r="GW59" s="450">
        <v>7731000</v>
      </c>
      <c r="GX59" s="450">
        <v>106731760</v>
      </c>
      <c r="GY59" s="450">
        <v>127792000</v>
      </c>
      <c r="GZ59" s="450">
        <v>23</v>
      </c>
      <c r="HA59" s="450" t="s">
        <v>888</v>
      </c>
      <c r="HB59" s="450" t="s">
        <v>888</v>
      </c>
      <c r="HC59" s="450">
        <v>0</v>
      </c>
      <c r="HD59" s="450">
        <v>0</v>
      </c>
      <c r="HE59" s="450">
        <v>0</v>
      </c>
      <c r="HF59" s="450">
        <v>0</v>
      </c>
      <c r="HG59" s="472">
        <v>0</v>
      </c>
    </row>
    <row r="60" spans="2:215" ht="12.75">
      <c r="B60" s="445" t="s">
        <v>735</v>
      </c>
      <c r="C60" s="446">
        <v>18618.75</v>
      </c>
      <c r="D60" s="447">
        <v>4368968.75</v>
      </c>
      <c r="E60" s="447">
        <v>3748575.1875</v>
      </c>
      <c r="F60" s="447">
        <v>257208.74993097884</v>
      </c>
      <c r="G60" s="447">
        <v>620393.5625000001</v>
      </c>
      <c r="H60" s="448">
        <v>0.2042038267875126</v>
      </c>
      <c r="I60" s="449">
        <v>1618.02</v>
      </c>
      <c r="J60" s="449">
        <v>2184</v>
      </c>
      <c r="K60" s="447">
        <v>4005783.9374309788</v>
      </c>
      <c r="L60" s="447">
        <v>3204627.149944783</v>
      </c>
      <c r="M60" s="447">
        <v>822269.245507282</v>
      </c>
      <c r="N60" s="447">
        <v>801156.7874861956</v>
      </c>
      <c r="O60" s="450">
        <v>1.0263524672708964</v>
      </c>
      <c r="P60" s="451">
        <v>0.9796576032225579</v>
      </c>
      <c r="Q60" s="452">
        <v>0.020302114803625378</v>
      </c>
      <c r="R60" s="447">
        <v>4026896.3954520654</v>
      </c>
      <c r="S60" s="447">
        <v>2722181.9633255964</v>
      </c>
      <c r="T60" s="447">
        <v>477070.0470566539</v>
      </c>
      <c r="U60" s="447">
        <v>587977.2361012095</v>
      </c>
      <c r="V60" s="447">
        <v>918132.378163071</v>
      </c>
      <c r="W60" s="450">
        <v>0.6404057302472976</v>
      </c>
      <c r="X60" s="452">
        <v>11.242003067295654</v>
      </c>
      <c r="Y60" s="447">
        <v>477070.0470566539</v>
      </c>
      <c r="Z60" s="447">
        <v>386582.05396339827</v>
      </c>
      <c r="AA60" s="448">
        <v>1.2340718927987875</v>
      </c>
      <c r="AB60" s="448">
        <v>0.09707955689828801</v>
      </c>
      <c r="AC60" s="449">
        <v>1784</v>
      </c>
      <c r="AD60" s="449">
        <v>1831</v>
      </c>
      <c r="AE60" s="447">
        <v>3787229.24648346</v>
      </c>
      <c r="AF60" s="447">
        <v>312098.6825859338</v>
      </c>
      <c r="AG60" s="451">
        <v>0.5</v>
      </c>
      <c r="AH60" s="450">
        <v>0.327126830855197</v>
      </c>
      <c r="AI60" s="452">
        <v>0.27547674890150103</v>
      </c>
      <c r="AJ60" s="447">
        <v>4099327.929069394</v>
      </c>
      <c r="AK60" s="453">
        <v>1</v>
      </c>
      <c r="AL60" s="447">
        <v>4099327.929069394</v>
      </c>
      <c r="AM60" s="447">
        <v>9643512.916512672</v>
      </c>
      <c r="AN60" s="447">
        <v>9548329.535449257</v>
      </c>
      <c r="AO60" s="447">
        <v>10490148.315885581</v>
      </c>
      <c r="AP60" s="447">
        <v>10490148.315885581</v>
      </c>
      <c r="AQ60" s="447">
        <v>74475</v>
      </c>
      <c r="AR60" s="447">
        <v>10564623.315885581</v>
      </c>
      <c r="AS60" s="454">
        <v>567.4185063919748</v>
      </c>
      <c r="AT60" s="450">
        <v>18617</v>
      </c>
      <c r="AU60" s="450">
        <v>562</v>
      </c>
      <c r="AV60" s="450">
        <v>2397</v>
      </c>
      <c r="AW60" s="450">
        <v>602</v>
      </c>
      <c r="AX60" s="450">
        <v>284</v>
      </c>
      <c r="AY60" s="450">
        <v>4772</v>
      </c>
      <c r="AZ60" s="450">
        <v>1276</v>
      </c>
      <c r="BA60" s="450">
        <v>608</v>
      </c>
      <c r="BB60" s="450">
        <v>853</v>
      </c>
      <c r="BC60" s="450">
        <v>21</v>
      </c>
      <c r="BD60" s="450">
        <v>1419</v>
      </c>
      <c r="BE60" s="450">
        <v>378</v>
      </c>
      <c r="BF60" s="450">
        <v>0</v>
      </c>
      <c r="BG60" s="450">
        <v>5445</v>
      </c>
      <c r="BH60" s="450">
        <v>0</v>
      </c>
      <c r="BI60" s="450">
        <v>0</v>
      </c>
      <c r="BJ60" s="452">
        <v>1.5461839402109026</v>
      </c>
      <c r="BK60" s="452">
        <v>17.817726735691203</v>
      </c>
      <c r="BL60" s="452">
        <v>13.694979244966959</v>
      </c>
      <c r="BM60" s="452">
        <v>8.245494981448484</v>
      </c>
      <c r="BN60" s="449">
        <v>18239</v>
      </c>
      <c r="BO60" s="449">
        <v>378</v>
      </c>
      <c r="BP60" s="447">
        <v>6602174.501021749</v>
      </c>
      <c r="BQ60" s="447">
        <v>18417406</v>
      </c>
      <c r="BR60" s="447">
        <v>26302808</v>
      </c>
      <c r="BS60" s="448">
        <v>0.09708868238706558</v>
      </c>
      <c r="BT60" s="449">
        <v>1784</v>
      </c>
      <c r="BU60" s="449">
        <v>1831</v>
      </c>
      <c r="BV60" s="447">
        <v>2553704.971799968</v>
      </c>
      <c r="BW60" s="448">
        <v>0.014397684498535701</v>
      </c>
      <c r="BX60" s="447">
        <v>75484.69234918327</v>
      </c>
      <c r="BY60" s="447">
        <v>27648770.1651709</v>
      </c>
      <c r="BZ60" s="455">
        <v>0.9333333333333335</v>
      </c>
      <c r="CA60" s="447">
        <v>25805518.820826177</v>
      </c>
      <c r="CB60" s="447">
        <v>19406449.63616497</v>
      </c>
      <c r="CC60" s="447">
        <v>19382697.684103716</v>
      </c>
      <c r="CD60" s="447">
        <v>20701435.241328</v>
      </c>
      <c r="CE60" s="447">
        <v>20701435.241328</v>
      </c>
      <c r="CF60" s="454">
        <v>1111.9640780645648</v>
      </c>
      <c r="CG60" s="450">
        <v>18617</v>
      </c>
      <c r="CH60" s="450">
        <v>562</v>
      </c>
      <c r="CI60" s="450">
        <v>2397</v>
      </c>
      <c r="CJ60" s="450">
        <v>602</v>
      </c>
      <c r="CK60" s="450">
        <v>284</v>
      </c>
      <c r="CL60" s="450">
        <v>4772</v>
      </c>
      <c r="CM60" s="450">
        <v>1276</v>
      </c>
      <c r="CN60" s="450">
        <v>608</v>
      </c>
      <c r="CO60" s="450">
        <v>853</v>
      </c>
      <c r="CP60" s="450">
        <v>21</v>
      </c>
      <c r="CQ60" s="450">
        <v>1419</v>
      </c>
      <c r="CR60" s="450">
        <v>378</v>
      </c>
      <c r="CS60" s="450">
        <v>0</v>
      </c>
      <c r="CT60" s="450">
        <v>5445</v>
      </c>
      <c r="CU60" s="450">
        <v>0</v>
      </c>
      <c r="CV60" s="450">
        <v>0</v>
      </c>
      <c r="CW60" s="447">
        <v>12760048.270698924</v>
      </c>
      <c r="CX60" s="452">
        <v>0.9111324575965379</v>
      </c>
      <c r="CY60" s="452">
        <v>0.9333333333333335</v>
      </c>
      <c r="CZ60" s="447">
        <v>11626094.139932364</v>
      </c>
      <c r="DA60" s="454">
        <v>624.4880560741453</v>
      </c>
      <c r="DB60" s="449">
        <v>18618.75</v>
      </c>
      <c r="DC60" s="452">
        <v>1.009749580396106</v>
      </c>
      <c r="DD60" s="454">
        <v>289.7</v>
      </c>
      <c r="DE60" s="447">
        <v>21673</v>
      </c>
      <c r="DF60" s="454">
        <v>42.48722944772357</v>
      </c>
      <c r="DG60" s="454">
        <v>44.31418031397568</v>
      </c>
      <c r="DH60" s="454">
        <v>45.28909228088314</v>
      </c>
      <c r="DI60" s="454">
        <v>46.285452311062556</v>
      </c>
      <c r="DJ60" s="454">
        <v>47.81287223732762</v>
      </c>
      <c r="DK60" s="454">
        <v>49.5341356378714</v>
      </c>
      <c r="DL60" s="454">
        <v>51.11922797828328</v>
      </c>
      <c r="DM60" s="454">
        <v>53.215116325392884</v>
      </c>
      <c r="DN60" s="454">
        <v>55.55658144371016</v>
      </c>
      <c r="DO60" s="454">
        <v>58.61219342311421</v>
      </c>
      <c r="DP60" s="454">
        <v>58.084683682306185</v>
      </c>
      <c r="DQ60" s="454">
        <v>61.0470025501038</v>
      </c>
      <c r="DR60" s="454">
        <v>64.77086970566013</v>
      </c>
      <c r="DS60" s="454">
        <v>34.721581452702395</v>
      </c>
      <c r="DT60" s="454">
        <v>36.46581984828397</v>
      </c>
      <c r="DU60" s="454">
        <v>38.269999487848025</v>
      </c>
      <c r="DV60" s="454">
        <v>40.56790481674458</v>
      </c>
      <c r="DW60" s="454">
        <v>43.10060456839366</v>
      </c>
      <c r="DX60" s="454">
        <v>45.58639125853242</v>
      </c>
      <c r="DY60" s="454">
        <v>48.60736990518438</v>
      </c>
      <c r="DZ60" s="454">
        <v>51.280592765756666</v>
      </c>
      <c r="EA60" s="454">
        <v>52.81207152915089</v>
      </c>
      <c r="EB60" s="454">
        <v>54.20904978992197</v>
      </c>
      <c r="EC60" s="454">
        <v>57.78836957338715</v>
      </c>
      <c r="ED60" s="454">
        <v>62.17781251443785</v>
      </c>
      <c r="EE60" s="454">
        <v>-0.65</v>
      </c>
      <c r="EF60" s="454">
        <v>61.527812514437855</v>
      </c>
      <c r="EG60" s="454">
        <v>3199.4462507507683</v>
      </c>
      <c r="EH60" s="447">
        <v>58378296.08354255</v>
      </c>
      <c r="EI60" s="454">
        <v>39.33194857241298</v>
      </c>
      <c r="EJ60" s="454">
        <v>40.706435524993765</v>
      </c>
      <c r="EK60" s="454">
        <v>42.12236324037906</v>
      </c>
      <c r="EL60" s="454">
        <v>44.04996010356357</v>
      </c>
      <c r="EM60" s="454">
        <v>46.19266966308893</v>
      </c>
      <c r="EN60" s="454">
        <v>48.24556723997035</v>
      </c>
      <c r="EO60" s="454">
        <v>50.821931662525884</v>
      </c>
      <c r="EP60" s="454">
        <v>53.335706076569586</v>
      </c>
      <c r="EQ60" s="454">
        <v>54.77196458989614</v>
      </c>
      <c r="ER60" s="454">
        <v>55.51864777950535</v>
      </c>
      <c r="ES60" s="454">
        <v>58.88947956302886</v>
      </c>
      <c r="ET60" s="454">
        <v>63.05402078869525</v>
      </c>
      <c r="EU60" s="447">
        <v>187986645</v>
      </c>
      <c r="EV60" s="447">
        <v>0</v>
      </c>
      <c r="EW60" s="447">
        <v>0</v>
      </c>
      <c r="EX60" s="447">
        <v>0</v>
      </c>
      <c r="EY60" s="447">
        <v>0</v>
      </c>
      <c r="EZ60" s="447">
        <v>0</v>
      </c>
      <c r="FA60" s="447">
        <v>705559</v>
      </c>
      <c r="FB60" s="447">
        <v>0</v>
      </c>
      <c r="FC60" s="447">
        <v>0</v>
      </c>
      <c r="FD60" s="447">
        <v>187281086</v>
      </c>
      <c r="FE60" s="447">
        <v>132071.8938973328</v>
      </c>
      <c r="FF60" s="447">
        <v>0</v>
      </c>
      <c r="FG60" s="447">
        <v>0</v>
      </c>
      <c r="FH60" s="447">
        <v>9018</v>
      </c>
      <c r="FI60" s="456">
        <v>0.0545</v>
      </c>
      <c r="FJ60" s="447">
        <v>491.481</v>
      </c>
      <c r="FK60" s="471">
        <v>491.481</v>
      </c>
      <c r="FL60" s="446">
        <v>61.01</v>
      </c>
      <c r="FM60" s="450">
        <v>59.98</v>
      </c>
      <c r="FN60" s="450">
        <v>59</v>
      </c>
      <c r="FO60" s="450">
        <v>-0.98</v>
      </c>
      <c r="FP60" s="472">
        <v>59.33</v>
      </c>
      <c r="FQ60" s="446">
        <v>149339</v>
      </c>
      <c r="FR60" s="450">
        <v>164606</v>
      </c>
      <c r="FS60" s="450">
        <v>0</v>
      </c>
      <c r="FT60" s="450">
        <v>0</v>
      </c>
      <c r="FU60" s="450">
        <v>0</v>
      </c>
      <c r="FV60" s="450">
        <v>0</v>
      </c>
      <c r="FW60" s="450">
        <v>0</v>
      </c>
      <c r="FX60" s="450">
        <v>0</v>
      </c>
      <c r="FY60" s="450">
        <v>0</v>
      </c>
      <c r="FZ60" s="450">
        <v>0</v>
      </c>
      <c r="GA60" s="450">
        <v>0</v>
      </c>
      <c r="GB60" s="450">
        <v>0</v>
      </c>
      <c r="GC60" s="450">
        <v>0</v>
      </c>
      <c r="GD60" s="450">
        <v>0</v>
      </c>
      <c r="GE60" s="450">
        <v>0</v>
      </c>
      <c r="GF60" s="450">
        <v>0</v>
      </c>
      <c r="GG60" s="450">
        <v>0</v>
      </c>
      <c r="GH60" s="450">
        <v>0</v>
      </c>
      <c r="GI60" s="450">
        <v>0</v>
      </c>
      <c r="GJ60" s="450">
        <v>0</v>
      </c>
      <c r="GK60" s="450">
        <v>0</v>
      </c>
      <c r="GL60" s="450">
        <v>0</v>
      </c>
      <c r="GM60" s="450">
        <v>0</v>
      </c>
      <c r="GN60" s="450">
        <v>0</v>
      </c>
      <c r="GO60" s="450">
        <v>0</v>
      </c>
      <c r="GP60" s="450">
        <v>0</v>
      </c>
      <c r="GQ60" s="450">
        <v>0</v>
      </c>
      <c r="GR60" s="450">
        <v>0</v>
      </c>
      <c r="GS60" s="450">
        <v>0</v>
      </c>
      <c r="GT60" s="450">
        <v>0</v>
      </c>
      <c r="GU60" s="450">
        <v>0</v>
      </c>
      <c r="GV60" s="450">
        <v>0</v>
      </c>
      <c r="GW60" s="450">
        <v>5573637</v>
      </c>
      <c r="GX60" s="450">
        <v>152235174</v>
      </c>
      <c r="GY60" s="450">
        <v>174410527</v>
      </c>
      <c r="GZ60" s="450">
        <v>42</v>
      </c>
      <c r="HA60" s="450" t="s">
        <v>888</v>
      </c>
      <c r="HB60" s="450" t="s">
        <v>888</v>
      </c>
      <c r="HC60" s="450">
        <v>12</v>
      </c>
      <c r="HD60" s="450">
        <v>0</v>
      </c>
      <c r="HE60" s="450">
        <v>0</v>
      </c>
      <c r="HF60" s="450">
        <v>0</v>
      </c>
      <c r="HG60" s="472">
        <v>0</v>
      </c>
    </row>
    <row r="61" spans="2:215" ht="12.75">
      <c r="B61" s="445" t="s">
        <v>736</v>
      </c>
      <c r="C61" s="446">
        <v>13047</v>
      </c>
      <c r="D61" s="447">
        <v>3070751</v>
      </c>
      <c r="E61" s="447">
        <v>2634704.358</v>
      </c>
      <c r="F61" s="447">
        <v>634699.5540589583</v>
      </c>
      <c r="G61" s="447">
        <v>436046.64200000005</v>
      </c>
      <c r="H61" s="448">
        <v>0.7169364604890012</v>
      </c>
      <c r="I61" s="449">
        <v>8967.64</v>
      </c>
      <c r="J61" s="449">
        <v>386.23</v>
      </c>
      <c r="K61" s="447">
        <v>3269403.9120589583</v>
      </c>
      <c r="L61" s="447">
        <v>2615523.129647167</v>
      </c>
      <c r="M61" s="447">
        <v>1194907.3649435437</v>
      </c>
      <c r="N61" s="447">
        <v>653880.7824117915</v>
      </c>
      <c r="O61" s="450">
        <v>1.8274085996780867</v>
      </c>
      <c r="P61" s="451">
        <v>0.3635318464014716</v>
      </c>
      <c r="Q61" s="452">
        <v>0.6364681535985284</v>
      </c>
      <c r="R61" s="447">
        <v>3810430.494590711</v>
      </c>
      <c r="S61" s="447">
        <v>2575851.014343321</v>
      </c>
      <c r="T61" s="447">
        <v>321123.49457712896</v>
      </c>
      <c r="U61" s="447">
        <v>1261461.741269155</v>
      </c>
      <c r="V61" s="447">
        <v>868778.1527666821</v>
      </c>
      <c r="W61" s="450">
        <v>1.451995238660118</v>
      </c>
      <c r="X61" s="452">
        <v>25.489051949007933</v>
      </c>
      <c r="Y61" s="447">
        <v>321123.49457712896</v>
      </c>
      <c r="Z61" s="447">
        <v>365801.32748070825</v>
      </c>
      <c r="AA61" s="448">
        <v>0.8778631198216864</v>
      </c>
      <c r="AB61" s="448">
        <v>0.0690580210009964</v>
      </c>
      <c r="AC61" s="449">
        <v>1003</v>
      </c>
      <c r="AD61" s="449">
        <v>799</v>
      </c>
      <c r="AE61" s="447">
        <v>4158436.2501896047</v>
      </c>
      <c r="AF61" s="447">
        <v>376746.31258952804</v>
      </c>
      <c r="AG61" s="451">
        <v>1</v>
      </c>
      <c r="AH61" s="450">
        <v>0.2663540839423963</v>
      </c>
      <c r="AI61" s="452">
        <v>0.22429941594600677</v>
      </c>
      <c r="AJ61" s="447">
        <v>4535182.562779132</v>
      </c>
      <c r="AK61" s="453">
        <v>1.1108</v>
      </c>
      <c r="AL61" s="447">
        <v>5037680.79073506</v>
      </c>
      <c r="AM61" s="447">
        <v>11850952.30616251</v>
      </c>
      <c r="AN61" s="447">
        <v>11733981.061442103</v>
      </c>
      <c r="AO61" s="447">
        <v>11270480.011499764</v>
      </c>
      <c r="AP61" s="447">
        <v>11733981.061442103</v>
      </c>
      <c r="AQ61" s="447">
        <v>52188</v>
      </c>
      <c r="AR61" s="447">
        <v>11786169.061442103</v>
      </c>
      <c r="AS61" s="454">
        <v>903.3623868661074</v>
      </c>
      <c r="AT61" s="450">
        <v>13042</v>
      </c>
      <c r="AU61" s="450">
        <v>196</v>
      </c>
      <c r="AV61" s="450">
        <v>338</v>
      </c>
      <c r="AW61" s="450">
        <v>818</v>
      </c>
      <c r="AX61" s="450">
        <v>17</v>
      </c>
      <c r="AY61" s="450">
        <v>617</v>
      </c>
      <c r="AZ61" s="450">
        <v>102</v>
      </c>
      <c r="BA61" s="450">
        <v>440</v>
      </c>
      <c r="BB61" s="450">
        <v>125</v>
      </c>
      <c r="BC61" s="450">
        <v>590</v>
      </c>
      <c r="BD61" s="450">
        <v>1182</v>
      </c>
      <c r="BE61" s="450">
        <v>5638</v>
      </c>
      <c r="BF61" s="450">
        <v>2666</v>
      </c>
      <c r="BG61" s="450">
        <v>225</v>
      </c>
      <c r="BH61" s="450">
        <v>57</v>
      </c>
      <c r="BI61" s="450">
        <v>31</v>
      </c>
      <c r="BJ61" s="452">
        <v>2.3244111186529395</v>
      </c>
      <c r="BK61" s="452">
        <v>17.888773813014687</v>
      </c>
      <c r="BL61" s="452">
        <v>6.561865882035593</v>
      </c>
      <c r="BM61" s="452">
        <v>22.65381586195819</v>
      </c>
      <c r="BN61" s="449">
        <v>4738</v>
      </c>
      <c r="BO61" s="449">
        <v>8304</v>
      </c>
      <c r="BP61" s="447">
        <v>5570070.04242831</v>
      </c>
      <c r="BQ61" s="447">
        <v>16011499</v>
      </c>
      <c r="BR61" s="447">
        <v>17104715</v>
      </c>
      <c r="BS61" s="448">
        <v>0.06908449624290752</v>
      </c>
      <c r="BT61" s="449">
        <v>1003</v>
      </c>
      <c r="BU61" s="449">
        <v>799</v>
      </c>
      <c r="BV61" s="447">
        <v>1181670.619153504</v>
      </c>
      <c r="BW61" s="448">
        <v>0.02554112703454333</v>
      </c>
      <c r="BX61" s="447">
        <v>94182.251840422</v>
      </c>
      <c r="BY61" s="447">
        <v>22857421.913422238</v>
      </c>
      <c r="BZ61" s="455">
        <v>1.1433333333333333</v>
      </c>
      <c r="CA61" s="447">
        <v>26133652.387679424</v>
      </c>
      <c r="CB61" s="447">
        <v>19653214.972808138</v>
      </c>
      <c r="CC61" s="447">
        <v>19629160.99958607</v>
      </c>
      <c r="CD61" s="447">
        <v>18978832.57730969</v>
      </c>
      <c r="CE61" s="447">
        <v>19629160.99958607</v>
      </c>
      <c r="CF61" s="454">
        <v>1505.0729182323319</v>
      </c>
      <c r="CG61" s="450">
        <v>13042</v>
      </c>
      <c r="CH61" s="450">
        <v>196</v>
      </c>
      <c r="CI61" s="450">
        <v>338</v>
      </c>
      <c r="CJ61" s="450">
        <v>818</v>
      </c>
      <c r="CK61" s="450">
        <v>17</v>
      </c>
      <c r="CL61" s="450">
        <v>617</v>
      </c>
      <c r="CM61" s="450">
        <v>102</v>
      </c>
      <c r="CN61" s="450">
        <v>440</v>
      </c>
      <c r="CO61" s="450">
        <v>125</v>
      </c>
      <c r="CP61" s="450">
        <v>590</v>
      </c>
      <c r="CQ61" s="450">
        <v>1182</v>
      </c>
      <c r="CR61" s="450">
        <v>5638</v>
      </c>
      <c r="CS61" s="450">
        <v>2666</v>
      </c>
      <c r="CT61" s="450">
        <v>225</v>
      </c>
      <c r="CU61" s="450">
        <v>57</v>
      </c>
      <c r="CV61" s="450">
        <v>31</v>
      </c>
      <c r="CW61" s="447">
        <v>10669208.666104991</v>
      </c>
      <c r="CX61" s="452">
        <v>1.116137260555759</v>
      </c>
      <c r="CY61" s="452">
        <v>1.1433333333333333</v>
      </c>
      <c r="CZ61" s="447">
        <v>11908301.332884187</v>
      </c>
      <c r="DA61" s="454">
        <v>913.0732504895099</v>
      </c>
      <c r="DB61" s="449">
        <v>13047</v>
      </c>
      <c r="DC61" s="452">
        <v>0.9862803709665057</v>
      </c>
      <c r="DD61" s="454">
        <v>354.1</v>
      </c>
      <c r="DE61" s="447">
        <v>64721</v>
      </c>
      <c r="DF61" s="454">
        <v>63.51958682703042</v>
      </c>
      <c r="DG61" s="454">
        <v>66.25092906059272</v>
      </c>
      <c r="DH61" s="454">
        <v>67.70844949992575</v>
      </c>
      <c r="DI61" s="454">
        <v>69.1980353889241</v>
      </c>
      <c r="DJ61" s="454">
        <v>71.48157055675858</v>
      </c>
      <c r="DK61" s="454">
        <v>74.05490709680188</v>
      </c>
      <c r="DL61" s="454">
        <v>76.42466412389953</v>
      </c>
      <c r="DM61" s="454">
        <v>79.5580753529794</v>
      </c>
      <c r="DN61" s="454">
        <v>83.05863066851047</v>
      </c>
      <c r="DO61" s="454">
        <v>87.62685535527855</v>
      </c>
      <c r="DP61" s="454">
        <v>86.83821365708104</v>
      </c>
      <c r="DQ61" s="454">
        <v>91.26696255359217</v>
      </c>
      <c r="DR61" s="454">
        <v>96.83424726936128</v>
      </c>
      <c r="DS61" s="454">
        <v>52.75</v>
      </c>
      <c r="DT61" s="454">
        <v>55.29029494999257</v>
      </c>
      <c r="DU61" s="454">
        <v>57.9168318777848</v>
      </c>
      <c r="DV61" s="454">
        <v>61.284772733127554</v>
      </c>
      <c r="DW61" s="454">
        <v>65.00015062941753</v>
      </c>
      <c r="DX61" s="454">
        <v>68.637573561949</v>
      </c>
      <c r="DY61" s="454">
        <v>73.072986332987</v>
      </c>
      <c r="DZ61" s="454">
        <v>77.04046805795754</v>
      </c>
      <c r="EA61" s="454">
        <v>79.31271672829075</v>
      </c>
      <c r="EB61" s="454">
        <v>81.28271705928171</v>
      </c>
      <c r="EC61" s="454">
        <v>86.5959010141625</v>
      </c>
      <c r="ED61" s="454">
        <v>93.11725004936011</v>
      </c>
      <c r="EE61" s="454">
        <v>-0.81</v>
      </c>
      <c r="EF61" s="454">
        <v>92.3072500493601</v>
      </c>
      <c r="EG61" s="454">
        <v>4799.977002566726</v>
      </c>
      <c r="EH61" s="447">
        <v>61372793.95343831</v>
      </c>
      <c r="EI61" s="454">
        <v>66.35</v>
      </c>
      <c r="EJ61" s="454">
        <v>67.79957494999256</v>
      </c>
      <c r="EK61" s="454">
        <v>69.28081779778479</v>
      </c>
      <c r="EL61" s="454">
        <v>71.55639550656755</v>
      </c>
      <c r="EM61" s="454">
        <v>74.12135165223224</v>
      </c>
      <c r="EN61" s="454">
        <v>76.48180644156963</v>
      </c>
      <c r="EO61" s="454">
        <v>79.60566347513506</v>
      </c>
      <c r="EP61" s="454">
        <v>83.10279244587093</v>
      </c>
      <c r="EQ61" s="454">
        <v>85.09415341956415</v>
      </c>
      <c r="ER61" s="454">
        <v>85.14586552357406</v>
      </c>
      <c r="ES61" s="454">
        <v>89.8440362429395</v>
      </c>
      <c r="ET61" s="454">
        <v>95.70195365765943</v>
      </c>
      <c r="EU61" s="447">
        <v>398240560</v>
      </c>
      <c r="EV61" s="447">
        <v>0</v>
      </c>
      <c r="EW61" s="447">
        <v>0</v>
      </c>
      <c r="EX61" s="447">
        <v>12560</v>
      </c>
      <c r="EY61" s="447">
        <v>0</v>
      </c>
      <c r="EZ61" s="447">
        <v>0</v>
      </c>
      <c r="FA61" s="447">
        <v>0</v>
      </c>
      <c r="FB61" s="447">
        <v>0</v>
      </c>
      <c r="FC61" s="447">
        <v>0</v>
      </c>
      <c r="FD61" s="447">
        <v>398253120</v>
      </c>
      <c r="FE61" s="447">
        <v>235202.27331690153</v>
      </c>
      <c r="FF61" s="447">
        <v>0</v>
      </c>
      <c r="FG61" s="447">
        <v>0</v>
      </c>
      <c r="FH61" s="447">
        <v>100765</v>
      </c>
      <c r="FI61" s="456">
        <v>0.053200000000000004</v>
      </c>
      <c r="FJ61" s="447">
        <v>5360.698</v>
      </c>
      <c r="FK61" s="471">
        <v>5360.698</v>
      </c>
      <c r="FL61" s="446">
        <v>91.21</v>
      </c>
      <c r="FM61" s="450">
        <v>90.28</v>
      </c>
      <c r="FN61" s="450">
        <v>89.47</v>
      </c>
      <c r="FO61" s="450">
        <v>-0.81</v>
      </c>
      <c r="FP61" s="472">
        <v>85.97</v>
      </c>
      <c r="FQ61" s="446">
        <v>552247</v>
      </c>
      <c r="FR61" s="450">
        <v>0</v>
      </c>
      <c r="FS61" s="450">
        <v>0</v>
      </c>
      <c r="FT61" s="450">
        <v>0</v>
      </c>
      <c r="FU61" s="450">
        <v>0</v>
      </c>
      <c r="FV61" s="450">
        <v>0</v>
      </c>
      <c r="FW61" s="450">
        <v>0</v>
      </c>
      <c r="FX61" s="450">
        <v>0</v>
      </c>
      <c r="FY61" s="450">
        <v>0</v>
      </c>
      <c r="FZ61" s="450">
        <v>0</v>
      </c>
      <c r="GA61" s="450">
        <v>0</v>
      </c>
      <c r="GB61" s="450">
        <v>0</v>
      </c>
      <c r="GC61" s="450">
        <v>0</v>
      </c>
      <c r="GD61" s="450">
        <v>0</v>
      </c>
      <c r="GE61" s="450">
        <v>0</v>
      </c>
      <c r="GF61" s="450">
        <v>0</v>
      </c>
      <c r="GG61" s="450">
        <v>0</v>
      </c>
      <c r="GH61" s="450">
        <v>0</v>
      </c>
      <c r="GI61" s="450">
        <v>0</v>
      </c>
      <c r="GJ61" s="450">
        <v>0</v>
      </c>
      <c r="GK61" s="450">
        <v>0</v>
      </c>
      <c r="GL61" s="450">
        <v>0</v>
      </c>
      <c r="GM61" s="450">
        <v>0</v>
      </c>
      <c r="GN61" s="450">
        <v>0</v>
      </c>
      <c r="GO61" s="450">
        <v>0</v>
      </c>
      <c r="GP61" s="450">
        <v>0</v>
      </c>
      <c r="GQ61" s="450">
        <v>0</v>
      </c>
      <c r="GR61" s="450">
        <v>0</v>
      </c>
      <c r="GS61" s="450">
        <v>0</v>
      </c>
      <c r="GT61" s="450">
        <v>0</v>
      </c>
      <c r="GU61" s="450">
        <v>0</v>
      </c>
      <c r="GV61" s="450">
        <v>0</v>
      </c>
      <c r="GW61" s="450">
        <v>4545122</v>
      </c>
      <c r="GX61" s="450">
        <v>348120159</v>
      </c>
      <c r="GY61" s="450">
        <v>352488095</v>
      </c>
      <c r="GZ61" s="450">
        <v>184</v>
      </c>
      <c r="HA61" s="450" t="s">
        <v>888</v>
      </c>
      <c r="HB61" s="450" t="s">
        <v>888</v>
      </c>
      <c r="HC61" s="450">
        <v>45</v>
      </c>
      <c r="HD61" s="450">
        <v>544</v>
      </c>
      <c r="HE61" s="450">
        <v>327</v>
      </c>
      <c r="HF61" s="450">
        <v>609</v>
      </c>
      <c r="HG61" s="472">
        <v>207</v>
      </c>
    </row>
    <row r="62" spans="2:215" ht="12.75">
      <c r="B62" s="445" t="s">
        <v>737</v>
      </c>
      <c r="C62" s="446">
        <v>4303</v>
      </c>
      <c r="D62" s="447">
        <v>1033399</v>
      </c>
      <c r="E62" s="447">
        <v>886656.342</v>
      </c>
      <c r="F62" s="447">
        <v>102769.49632553424</v>
      </c>
      <c r="G62" s="447">
        <v>146742.65800000002</v>
      </c>
      <c r="H62" s="448">
        <v>0.3449477108993726</v>
      </c>
      <c r="I62" s="449">
        <v>1083.13</v>
      </c>
      <c r="J62" s="449">
        <v>401.18</v>
      </c>
      <c r="K62" s="447">
        <v>989425.8383255342</v>
      </c>
      <c r="L62" s="447">
        <v>791540.6706604274</v>
      </c>
      <c r="M62" s="447">
        <v>207151.6936433822</v>
      </c>
      <c r="N62" s="447">
        <v>197885.1676651068</v>
      </c>
      <c r="O62" s="450">
        <v>1.0468277945619335</v>
      </c>
      <c r="P62" s="451">
        <v>0.9639786195677434</v>
      </c>
      <c r="Q62" s="452">
        <v>0.03602138043225656</v>
      </c>
      <c r="R62" s="447">
        <v>998692.3643038096</v>
      </c>
      <c r="S62" s="447">
        <v>675116.0382693753</v>
      </c>
      <c r="T62" s="447">
        <v>77889.15381913166</v>
      </c>
      <c r="U62" s="447">
        <v>103252.42780793151</v>
      </c>
      <c r="V62" s="447">
        <v>227701.8590612686</v>
      </c>
      <c r="W62" s="450">
        <v>0.4534544787363769</v>
      </c>
      <c r="X62" s="452">
        <v>7.960167125401533</v>
      </c>
      <c r="Y62" s="447">
        <v>77889.15381913166</v>
      </c>
      <c r="Z62" s="447">
        <v>95874.46697316572</v>
      </c>
      <c r="AA62" s="448">
        <v>0.812407685572135</v>
      </c>
      <c r="AB62" s="448">
        <v>0.0639089007669068</v>
      </c>
      <c r="AC62" s="449">
        <v>227</v>
      </c>
      <c r="AD62" s="449">
        <v>323</v>
      </c>
      <c r="AE62" s="447">
        <v>856257.6198964386</v>
      </c>
      <c r="AF62" s="447">
        <v>0</v>
      </c>
      <c r="AG62" s="451">
        <v>0</v>
      </c>
      <c r="AH62" s="450">
        <v>0.012848055731916032</v>
      </c>
      <c r="AI62" s="452">
        <v>0.010819475166499615</v>
      </c>
      <c r="AJ62" s="447">
        <v>856257.6198964386</v>
      </c>
      <c r="AK62" s="453">
        <v>1</v>
      </c>
      <c r="AL62" s="447">
        <v>856257.6198964386</v>
      </c>
      <c r="AM62" s="447">
        <v>2014313.4582571038</v>
      </c>
      <c r="AN62" s="447">
        <v>1994431.7857651066</v>
      </c>
      <c r="AO62" s="447">
        <v>1901721.1322365203</v>
      </c>
      <c r="AP62" s="447">
        <v>1994431.7857651066</v>
      </c>
      <c r="AQ62" s="447">
        <v>17212</v>
      </c>
      <c r="AR62" s="447">
        <v>2011643.7857651066</v>
      </c>
      <c r="AS62" s="454">
        <v>467.4979748466434</v>
      </c>
      <c r="AT62" s="450">
        <v>4303</v>
      </c>
      <c r="AU62" s="450">
        <v>266</v>
      </c>
      <c r="AV62" s="450">
        <v>321</v>
      </c>
      <c r="AW62" s="450">
        <v>37</v>
      </c>
      <c r="AX62" s="450">
        <v>238</v>
      </c>
      <c r="AY62" s="450">
        <v>581</v>
      </c>
      <c r="AZ62" s="450">
        <v>179</v>
      </c>
      <c r="BA62" s="450">
        <v>262</v>
      </c>
      <c r="BB62" s="450">
        <v>212</v>
      </c>
      <c r="BC62" s="450">
        <v>71</v>
      </c>
      <c r="BD62" s="450">
        <v>991</v>
      </c>
      <c r="BE62" s="450">
        <v>155</v>
      </c>
      <c r="BF62" s="450">
        <v>0</v>
      </c>
      <c r="BG62" s="450">
        <v>990</v>
      </c>
      <c r="BH62" s="450">
        <v>0</v>
      </c>
      <c r="BI62" s="450">
        <v>0</v>
      </c>
      <c r="BJ62" s="452">
        <v>1.1435176342008482</v>
      </c>
      <c r="BK62" s="452">
        <v>4.518798957289829</v>
      </c>
      <c r="BL62" s="452">
        <v>2.60828707137194</v>
      </c>
      <c r="BM62" s="452">
        <v>3.8210237718357773</v>
      </c>
      <c r="BN62" s="449">
        <v>4148</v>
      </c>
      <c r="BO62" s="449">
        <v>155</v>
      </c>
      <c r="BP62" s="447">
        <v>1006391.5735780193</v>
      </c>
      <c r="BQ62" s="447">
        <v>4264663</v>
      </c>
      <c r="BR62" s="447">
        <v>5804908</v>
      </c>
      <c r="BS62" s="448">
        <v>0.0639089007669068</v>
      </c>
      <c r="BT62" s="449">
        <v>227</v>
      </c>
      <c r="BU62" s="449">
        <v>323</v>
      </c>
      <c r="BV62" s="447">
        <v>370985.2893330235</v>
      </c>
      <c r="BW62" s="448">
        <v>0.007323660477051391</v>
      </c>
      <c r="BX62" s="447">
        <v>2250.7476862063095</v>
      </c>
      <c r="BY62" s="447">
        <v>5644290.610597249</v>
      </c>
      <c r="BZ62" s="455">
        <v>1.0133333333333334</v>
      </c>
      <c r="CA62" s="447">
        <v>5719547.818738546</v>
      </c>
      <c r="CB62" s="447">
        <v>4301254.993424434</v>
      </c>
      <c r="CC62" s="447">
        <v>4295990.599147149</v>
      </c>
      <c r="CD62" s="447">
        <v>4084737.8527971036</v>
      </c>
      <c r="CE62" s="447">
        <v>4295990.599147149</v>
      </c>
      <c r="CF62" s="454">
        <v>998.3710432598534</v>
      </c>
      <c r="CG62" s="450">
        <v>4303</v>
      </c>
      <c r="CH62" s="450">
        <v>266</v>
      </c>
      <c r="CI62" s="450">
        <v>321</v>
      </c>
      <c r="CJ62" s="450">
        <v>37</v>
      </c>
      <c r="CK62" s="450">
        <v>238</v>
      </c>
      <c r="CL62" s="450">
        <v>581</v>
      </c>
      <c r="CM62" s="450">
        <v>179</v>
      </c>
      <c r="CN62" s="450">
        <v>262</v>
      </c>
      <c r="CO62" s="450">
        <v>212</v>
      </c>
      <c r="CP62" s="450">
        <v>71</v>
      </c>
      <c r="CQ62" s="450">
        <v>991</v>
      </c>
      <c r="CR62" s="450">
        <v>155</v>
      </c>
      <c r="CS62" s="450">
        <v>0</v>
      </c>
      <c r="CT62" s="450">
        <v>990</v>
      </c>
      <c r="CU62" s="450">
        <v>0</v>
      </c>
      <c r="CV62" s="450">
        <v>0</v>
      </c>
      <c r="CW62" s="447">
        <v>3008245.7431260813</v>
      </c>
      <c r="CX62" s="452">
        <v>0.9892295253905269</v>
      </c>
      <c r="CY62" s="452">
        <v>1.0133333333333334</v>
      </c>
      <c r="CZ62" s="447">
        <v>2975845.5087306863</v>
      </c>
      <c r="DA62" s="454">
        <v>691.5746011458717</v>
      </c>
      <c r="DB62" s="449">
        <v>4303</v>
      </c>
      <c r="DC62" s="452">
        <v>1.012619102951429</v>
      </c>
      <c r="DD62" s="454">
        <v>278</v>
      </c>
      <c r="DE62" s="447">
        <v>49217</v>
      </c>
      <c r="DF62" s="454">
        <v>50.228086862545254</v>
      </c>
      <c r="DG62" s="454">
        <v>52.3878945976347</v>
      </c>
      <c r="DH62" s="454">
        <v>53.54042827878265</v>
      </c>
      <c r="DI62" s="454">
        <v>54.718317700915854</v>
      </c>
      <c r="DJ62" s="454">
        <v>56.52402218504607</v>
      </c>
      <c r="DK62" s="454">
        <v>58.55888698370772</v>
      </c>
      <c r="DL62" s="454">
        <v>60.432771367186355</v>
      </c>
      <c r="DM62" s="454">
        <v>62.910514993240994</v>
      </c>
      <c r="DN62" s="454">
        <v>65.67857765294359</v>
      </c>
      <c r="DO62" s="454">
        <v>69.29089942385548</v>
      </c>
      <c r="DP62" s="454">
        <v>68.66728132904078</v>
      </c>
      <c r="DQ62" s="454">
        <v>72.16931267682185</v>
      </c>
      <c r="DR62" s="454">
        <v>76.57164075010797</v>
      </c>
      <c r="DS62" s="454">
        <v>41.69</v>
      </c>
      <c r="DT62" s="454">
        <v>43.700504827878255</v>
      </c>
      <c r="DU62" s="454">
        <v>45.779293908183156</v>
      </c>
      <c r="DV62" s="454">
        <v>48.44426205438981</v>
      </c>
      <c r="DW62" s="454">
        <v>51.384059987684964</v>
      </c>
      <c r="DX62" s="454">
        <v>54.262420150606786</v>
      </c>
      <c r="DY62" s="454">
        <v>57.77184650007353</v>
      </c>
      <c r="DZ62" s="454">
        <v>60.90989329128418</v>
      </c>
      <c r="EA62" s="454">
        <v>62.707128197045044</v>
      </c>
      <c r="EB62" s="454">
        <v>64.2680139734896</v>
      </c>
      <c r="EC62" s="454">
        <v>68.47040868427442</v>
      </c>
      <c r="ED62" s="454">
        <v>73.62823789803835</v>
      </c>
      <c r="EE62" s="454">
        <v>-1.11</v>
      </c>
      <c r="EF62" s="454">
        <v>72.51823789803835</v>
      </c>
      <c r="EG62" s="454">
        <v>3770.948370697994</v>
      </c>
      <c r="EH62" s="447">
        <v>15901863.022331199</v>
      </c>
      <c r="EI62" s="454">
        <v>42.11</v>
      </c>
      <c r="EJ62" s="454">
        <v>44.086820827878256</v>
      </c>
      <c r="EK62" s="454">
        <v>46.13024053218316</v>
      </c>
      <c r="EL62" s="454">
        <v>48.76147393415781</v>
      </c>
      <c r="EM62" s="454">
        <v>51.66574413691895</v>
      </c>
      <c r="EN62" s="454">
        <v>54.504668518948016</v>
      </c>
      <c r="EO62" s="454">
        <v>57.9735909412281</v>
      </c>
      <c r="EP62" s="454">
        <v>61.097112132675626</v>
      </c>
      <c r="EQ62" s="454">
        <v>62.885672565452026</v>
      </c>
      <c r="ER62" s="454">
        <v>64.38731708782804</v>
      </c>
      <c r="ES62" s="454">
        <v>68.57071874281017</v>
      </c>
      <c r="ET62" s="454">
        <v>73.70805962711819</v>
      </c>
      <c r="EU62" s="447">
        <v>2820871</v>
      </c>
      <c r="EV62" s="447">
        <v>0</v>
      </c>
      <c r="EW62" s="447">
        <v>0</v>
      </c>
      <c r="EX62" s="447">
        <v>0</v>
      </c>
      <c r="EY62" s="447">
        <v>0</v>
      </c>
      <c r="EZ62" s="447">
        <v>0</v>
      </c>
      <c r="FA62" s="447">
        <v>0</v>
      </c>
      <c r="FB62" s="447">
        <v>0</v>
      </c>
      <c r="FC62" s="447">
        <v>0</v>
      </c>
      <c r="FD62" s="447">
        <v>2820871</v>
      </c>
      <c r="FE62" s="447">
        <v>41901.40257635884</v>
      </c>
      <c r="FF62" s="447">
        <v>0</v>
      </c>
      <c r="FG62" s="447">
        <v>0</v>
      </c>
      <c r="FH62" s="447">
        <v>4948</v>
      </c>
      <c r="FI62" s="456">
        <v>0.0313</v>
      </c>
      <c r="FJ62" s="447">
        <v>154.8724</v>
      </c>
      <c r="FK62" s="471">
        <v>154.8724</v>
      </c>
      <c r="FL62" s="446">
        <v>72.25</v>
      </c>
      <c r="FM62" s="450">
        <v>68.28</v>
      </c>
      <c r="FN62" s="450">
        <v>66.6</v>
      </c>
      <c r="FO62" s="450">
        <v>-1.68</v>
      </c>
      <c r="FP62" s="472">
        <v>67.17</v>
      </c>
      <c r="FQ62" s="446">
        <v>0</v>
      </c>
      <c r="FR62" s="450">
        <v>0</v>
      </c>
      <c r="FS62" s="450">
        <v>0</v>
      </c>
      <c r="FT62" s="450">
        <v>0</v>
      </c>
      <c r="FU62" s="450">
        <v>0</v>
      </c>
      <c r="FV62" s="450">
        <v>0</v>
      </c>
      <c r="FW62" s="450">
        <v>0</v>
      </c>
      <c r="FX62" s="450">
        <v>0</v>
      </c>
      <c r="FY62" s="450">
        <v>0</v>
      </c>
      <c r="FZ62" s="450">
        <v>0</v>
      </c>
      <c r="GA62" s="450">
        <v>0</v>
      </c>
      <c r="GB62" s="450">
        <v>0</v>
      </c>
      <c r="GC62" s="450">
        <v>0</v>
      </c>
      <c r="GD62" s="450">
        <v>0</v>
      </c>
      <c r="GE62" s="450">
        <v>0</v>
      </c>
      <c r="GF62" s="450">
        <v>0</v>
      </c>
      <c r="GG62" s="450">
        <v>0</v>
      </c>
      <c r="GH62" s="450">
        <v>0</v>
      </c>
      <c r="GI62" s="450">
        <v>0</v>
      </c>
      <c r="GJ62" s="450">
        <v>0</v>
      </c>
      <c r="GK62" s="450">
        <v>0</v>
      </c>
      <c r="GL62" s="450">
        <v>0</v>
      </c>
      <c r="GM62" s="450">
        <v>0</v>
      </c>
      <c r="GN62" s="450">
        <v>0</v>
      </c>
      <c r="GO62" s="450">
        <v>0</v>
      </c>
      <c r="GP62" s="450">
        <v>0</v>
      </c>
      <c r="GQ62" s="450">
        <v>0</v>
      </c>
      <c r="GR62" s="450">
        <v>0</v>
      </c>
      <c r="GS62" s="450">
        <v>0</v>
      </c>
      <c r="GT62" s="450">
        <v>0</v>
      </c>
      <c r="GU62" s="450">
        <v>0</v>
      </c>
      <c r="GV62" s="450">
        <v>0</v>
      </c>
      <c r="GW62" s="450">
        <v>646000</v>
      </c>
      <c r="GX62" s="450">
        <v>646000</v>
      </c>
      <c r="GY62" s="450">
        <v>629850</v>
      </c>
      <c r="GZ62" s="450">
        <v>2</v>
      </c>
      <c r="HA62" s="450" t="s">
        <v>888</v>
      </c>
      <c r="HB62" s="450" t="s">
        <v>888</v>
      </c>
      <c r="HC62" s="450">
        <v>0</v>
      </c>
      <c r="HD62" s="450">
        <v>0</v>
      </c>
      <c r="HE62" s="450">
        <v>0</v>
      </c>
      <c r="HF62" s="450">
        <v>0</v>
      </c>
      <c r="HG62" s="472">
        <v>0</v>
      </c>
    </row>
    <row r="63" spans="2:215" ht="12.75">
      <c r="B63" s="445" t="s">
        <v>741</v>
      </c>
      <c r="C63" s="446">
        <v>10984</v>
      </c>
      <c r="D63" s="447">
        <v>2590072</v>
      </c>
      <c r="E63" s="447">
        <v>2222281.776</v>
      </c>
      <c r="F63" s="447">
        <v>285086.7924385171</v>
      </c>
      <c r="G63" s="447">
        <v>367790.22400000005</v>
      </c>
      <c r="H63" s="448">
        <v>0.3817880553532411</v>
      </c>
      <c r="I63" s="449">
        <v>3238.71</v>
      </c>
      <c r="J63" s="449">
        <v>954.85</v>
      </c>
      <c r="K63" s="447">
        <v>2507368.568438517</v>
      </c>
      <c r="L63" s="447">
        <v>2005894.8547508137</v>
      </c>
      <c r="M63" s="447">
        <v>546462.0783515655</v>
      </c>
      <c r="N63" s="447">
        <v>501473.71368770325</v>
      </c>
      <c r="O63" s="450">
        <v>1.0897123088128187</v>
      </c>
      <c r="P63" s="451">
        <v>0.9309905316824472</v>
      </c>
      <c r="Q63" s="452">
        <v>0.06900946831755281</v>
      </c>
      <c r="R63" s="447">
        <v>2552356.933102379</v>
      </c>
      <c r="S63" s="447">
        <v>1725393.2867772083</v>
      </c>
      <c r="T63" s="447">
        <v>276625.40709941264</v>
      </c>
      <c r="U63" s="447">
        <v>366489.9934756217</v>
      </c>
      <c r="V63" s="447">
        <v>581937.3807473425</v>
      </c>
      <c r="W63" s="450">
        <v>0.6297756521585941</v>
      </c>
      <c r="X63" s="452">
        <v>11.055397350272086</v>
      </c>
      <c r="Y63" s="447">
        <v>276625.40709941264</v>
      </c>
      <c r="Z63" s="447">
        <v>245026.2655778284</v>
      </c>
      <c r="AA63" s="448">
        <v>1.128962262258155</v>
      </c>
      <c r="AB63" s="448">
        <v>0.08881099781500364</v>
      </c>
      <c r="AC63" s="449">
        <v>951</v>
      </c>
      <c r="AD63" s="449">
        <v>1000</v>
      </c>
      <c r="AE63" s="447">
        <v>2368508.687352243</v>
      </c>
      <c r="AF63" s="447">
        <v>81789.54443190456</v>
      </c>
      <c r="AG63" s="451">
        <v>0.5</v>
      </c>
      <c r="AH63" s="450">
        <v>0.08356193544003296</v>
      </c>
      <c r="AI63" s="452">
        <v>0.07036833465099335</v>
      </c>
      <c r="AJ63" s="447">
        <v>2450298.231784147</v>
      </c>
      <c r="AK63" s="453">
        <v>1</v>
      </c>
      <c r="AL63" s="447">
        <v>2450298.231784147</v>
      </c>
      <c r="AM63" s="447">
        <v>5764233.322236998</v>
      </c>
      <c r="AN63" s="447">
        <v>5707339.198529294</v>
      </c>
      <c r="AO63" s="447">
        <v>5476993.908617807</v>
      </c>
      <c r="AP63" s="447">
        <v>5707339.198529294</v>
      </c>
      <c r="AQ63" s="447">
        <v>43936</v>
      </c>
      <c r="AR63" s="447">
        <v>5751275.198529294</v>
      </c>
      <c r="AS63" s="454">
        <v>523.6048068580931</v>
      </c>
      <c r="AT63" s="450">
        <v>10984</v>
      </c>
      <c r="AU63" s="450">
        <v>407</v>
      </c>
      <c r="AV63" s="450">
        <v>565</v>
      </c>
      <c r="AW63" s="450">
        <v>606</v>
      </c>
      <c r="AX63" s="450">
        <v>323</v>
      </c>
      <c r="AY63" s="450">
        <v>2017</v>
      </c>
      <c r="AZ63" s="450">
        <v>296</v>
      </c>
      <c r="BA63" s="450">
        <v>316</v>
      </c>
      <c r="BB63" s="450">
        <v>191</v>
      </c>
      <c r="BC63" s="450">
        <v>106</v>
      </c>
      <c r="BD63" s="450">
        <v>2775</v>
      </c>
      <c r="BE63" s="450">
        <v>693</v>
      </c>
      <c r="BF63" s="450">
        <v>65</v>
      </c>
      <c r="BG63" s="450">
        <v>2624</v>
      </c>
      <c r="BH63" s="450">
        <v>0</v>
      </c>
      <c r="BI63" s="450">
        <v>0</v>
      </c>
      <c r="BJ63" s="452">
        <v>1.2603174186731652</v>
      </c>
      <c r="BK63" s="452">
        <v>7.6380224532286825</v>
      </c>
      <c r="BL63" s="452">
        <v>5.046297345621219</v>
      </c>
      <c r="BM63" s="452">
        <v>5.183450215214928</v>
      </c>
      <c r="BN63" s="449">
        <v>10226</v>
      </c>
      <c r="BO63" s="449">
        <v>758</v>
      </c>
      <c r="BP63" s="447">
        <v>2812312.6181846983</v>
      </c>
      <c r="BQ63" s="447">
        <v>11097869</v>
      </c>
      <c r="BR63" s="447">
        <v>14612529</v>
      </c>
      <c r="BS63" s="448">
        <v>0.08881099781500364</v>
      </c>
      <c r="BT63" s="449">
        <v>951</v>
      </c>
      <c r="BU63" s="449">
        <v>1000</v>
      </c>
      <c r="BV63" s="447">
        <v>1297753.2810906773</v>
      </c>
      <c r="BW63" s="448">
        <v>0.007756711659847</v>
      </c>
      <c r="BX63" s="447">
        <v>10285.451170775857</v>
      </c>
      <c r="BY63" s="447">
        <v>15218220.350446152</v>
      </c>
      <c r="BZ63" s="455">
        <v>0.9266666666666666</v>
      </c>
      <c r="CA63" s="447">
        <v>14102217.524746766</v>
      </c>
      <c r="CB63" s="447">
        <v>10605249.832503827</v>
      </c>
      <c r="CC63" s="447">
        <v>10592269.849542398</v>
      </c>
      <c r="CD63" s="447">
        <v>10538001.211572882</v>
      </c>
      <c r="CE63" s="447">
        <v>10592269.849542398</v>
      </c>
      <c r="CF63" s="454">
        <v>964.3362936582664</v>
      </c>
      <c r="CG63" s="450">
        <v>10984</v>
      </c>
      <c r="CH63" s="450">
        <v>407</v>
      </c>
      <c r="CI63" s="450">
        <v>565</v>
      </c>
      <c r="CJ63" s="450">
        <v>606</v>
      </c>
      <c r="CK63" s="450">
        <v>323</v>
      </c>
      <c r="CL63" s="450">
        <v>2017</v>
      </c>
      <c r="CM63" s="450">
        <v>296</v>
      </c>
      <c r="CN63" s="450">
        <v>316</v>
      </c>
      <c r="CO63" s="450">
        <v>191</v>
      </c>
      <c r="CP63" s="450">
        <v>106</v>
      </c>
      <c r="CQ63" s="450">
        <v>2775</v>
      </c>
      <c r="CR63" s="450">
        <v>693</v>
      </c>
      <c r="CS63" s="450">
        <v>65</v>
      </c>
      <c r="CT63" s="450">
        <v>2624</v>
      </c>
      <c r="CU63" s="450">
        <v>0</v>
      </c>
      <c r="CV63" s="450">
        <v>0</v>
      </c>
      <c r="CW63" s="447">
        <v>7909019.192642661</v>
      </c>
      <c r="CX63" s="452">
        <v>0.9046243686137054</v>
      </c>
      <c r="CY63" s="452">
        <v>0.9266666666666666</v>
      </c>
      <c r="CZ63" s="447">
        <v>7154691.493498045</v>
      </c>
      <c r="DA63" s="454">
        <v>651.3739524306304</v>
      </c>
      <c r="DB63" s="449">
        <v>10984</v>
      </c>
      <c r="DC63" s="452">
        <v>1.0022305171158046</v>
      </c>
      <c r="DD63" s="454">
        <v>318.4</v>
      </c>
      <c r="DE63" s="447">
        <v>30217</v>
      </c>
      <c r="DF63" s="454">
        <v>48.513979710010375</v>
      </c>
      <c r="DG63" s="454">
        <v>50.600080837540816</v>
      </c>
      <c r="DH63" s="454">
        <v>51.713282615966705</v>
      </c>
      <c r="DI63" s="454">
        <v>52.85097483351796</v>
      </c>
      <c r="DJ63" s="454">
        <v>54.595057003024046</v>
      </c>
      <c r="DK63" s="454">
        <v>56.5604790551329</v>
      </c>
      <c r="DL63" s="454">
        <v>58.370414384897146</v>
      </c>
      <c r="DM63" s="454">
        <v>60.763601374677926</v>
      </c>
      <c r="DN63" s="454">
        <v>63.437199835163746</v>
      </c>
      <c r="DO63" s="454">
        <v>66.92624582609774</v>
      </c>
      <c r="DP63" s="454">
        <v>66.32390961366286</v>
      </c>
      <c r="DQ63" s="454">
        <v>69.70642900395967</v>
      </c>
      <c r="DR63" s="454">
        <v>73.9585211732012</v>
      </c>
      <c r="DS63" s="454">
        <v>37.79</v>
      </c>
      <c r="DT63" s="454">
        <v>39.930570261596664</v>
      </c>
      <c r="DU63" s="454">
        <v>42.147035254703574</v>
      </c>
      <c r="DV63" s="454">
        <v>44.92003361622319</v>
      </c>
      <c r="DW63" s="454">
        <v>47.969058287653745</v>
      </c>
      <c r="DX63" s="454">
        <v>50.98179252486507</v>
      </c>
      <c r="DY63" s="454">
        <v>54.61035708964321</v>
      </c>
      <c r="DZ63" s="454">
        <v>57.726989138651525</v>
      </c>
      <c r="EA63" s="454">
        <v>59.514055030300526</v>
      </c>
      <c r="EB63" s="454">
        <v>61.37109338148875</v>
      </c>
      <c r="EC63" s="454">
        <v>65.54210111594767</v>
      </c>
      <c r="ED63" s="454">
        <v>70.64475725631566</v>
      </c>
      <c r="EE63" s="454">
        <v>-1.79</v>
      </c>
      <c r="EF63" s="454">
        <v>68.85475725631565</v>
      </c>
      <c r="EG63" s="454">
        <v>3580.447377328414</v>
      </c>
      <c r="EH63" s="447">
        <v>38541081.312723786</v>
      </c>
      <c r="EI63" s="454">
        <v>39.81</v>
      </c>
      <c r="EJ63" s="454">
        <v>41.788566261596664</v>
      </c>
      <c r="EK63" s="454">
        <v>43.83492139870358</v>
      </c>
      <c r="EL63" s="454">
        <v>46.4456717046312</v>
      </c>
      <c r="EM63" s="454">
        <v>49.323824910160056</v>
      </c>
      <c r="EN63" s="454">
        <v>52.146891820220496</v>
      </c>
      <c r="EO63" s="454">
        <v>55.58065178281522</v>
      </c>
      <c r="EP63" s="454">
        <v>58.62742261391515</v>
      </c>
      <c r="EQ63" s="454">
        <v>60.37276842121027</v>
      </c>
      <c r="ER63" s="454">
        <v>61.94488455044983</v>
      </c>
      <c r="ES63" s="454">
        <v>66.02454473081015</v>
      </c>
      <c r="ET63" s="454">
        <v>71.02866176284248</v>
      </c>
      <c r="EU63" s="447">
        <v>18862415</v>
      </c>
      <c r="EV63" s="447">
        <v>0</v>
      </c>
      <c r="EW63" s="447">
        <v>0</v>
      </c>
      <c r="EX63" s="447">
        <v>46000</v>
      </c>
      <c r="EY63" s="447">
        <v>0</v>
      </c>
      <c r="EZ63" s="447">
        <v>0</v>
      </c>
      <c r="FA63" s="447">
        <v>0</v>
      </c>
      <c r="FB63" s="447">
        <v>0</v>
      </c>
      <c r="FC63" s="447">
        <v>0</v>
      </c>
      <c r="FD63" s="447">
        <v>18908415</v>
      </c>
      <c r="FE63" s="447">
        <v>49765.546866919205</v>
      </c>
      <c r="FF63" s="447">
        <v>0</v>
      </c>
      <c r="FG63" s="447">
        <v>0</v>
      </c>
      <c r="FH63" s="447">
        <v>23237</v>
      </c>
      <c r="FI63" s="456">
        <v>0.0546</v>
      </c>
      <c r="FJ63" s="447">
        <v>1268.7402</v>
      </c>
      <c r="FK63" s="471">
        <v>1268.7402</v>
      </c>
      <c r="FL63" s="446">
        <v>69.7</v>
      </c>
      <c r="FM63" s="450">
        <v>65.46</v>
      </c>
      <c r="FN63" s="450">
        <v>63.67</v>
      </c>
      <c r="FO63" s="450">
        <v>-1.79</v>
      </c>
      <c r="FP63" s="472">
        <v>63.6</v>
      </c>
      <c r="FQ63" s="446">
        <v>0</v>
      </c>
      <c r="FR63" s="450">
        <v>0</v>
      </c>
      <c r="FS63" s="450">
        <v>0</v>
      </c>
      <c r="FT63" s="450">
        <v>0</v>
      </c>
      <c r="FU63" s="450">
        <v>0</v>
      </c>
      <c r="FV63" s="450">
        <v>0</v>
      </c>
      <c r="FW63" s="450">
        <v>0</v>
      </c>
      <c r="FX63" s="450">
        <v>0</v>
      </c>
      <c r="FY63" s="450">
        <v>0</v>
      </c>
      <c r="FZ63" s="450">
        <v>0</v>
      </c>
      <c r="GA63" s="450">
        <v>0</v>
      </c>
      <c r="GB63" s="450">
        <v>0</v>
      </c>
      <c r="GC63" s="450">
        <v>0</v>
      </c>
      <c r="GD63" s="450">
        <v>0</v>
      </c>
      <c r="GE63" s="450">
        <v>0</v>
      </c>
      <c r="GF63" s="450">
        <v>0</v>
      </c>
      <c r="GG63" s="450">
        <v>0</v>
      </c>
      <c r="GH63" s="450">
        <v>0</v>
      </c>
      <c r="GI63" s="450">
        <v>0</v>
      </c>
      <c r="GJ63" s="450">
        <v>0</v>
      </c>
      <c r="GK63" s="450">
        <v>0</v>
      </c>
      <c r="GL63" s="450">
        <v>0</v>
      </c>
      <c r="GM63" s="450">
        <v>0</v>
      </c>
      <c r="GN63" s="450">
        <v>0</v>
      </c>
      <c r="GO63" s="450">
        <v>0</v>
      </c>
      <c r="GP63" s="450">
        <v>0</v>
      </c>
      <c r="GQ63" s="450">
        <v>0</v>
      </c>
      <c r="GR63" s="450">
        <v>0</v>
      </c>
      <c r="GS63" s="450">
        <v>0</v>
      </c>
      <c r="GT63" s="450">
        <v>0</v>
      </c>
      <c r="GU63" s="450">
        <v>0</v>
      </c>
      <c r="GV63" s="450">
        <v>0</v>
      </c>
      <c r="GW63" s="450">
        <v>26379794</v>
      </c>
      <c r="GX63" s="450">
        <v>14128529</v>
      </c>
      <c r="GY63" s="450">
        <v>25357421</v>
      </c>
      <c r="GZ63" s="450">
        <v>0</v>
      </c>
      <c r="HA63" s="450" t="s">
        <v>888</v>
      </c>
      <c r="HB63" s="450" t="s">
        <v>889</v>
      </c>
      <c r="HC63" s="450">
        <v>0</v>
      </c>
      <c r="HD63" s="450">
        <v>0</v>
      </c>
      <c r="HE63" s="450">
        <v>0</v>
      </c>
      <c r="HF63" s="450">
        <v>0</v>
      </c>
      <c r="HG63" s="472">
        <v>0</v>
      </c>
    </row>
    <row r="64" spans="2:215" ht="12.75">
      <c r="B64" s="445" t="s">
        <v>742</v>
      </c>
      <c r="C64" s="446">
        <v>3707.38</v>
      </c>
      <c r="D64" s="447">
        <v>894619.54</v>
      </c>
      <c r="E64" s="447">
        <v>767583.56532</v>
      </c>
      <c r="F64" s="447">
        <v>133551.12957471184</v>
      </c>
      <c r="G64" s="447">
        <v>127035.97468000001</v>
      </c>
      <c r="H64" s="448">
        <v>0.5178050267304674</v>
      </c>
      <c r="I64" s="449">
        <v>1683.88</v>
      </c>
      <c r="J64" s="449">
        <v>235.82</v>
      </c>
      <c r="K64" s="447">
        <v>901134.694894712</v>
      </c>
      <c r="L64" s="447">
        <v>720907.7559157696</v>
      </c>
      <c r="M64" s="447">
        <v>247401.38260756474</v>
      </c>
      <c r="N64" s="447">
        <v>180226.93897894234</v>
      </c>
      <c r="O64" s="450">
        <v>1.3727214367019296</v>
      </c>
      <c r="P64" s="451">
        <v>0.7126326408407015</v>
      </c>
      <c r="Q64" s="452">
        <v>0.28699512863531657</v>
      </c>
      <c r="R64" s="447">
        <v>968309.1385233344</v>
      </c>
      <c r="S64" s="447">
        <v>654576.9776417741</v>
      </c>
      <c r="T64" s="447">
        <v>68687.56344352341</v>
      </c>
      <c r="U64" s="447">
        <v>238565.4436408817</v>
      </c>
      <c r="V64" s="447">
        <v>220774.48358332025</v>
      </c>
      <c r="W64" s="450">
        <v>1.080584312864431</v>
      </c>
      <c r="X64" s="452">
        <v>18.969118460264998</v>
      </c>
      <c r="Y64" s="447">
        <v>68687.56344352341</v>
      </c>
      <c r="Z64" s="447">
        <v>92957.6772982401</v>
      </c>
      <c r="AA64" s="448">
        <v>0.7389122172572165</v>
      </c>
      <c r="AB64" s="448">
        <v>0.058127302839201804</v>
      </c>
      <c r="AC64" s="449">
        <v>209</v>
      </c>
      <c r="AD64" s="449">
        <v>222</v>
      </c>
      <c r="AE64" s="447">
        <v>961829.9847261792</v>
      </c>
      <c r="AF64" s="447">
        <v>21130.0542428006</v>
      </c>
      <c r="AG64" s="451">
        <v>0.25</v>
      </c>
      <c r="AH64" s="450">
        <v>0.18689973146020813</v>
      </c>
      <c r="AI64" s="452">
        <v>0.15739011764526367</v>
      </c>
      <c r="AJ64" s="447">
        <v>982960.0389689797</v>
      </c>
      <c r="AK64" s="453">
        <v>1</v>
      </c>
      <c r="AL64" s="447">
        <v>982960.0389689797</v>
      </c>
      <c r="AM64" s="447">
        <v>2312376.0763304112</v>
      </c>
      <c r="AN64" s="447">
        <v>2289552.466807537</v>
      </c>
      <c r="AO64" s="447">
        <v>2266510.209809066</v>
      </c>
      <c r="AP64" s="447">
        <v>2289552.466807537</v>
      </c>
      <c r="AQ64" s="447">
        <v>14829.52</v>
      </c>
      <c r="AR64" s="447">
        <v>2304381.986807537</v>
      </c>
      <c r="AS64" s="454">
        <v>621.566169857834</v>
      </c>
      <c r="AT64" s="450">
        <v>3694</v>
      </c>
      <c r="AU64" s="450">
        <v>40</v>
      </c>
      <c r="AV64" s="450">
        <v>283</v>
      </c>
      <c r="AW64" s="450">
        <v>4</v>
      </c>
      <c r="AX64" s="450">
        <v>419</v>
      </c>
      <c r="AY64" s="450">
        <v>52</v>
      </c>
      <c r="AZ64" s="450">
        <v>86</v>
      </c>
      <c r="BA64" s="450">
        <v>563</v>
      </c>
      <c r="BB64" s="450">
        <v>331</v>
      </c>
      <c r="BC64" s="450">
        <v>48</v>
      </c>
      <c r="BD64" s="450">
        <v>780</v>
      </c>
      <c r="BE64" s="450">
        <v>1058</v>
      </c>
      <c r="BF64" s="450">
        <v>0</v>
      </c>
      <c r="BG64" s="450">
        <v>30</v>
      </c>
      <c r="BH64" s="450">
        <v>0</v>
      </c>
      <c r="BI64" s="450">
        <v>0</v>
      </c>
      <c r="BJ64" s="452">
        <v>1.4727097962169884</v>
      </c>
      <c r="BK64" s="452">
        <v>9.572483768989107</v>
      </c>
      <c r="BL64" s="452">
        <v>7.478015726751795</v>
      </c>
      <c r="BM64" s="452">
        <v>4.188936084474624</v>
      </c>
      <c r="BN64" s="449">
        <v>2636</v>
      </c>
      <c r="BO64" s="449">
        <v>1058</v>
      </c>
      <c r="BP64" s="447">
        <v>1078044.1887679826</v>
      </c>
      <c r="BQ64" s="447">
        <v>4120556</v>
      </c>
      <c r="BR64" s="447">
        <v>5057476</v>
      </c>
      <c r="BS64" s="448">
        <v>0.05833784515430428</v>
      </c>
      <c r="BT64" s="449">
        <v>209</v>
      </c>
      <c r="BU64" s="449">
        <v>222</v>
      </c>
      <c r="BV64" s="447">
        <v>295042.2517596102</v>
      </c>
      <c r="BW64" s="448">
        <v>0.03577488152917462</v>
      </c>
      <c r="BX64" s="447">
        <v>19994.19751692118</v>
      </c>
      <c r="BY64" s="447">
        <v>5513636.638044514</v>
      </c>
      <c r="BZ64" s="455">
        <v>1.0766666666666669</v>
      </c>
      <c r="CA64" s="447">
        <v>5936348.780294594</v>
      </c>
      <c r="CB64" s="447">
        <v>4464295.193108933</v>
      </c>
      <c r="CC64" s="447">
        <v>4458831.250584567</v>
      </c>
      <c r="CD64" s="447">
        <v>4407234.77890289</v>
      </c>
      <c r="CE64" s="447">
        <v>4458831.250584567</v>
      </c>
      <c r="CF64" s="454">
        <v>1207.0469005372406</v>
      </c>
      <c r="CG64" s="450">
        <v>3694</v>
      </c>
      <c r="CH64" s="450">
        <v>40</v>
      </c>
      <c r="CI64" s="450">
        <v>283</v>
      </c>
      <c r="CJ64" s="450">
        <v>4</v>
      </c>
      <c r="CK64" s="450">
        <v>419</v>
      </c>
      <c r="CL64" s="450">
        <v>52</v>
      </c>
      <c r="CM64" s="450">
        <v>86</v>
      </c>
      <c r="CN64" s="450">
        <v>563</v>
      </c>
      <c r="CO64" s="450">
        <v>331</v>
      </c>
      <c r="CP64" s="450">
        <v>48</v>
      </c>
      <c r="CQ64" s="450">
        <v>780</v>
      </c>
      <c r="CR64" s="450">
        <v>1058</v>
      </c>
      <c r="CS64" s="450">
        <v>0</v>
      </c>
      <c r="CT64" s="450">
        <v>30</v>
      </c>
      <c r="CU64" s="450">
        <v>0</v>
      </c>
      <c r="CV64" s="450">
        <v>0</v>
      </c>
      <c r="CW64" s="447">
        <v>2716279.1437368556</v>
      </c>
      <c r="CX64" s="452">
        <v>1.051056370727435</v>
      </c>
      <c r="CY64" s="452">
        <v>1.0766666666666669</v>
      </c>
      <c r="CZ64" s="447">
        <v>2854962.498698684</v>
      </c>
      <c r="DA64" s="454">
        <v>772.8647803732225</v>
      </c>
      <c r="DB64" s="449">
        <v>3707.38</v>
      </c>
      <c r="DC64" s="452">
        <v>0.9888568207197537</v>
      </c>
      <c r="DD64" s="454">
        <v>281.5</v>
      </c>
      <c r="DE64" s="447">
        <v>43180</v>
      </c>
      <c r="DF64" s="454">
        <v>47.85966545852668</v>
      </c>
      <c r="DG64" s="454">
        <v>49.91763107324332</v>
      </c>
      <c r="DH64" s="454">
        <v>51.015818956854666</v>
      </c>
      <c r="DI64" s="454">
        <v>52.138166973905456</v>
      </c>
      <c r="DJ64" s="454">
        <v>53.85872648404433</v>
      </c>
      <c r="DK64" s="454">
        <v>55.79764063746992</v>
      </c>
      <c r="DL64" s="454">
        <v>57.583165137868946</v>
      </c>
      <c r="DM64" s="454">
        <v>59.94407490852157</v>
      </c>
      <c r="DN64" s="454">
        <v>62.58161420449651</v>
      </c>
      <c r="DO64" s="454">
        <v>66.02360298574382</v>
      </c>
      <c r="DP64" s="454">
        <v>65.42939055887213</v>
      </c>
      <c r="DQ64" s="454">
        <v>68.7662894773746</v>
      </c>
      <c r="DR64" s="454">
        <v>72.96103313549445</v>
      </c>
      <c r="DS64" s="454">
        <v>43.71</v>
      </c>
      <c r="DT64" s="454">
        <v>45.30603989568546</v>
      </c>
      <c r="DU64" s="454">
        <v>46.951149906781076</v>
      </c>
      <c r="DV64" s="454">
        <v>49.170311432497286</v>
      </c>
      <c r="DW64" s="454">
        <v>51.63432807169614</v>
      </c>
      <c r="DX64" s="454">
        <v>54.002716331303496</v>
      </c>
      <c r="DY64" s="454">
        <v>56.96227714241387</v>
      </c>
      <c r="DZ64" s="454">
        <v>59.81450587754856</v>
      </c>
      <c r="EA64" s="454">
        <v>61.4446739709384</v>
      </c>
      <c r="EB64" s="454">
        <v>62.36975615721044</v>
      </c>
      <c r="EC64" s="454">
        <v>66.19374887245746</v>
      </c>
      <c r="ED64" s="454">
        <v>70.91393394913163</v>
      </c>
      <c r="EE64" s="454">
        <v>0</v>
      </c>
      <c r="EF64" s="454">
        <v>70.91393394913163</v>
      </c>
      <c r="EG64" s="454">
        <v>3687.524565354845</v>
      </c>
      <c r="EH64" s="447">
        <v>13397633.726643141</v>
      </c>
      <c r="EI64" s="454">
        <v>45.91</v>
      </c>
      <c r="EJ64" s="454">
        <v>47.329599895685455</v>
      </c>
      <c r="EK64" s="454">
        <v>48.78944174678107</v>
      </c>
      <c r="EL64" s="454">
        <v>50.83189746937728</v>
      </c>
      <c r="EM64" s="454">
        <v>53.10981647244557</v>
      </c>
      <c r="EN64" s="454">
        <v>55.27163635594801</v>
      </c>
      <c r="EO64" s="454">
        <v>58.019033738937814</v>
      </c>
      <c r="EP64" s="454">
        <v>60.79517599912278</v>
      </c>
      <c r="EQ64" s="454">
        <v>62.37990637687968</v>
      </c>
      <c r="ER64" s="454">
        <v>62.99467723231655</v>
      </c>
      <c r="ES64" s="454">
        <v>66.71918251240668</v>
      </c>
      <c r="ET64" s="454">
        <v>71.33204776812121</v>
      </c>
      <c r="EU64" s="447">
        <v>71714560</v>
      </c>
      <c r="EV64" s="447">
        <v>0</v>
      </c>
      <c r="EW64" s="447">
        <v>0</v>
      </c>
      <c r="EX64" s="447">
        <v>175000</v>
      </c>
      <c r="EY64" s="447">
        <v>0</v>
      </c>
      <c r="EZ64" s="447">
        <v>0</v>
      </c>
      <c r="FA64" s="447">
        <v>69139</v>
      </c>
      <c r="FB64" s="447">
        <v>0</v>
      </c>
      <c r="FC64" s="447">
        <v>0</v>
      </c>
      <c r="FD64" s="447">
        <v>71820421</v>
      </c>
      <c r="FE64" s="447">
        <v>75630.75350672672</v>
      </c>
      <c r="FF64" s="447">
        <v>0</v>
      </c>
      <c r="FG64" s="447">
        <v>0</v>
      </c>
      <c r="FH64" s="447">
        <v>54000</v>
      </c>
      <c r="FI64" s="456">
        <v>0.054000000000000006</v>
      </c>
      <c r="FJ64" s="447">
        <v>2916</v>
      </c>
      <c r="FK64" s="471">
        <v>2916</v>
      </c>
      <c r="FL64" s="446">
        <v>68.62</v>
      </c>
      <c r="FM64" s="450">
        <v>66.76</v>
      </c>
      <c r="FN64" s="450">
        <v>66.53</v>
      </c>
      <c r="FO64" s="450">
        <v>-0.23</v>
      </c>
      <c r="FP64" s="472">
        <v>68.3</v>
      </c>
      <c r="FQ64" s="446">
        <v>374404</v>
      </c>
      <c r="FR64" s="450">
        <v>0</v>
      </c>
      <c r="FS64" s="450">
        <v>42484</v>
      </c>
      <c r="FT64" s="450">
        <v>42484</v>
      </c>
      <c r="FU64" s="450">
        <v>42484</v>
      </c>
      <c r="FV64" s="450">
        <v>42484</v>
      </c>
      <c r="FW64" s="450">
        <v>42484</v>
      </c>
      <c r="FX64" s="450">
        <v>42484</v>
      </c>
      <c r="FY64" s="450">
        <v>42484</v>
      </c>
      <c r="FZ64" s="450">
        <v>42484</v>
      </c>
      <c r="GA64" s="450">
        <v>42484</v>
      </c>
      <c r="GB64" s="450">
        <v>42484</v>
      </c>
      <c r="GC64" s="450">
        <v>42484</v>
      </c>
      <c r="GD64" s="450">
        <v>42484</v>
      </c>
      <c r="GE64" s="450">
        <v>42484</v>
      </c>
      <c r="GF64" s="450">
        <v>42484</v>
      </c>
      <c r="GG64" s="450">
        <v>42484</v>
      </c>
      <c r="GH64" s="450">
        <v>42484</v>
      </c>
      <c r="GI64" s="450">
        <v>42484</v>
      </c>
      <c r="GJ64" s="450">
        <v>42484</v>
      </c>
      <c r="GK64" s="450">
        <v>42484</v>
      </c>
      <c r="GL64" s="450">
        <v>42484</v>
      </c>
      <c r="GM64" s="450">
        <v>42484</v>
      </c>
      <c r="GN64" s="450">
        <v>42484</v>
      </c>
      <c r="GO64" s="450">
        <v>42484</v>
      </c>
      <c r="GP64" s="450">
        <v>42484</v>
      </c>
      <c r="GQ64" s="450">
        <v>42484</v>
      </c>
      <c r="GR64" s="450">
        <v>42484</v>
      </c>
      <c r="GS64" s="450">
        <v>42484</v>
      </c>
      <c r="GT64" s="450">
        <v>42484</v>
      </c>
      <c r="GU64" s="450">
        <v>42484</v>
      </c>
      <c r="GV64" s="450">
        <v>42484</v>
      </c>
      <c r="GW64" s="450">
        <v>1310048</v>
      </c>
      <c r="GX64" s="450">
        <v>65849074</v>
      </c>
      <c r="GY64" s="450">
        <v>67209007</v>
      </c>
      <c r="GZ64" s="450">
        <v>51</v>
      </c>
      <c r="HA64" s="450" t="s">
        <v>888</v>
      </c>
      <c r="HB64" s="450" t="s">
        <v>888</v>
      </c>
      <c r="HC64" s="450">
        <v>67</v>
      </c>
      <c r="HD64" s="450">
        <v>104</v>
      </c>
      <c r="HE64" s="450">
        <v>0</v>
      </c>
      <c r="HF64" s="450">
        <v>0</v>
      </c>
      <c r="HG64" s="472">
        <v>0</v>
      </c>
    </row>
    <row r="65" spans="2:215" ht="12.75">
      <c r="B65" s="445" t="s">
        <v>743</v>
      </c>
      <c r="C65" s="446">
        <v>11417.75</v>
      </c>
      <c r="D65" s="447">
        <v>2691135.75</v>
      </c>
      <c r="E65" s="447">
        <v>2308994.4735</v>
      </c>
      <c r="F65" s="447">
        <v>518964.7383960092</v>
      </c>
      <c r="G65" s="447">
        <v>382141.27650000004</v>
      </c>
      <c r="H65" s="448">
        <v>0.6688971119528804</v>
      </c>
      <c r="I65" s="449">
        <v>7205.44</v>
      </c>
      <c r="J65" s="449">
        <v>431.86</v>
      </c>
      <c r="K65" s="447">
        <v>2827959.211896009</v>
      </c>
      <c r="L65" s="447">
        <v>2262367.369516807</v>
      </c>
      <c r="M65" s="447">
        <v>983798.6563043874</v>
      </c>
      <c r="N65" s="447">
        <v>565591.8423792017</v>
      </c>
      <c r="O65" s="450">
        <v>1.7394145081123686</v>
      </c>
      <c r="P65" s="451">
        <v>0.4312583477480239</v>
      </c>
      <c r="Q65" s="452">
        <v>0.5687635479844978</v>
      </c>
      <c r="R65" s="447">
        <v>3246166.0258211945</v>
      </c>
      <c r="S65" s="447">
        <v>2194408.2334551276</v>
      </c>
      <c r="T65" s="447">
        <v>235929.9196736385</v>
      </c>
      <c r="U65" s="447">
        <v>650213.4145710743</v>
      </c>
      <c r="V65" s="447">
        <v>740125.8538872324</v>
      </c>
      <c r="W65" s="450">
        <v>0.8785173645212813</v>
      </c>
      <c r="X65" s="452">
        <v>15.421934002381475</v>
      </c>
      <c r="Y65" s="447">
        <v>235929.9196736385</v>
      </c>
      <c r="Z65" s="447">
        <v>311631.9384788347</v>
      </c>
      <c r="AA65" s="448">
        <v>0.7570787539469813</v>
      </c>
      <c r="AB65" s="448">
        <v>0.05955639245910972</v>
      </c>
      <c r="AC65" s="449">
        <v>612</v>
      </c>
      <c r="AD65" s="449">
        <v>748</v>
      </c>
      <c r="AE65" s="447">
        <v>3080551.5676998403</v>
      </c>
      <c r="AF65" s="447">
        <v>370327.3092236146</v>
      </c>
      <c r="AG65" s="451">
        <v>1</v>
      </c>
      <c r="AH65" s="450">
        <v>0.31286733115047427</v>
      </c>
      <c r="AI65" s="452">
        <v>0.2634686827659607</v>
      </c>
      <c r="AJ65" s="447">
        <v>3450878.876923455</v>
      </c>
      <c r="AK65" s="453">
        <v>1.0703</v>
      </c>
      <c r="AL65" s="447">
        <v>3693475.6619711737</v>
      </c>
      <c r="AM65" s="447">
        <v>8688760.906505477</v>
      </c>
      <c r="AN65" s="447">
        <v>8603001.116738753</v>
      </c>
      <c r="AO65" s="447">
        <v>8292316.703996903</v>
      </c>
      <c r="AP65" s="447">
        <v>8603001.116738753</v>
      </c>
      <c r="AQ65" s="447">
        <v>45671</v>
      </c>
      <c r="AR65" s="447">
        <v>8648672.116738753</v>
      </c>
      <c r="AS65" s="454">
        <v>757.4760453450771</v>
      </c>
      <c r="AT65" s="450">
        <v>11416</v>
      </c>
      <c r="AU65" s="450">
        <v>393</v>
      </c>
      <c r="AV65" s="450">
        <v>666</v>
      </c>
      <c r="AW65" s="450">
        <v>845</v>
      </c>
      <c r="AX65" s="450">
        <v>237</v>
      </c>
      <c r="AY65" s="450">
        <v>567</v>
      </c>
      <c r="AZ65" s="450">
        <v>117</v>
      </c>
      <c r="BA65" s="450">
        <v>212</v>
      </c>
      <c r="BB65" s="450">
        <v>178</v>
      </c>
      <c r="BC65" s="450">
        <v>153</v>
      </c>
      <c r="BD65" s="450">
        <v>1377</v>
      </c>
      <c r="BE65" s="450">
        <v>3778</v>
      </c>
      <c r="BF65" s="450">
        <v>2716</v>
      </c>
      <c r="BG65" s="450">
        <v>105</v>
      </c>
      <c r="BH65" s="450">
        <v>38</v>
      </c>
      <c r="BI65" s="450">
        <v>34</v>
      </c>
      <c r="BJ65" s="452">
        <v>2.3483411507687704</v>
      </c>
      <c r="BK65" s="452">
        <v>19.467849727270238</v>
      </c>
      <c r="BL65" s="452">
        <v>7.37843646374304</v>
      </c>
      <c r="BM65" s="452">
        <v>24.178826527054394</v>
      </c>
      <c r="BN65" s="449">
        <v>4922</v>
      </c>
      <c r="BO65" s="449">
        <v>6494</v>
      </c>
      <c r="BP65" s="447">
        <v>4985396.755977657</v>
      </c>
      <c r="BQ65" s="447">
        <v>13852812</v>
      </c>
      <c r="BR65" s="447">
        <v>15422896</v>
      </c>
      <c r="BS65" s="448">
        <v>0.05956552207428171</v>
      </c>
      <c r="BT65" s="449">
        <v>612</v>
      </c>
      <c r="BU65" s="449">
        <v>748</v>
      </c>
      <c r="BV65" s="447">
        <v>918672.8521373511</v>
      </c>
      <c r="BW65" s="448">
        <v>0.015389787978088638</v>
      </c>
      <c r="BX65" s="447">
        <v>54059.10187219711</v>
      </c>
      <c r="BY65" s="447">
        <v>19810940.709987205</v>
      </c>
      <c r="BZ65" s="455">
        <v>1.1433333333333333</v>
      </c>
      <c r="CA65" s="447">
        <v>22650508.878418703</v>
      </c>
      <c r="CB65" s="447">
        <v>17033796.639957156</v>
      </c>
      <c r="CC65" s="447">
        <v>17012948.626600843</v>
      </c>
      <c r="CD65" s="447">
        <v>16455211.279470704</v>
      </c>
      <c r="CE65" s="447">
        <v>17012948.626600843</v>
      </c>
      <c r="CF65" s="454">
        <v>1490.2723043623723</v>
      </c>
      <c r="CG65" s="450">
        <v>11416</v>
      </c>
      <c r="CH65" s="450">
        <v>393</v>
      </c>
      <c r="CI65" s="450">
        <v>666</v>
      </c>
      <c r="CJ65" s="450">
        <v>845</v>
      </c>
      <c r="CK65" s="450">
        <v>237</v>
      </c>
      <c r="CL65" s="450">
        <v>567</v>
      </c>
      <c r="CM65" s="450">
        <v>117</v>
      </c>
      <c r="CN65" s="450">
        <v>212</v>
      </c>
      <c r="CO65" s="450">
        <v>178</v>
      </c>
      <c r="CP65" s="450">
        <v>153</v>
      </c>
      <c r="CQ65" s="450">
        <v>1377</v>
      </c>
      <c r="CR65" s="450">
        <v>3778</v>
      </c>
      <c r="CS65" s="450">
        <v>2716</v>
      </c>
      <c r="CT65" s="450">
        <v>105</v>
      </c>
      <c r="CU65" s="450">
        <v>38</v>
      </c>
      <c r="CV65" s="450">
        <v>34</v>
      </c>
      <c r="CW65" s="447">
        <v>9252964.892833555</v>
      </c>
      <c r="CX65" s="452">
        <v>1.116137260555759</v>
      </c>
      <c r="CY65" s="452">
        <v>1.1433333333333333</v>
      </c>
      <c r="CZ65" s="447">
        <v>10327578.887505855</v>
      </c>
      <c r="DA65" s="454">
        <v>904.6582767611997</v>
      </c>
      <c r="DB65" s="449">
        <v>11417.75</v>
      </c>
      <c r="DC65" s="452">
        <v>0.995182938845219</v>
      </c>
      <c r="DD65" s="454">
        <v>354.1</v>
      </c>
      <c r="DE65" s="447">
        <v>59929</v>
      </c>
      <c r="DF65" s="454">
        <v>62.3221991191732</v>
      </c>
      <c r="DG65" s="454">
        <v>65.00205368129764</v>
      </c>
      <c r="DH65" s="454">
        <v>66.43209886228617</v>
      </c>
      <c r="DI65" s="454">
        <v>67.89360503725645</v>
      </c>
      <c r="DJ65" s="454">
        <v>70.13409400348591</v>
      </c>
      <c r="DK65" s="454">
        <v>72.65892138761139</v>
      </c>
      <c r="DL65" s="454">
        <v>74.98400687201493</v>
      </c>
      <c r="DM65" s="454">
        <v>78.05835115376753</v>
      </c>
      <c r="DN65" s="454">
        <v>81.49291860453329</v>
      </c>
      <c r="DO65" s="454">
        <v>85.97502912778262</v>
      </c>
      <c r="DP65" s="454">
        <v>85.20125386563258</v>
      </c>
      <c r="DQ65" s="454">
        <v>89.54651781277984</v>
      </c>
      <c r="DR65" s="454">
        <v>95.0088553993594</v>
      </c>
      <c r="DS65" s="454">
        <v>52.21</v>
      </c>
      <c r="DT65" s="454">
        <v>54.66596788622861</v>
      </c>
      <c r="DU65" s="454">
        <v>57.204728719451275</v>
      </c>
      <c r="DV65" s="454">
        <v>60.472685921729756</v>
      </c>
      <c r="DW65" s="454">
        <v>64.07959101101193</v>
      </c>
      <c r="DX65" s="454">
        <v>67.6057827481394</v>
      </c>
      <c r="DY65" s="454">
        <v>71.913766103404</v>
      </c>
      <c r="DZ65" s="454">
        <v>75.79074367779593</v>
      </c>
      <c r="EA65" s="454">
        <v>78.01077449591024</v>
      </c>
      <c r="EB65" s="454">
        <v>79.87954929749445</v>
      </c>
      <c r="EC65" s="454">
        <v>85.0720286118893</v>
      </c>
      <c r="ED65" s="454">
        <v>91.44828061775075</v>
      </c>
      <c r="EE65" s="454">
        <v>-0.7</v>
      </c>
      <c r="EF65" s="454">
        <v>90.74828061775075</v>
      </c>
      <c r="EG65" s="454">
        <v>4718.910592123039</v>
      </c>
      <c r="EH65" s="447">
        <v>52801754.58494858</v>
      </c>
      <c r="EI65" s="454">
        <v>57.55</v>
      </c>
      <c r="EJ65" s="454">
        <v>59.5776998862286</v>
      </c>
      <c r="EK65" s="454">
        <v>61.666764367451265</v>
      </c>
      <c r="EL65" s="454">
        <v>64.50580839306575</v>
      </c>
      <c r="EM65" s="454">
        <v>67.66100376555829</v>
      </c>
      <c r="EN65" s="454">
        <v>70.68579771704927</v>
      </c>
      <c r="EO65" s="454">
        <v>74.47880256951214</v>
      </c>
      <c r="EP65" s="454">
        <v>78.17109751834428</v>
      </c>
      <c r="EQ65" s="454">
        <v>80.28083860851316</v>
      </c>
      <c r="ER65" s="454">
        <v>81.39640317979747</v>
      </c>
      <c r="ES65" s="454">
        <v>86.34739935612969</v>
      </c>
      <c r="ET65" s="454">
        <v>92.46315688748004</v>
      </c>
      <c r="EU65" s="447">
        <v>169225805</v>
      </c>
      <c r="EV65" s="447">
        <v>0</v>
      </c>
      <c r="EW65" s="447">
        <v>0</v>
      </c>
      <c r="EX65" s="447">
        <v>0</v>
      </c>
      <c r="EY65" s="447">
        <v>0</v>
      </c>
      <c r="EZ65" s="447">
        <v>0</v>
      </c>
      <c r="FA65" s="447">
        <v>0</v>
      </c>
      <c r="FB65" s="447">
        <v>0</v>
      </c>
      <c r="FC65" s="447">
        <v>0</v>
      </c>
      <c r="FD65" s="447">
        <v>169225805</v>
      </c>
      <c r="FE65" s="447">
        <v>123245.85214785178</v>
      </c>
      <c r="FF65" s="447">
        <v>0</v>
      </c>
      <c r="FG65" s="447">
        <v>0</v>
      </c>
      <c r="FH65" s="447">
        <v>9602</v>
      </c>
      <c r="FI65" s="456">
        <v>0.056900000000000006</v>
      </c>
      <c r="FJ65" s="447">
        <v>546.3538000000001</v>
      </c>
      <c r="FK65" s="471">
        <v>546.3538000000001</v>
      </c>
      <c r="FL65" s="446">
        <v>89.39</v>
      </c>
      <c r="FM65" s="450">
        <v>87.49</v>
      </c>
      <c r="FN65" s="450">
        <v>86.79</v>
      </c>
      <c r="FO65" s="450">
        <v>-0.7</v>
      </c>
      <c r="FP65" s="472">
        <v>86.3</v>
      </c>
      <c r="FQ65" s="446">
        <v>69610</v>
      </c>
      <c r="FR65" s="450">
        <v>1193</v>
      </c>
      <c r="FS65" s="450">
        <v>0</v>
      </c>
      <c r="FT65" s="450">
        <v>0</v>
      </c>
      <c r="FU65" s="450">
        <v>0</v>
      </c>
      <c r="FV65" s="450">
        <v>0</v>
      </c>
      <c r="FW65" s="450">
        <v>0</v>
      </c>
      <c r="FX65" s="450">
        <v>0</v>
      </c>
      <c r="FY65" s="450">
        <v>0</v>
      </c>
      <c r="FZ65" s="450">
        <v>0</v>
      </c>
      <c r="GA65" s="450">
        <v>0</v>
      </c>
      <c r="GB65" s="450">
        <v>0</v>
      </c>
      <c r="GC65" s="450">
        <v>0</v>
      </c>
      <c r="GD65" s="450">
        <v>0</v>
      </c>
      <c r="GE65" s="450">
        <v>0</v>
      </c>
      <c r="GF65" s="450">
        <v>0</v>
      </c>
      <c r="GG65" s="450">
        <v>0</v>
      </c>
      <c r="GH65" s="450">
        <v>0</v>
      </c>
      <c r="GI65" s="450">
        <v>0</v>
      </c>
      <c r="GJ65" s="450">
        <v>0</v>
      </c>
      <c r="GK65" s="450">
        <v>0</v>
      </c>
      <c r="GL65" s="450">
        <v>0</v>
      </c>
      <c r="GM65" s="450">
        <v>0</v>
      </c>
      <c r="GN65" s="450">
        <v>0</v>
      </c>
      <c r="GO65" s="450">
        <v>0</v>
      </c>
      <c r="GP65" s="450">
        <v>0</v>
      </c>
      <c r="GQ65" s="450">
        <v>0</v>
      </c>
      <c r="GR65" s="450">
        <v>0</v>
      </c>
      <c r="GS65" s="450">
        <v>0</v>
      </c>
      <c r="GT65" s="450">
        <v>0</v>
      </c>
      <c r="GU65" s="450">
        <v>0</v>
      </c>
      <c r="GV65" s="450">
        <v>0</v>
      </c>
      <c r="GW65" s="450">
        <v>0</v>
      </c>
      <c r="GX65" s="450">
        <v>114785000</v>
      </c>
      <c r="GY65" s="450">
        <v>130785000</v>
      </c>
      <c r="GZ65" s="450">
        <v>114</v>
      </c>
      <c r="HA65" s="450" t="s">
        <v>888</v>
      </c>
      <c r="HB65" s="450" t="s">
        <v>888</v>
      </c>
      <c r="HC65" s="450">
        <v>43</v>
      </c>
      <c r="HD65" s="450">
        <v>149</v>
      </c>
      <c r="HE65" s="450">
        <v>194</v>
      </c>
      <c r="HF65" s="450">
        <v>202</v>
      </c>
      <c r="HG65" s="472">
        <v>130</v>
      </c>
    </row>
    <row r="66" spans="2:215" ht="12.75">
      <c r="B66" s="445" t="s">
        <v>744</v>
      </c>
      <c r="C66" s="446">
        <v>6570</v>
      </c>
      <c r="D66" s="447">
        <v>1561610</v>
      </c>
      <c r="E66" s="447">
        <v>1339861.38</v>
      </c>
      <c r="F66" s="447">
        <v>217004.1448641703</v>
      </c>
      <c r="G66" s="447">
        <v>221748.62</v>
      </c>
      <c r="H66" s="448">
        <v>0.48200608828006086</v>
      </c>
      <c r="I66" s="449">
        <v>2708.27</v>
      </c>
      <c r="J66" s="449">
        <v>458.51</v>
      </c>
      <c r="K66" s="447">
        <v>1556865.5248641702</v>
      </c>
      <c r="L66" s="447">
        <v>1245492.4198913362</v>
      </c>
      <c r="M66" s="447">
        <v>394794.5569322225</v>
      </c>
      <c r="N66" s="447">
        <v>311373.104972834</v>
      </c>
      <c r="O66" s="450">
        <v>1.2679147640791477</v>
      </c>
      <c r="P66" s="451">
        <v>0.7939117199391172</v>
      </c>
      <c r="Q66" s="452">
        <v>0.2060882800608828</v>
      </c>
      <c r="R66" s="447">
        <v>1640286.9768235588</v>
      </c>
      <c r="S66" s="447">
        <v>1108833.9963327257</v>
      </c>
      <c r="T66" s="447">
        <v>161021.31441242222</v>
      </c>
      <c r="U66" s="447">
        <v>260095.707967686</v>
      </c>
      <c r="V66" s="447">
        <v>373985.4307157714</v>
      </c>
      <c r="W66" s="450">
        <v>0.6954701616848773</v>
      </c>
      <c r="X66" s="452">
        <v>12.208631687063182</v>
      </c>
      <c r="Y66" s="447">
        <v>161021.31441242222</v>
      </c>
      <c r="Z66" s="447">
        <v>157467.54977506163</v>
      </c>
      <c r="AA66" s="448">
        <v>1.0225682348041678</v>
      </c>
      <c r="AB66" s="448">
        <v>0.080441400304414</v>
      </c>
      <c r="AC66" s="449">
        <v>540</v>
      </c>
      <c r="AD66" s="449">
        <v>517</v>
      </c>
      <c r="AE66" s="447">
        <v>1529951.018712834</v>
      </c>
      <c r="AF66" s="447">
        <v>0</v>
      </c>
      <c r="AG66" s="451">
        <v>0</v>
      </c>
      <c r="AH66" s="450">
        <v>0.01916797654134338</v>
      </c>
      <c r="AI66" s="452">
        <v>0.01614154316484928</v>
      </c>
      <c r="AJ66" s="447">
        <v>1529951.018712834</v>
      </c>
      <c r="AK66" s="453">
        <v>1.072</v>
      </c>
      <c r="AL66" s="447">
        <v>1640107.4920601582</v>
      </c>
      <c r="AM66" s="447">
        <v>3858290.4460980482</v>
      </c>
      <c r="AN66" s="447">
        <v>3820208.3557888786</v>
      </c>
      <c r="AO66" s="447">
        <v>3628926.454962497</v>
      </c>
      <c r="AP66" s="447">
        <v>3820208.3557888786</v>
      </c>
      <c r="AQ66" s="447">
        <v>26280</v>
      </c>
      <c r="AR66" s="447">
        <v>3846488.3557888786</v>
      </c>
      <c r="AS66" s="454">
        <v>585.4624590241824</v>
      </c>
      <c r="AT66" s="450">
        <v>6570</v>
      </c>
      <c r="AU66" s="450">
        <v>4</v>
      </c>
      <c r="AV66" s="450">
        <v>310</v>
      </c>
      <c r="AW66" s="450">
        <v>32</v>
      </c>
      <c r="AX66" s="450">
        <v>36</v>
      </c>
      <c r="AY66" s="450">
        <v>1337</v>
      </c>
      <c r="AZ66" s="450">
        <v>244</v>
      </c>
      <c r="BA66" s="450">
        <v>258</v>
      </c>
      <c r="BB66" s="450">
        <v>515</v>
      </c>
      <c r="BC66" s="450">
        <v>14</v>
      </c>
      <c r="BD66" s="450">
        <v>1632</v>
      </c>
      <c r="BE66" s="450">
        <v>1354</v>
      </c>
      <c r="BF66" s="450">
        <v>0</v>
      </c>
      <c r="BG66" s="450">
        <v>791</v>
      </c>
      <c r="BH66" s="450">
        <v>29</v>
      </c>
      <c r="BI66" s="450">
        <v>14</v>
      </c>
      <c r="BJ66" s="452">
        <v>1.5165204641982146</v>
      </c>
      <c r="BK66" s="452">
        <v>11.811799940101826</v>
      </c>
      <c r="BL66" s="452">
        <v>3.8152141359688527</v>
      </c>
      <c r="BM66" s="452">
        <v>15.993171608265948</v>
      </c>
      <c r="BN66" s="449">
        <v>5216</v>
      </c>
      <c r="BO66" s="449">
        <v>1354</v>
      </c>
      <c r="BP66" s="447">
        <v>1987448.5969866146</v>
      </c>
      <c r="BQ66" s="447">
        <v>7068900</v>
      </c>
      <c r="BR66" s="447">
        <v>8794189</v>
      </c>
      <c r="BS66" s="448">
        <v>0.080441400304414</v>
      </c>
      <c r="BT66" s="449">
        <v>540</v>
      </c>
      <c r="BU66" s="449">
        <v>517</v>
      </c>
      <c r="BV66" s="447">
        <v>707416.8777016742</v>
      </c>
      <c r="BW66" s="448">
        <v>0.009658871778199983</v>
      </c>
      <c r="BX66" s="447">
        <v>11847.101166454895</v>
      </c>
      <c r="BY66" s="447">
        <v>9775612.575854743</v>
      </c>
      <c r="BZ66" s="455">
        <v>1.04</v>
      </c>
      <c r="CA66" s="447">
        <v>10166637.078888932</v>
      </c>
      <c r="CB66" s="447">
        <v>7645586.659602329</v>
      </c>
      <c r="CC66" s="447">
        <v>7636229.069150512</v>
      </c>
      <c r="CD66" s="447">
        <v>7385763.780512277</v>
      </c>
      <c r="CE66" s="447">
        <v>7636229.069150512</v>
      </c>
      <c r="CF66" s="454">
        <v>1162.2875295510673</v>
      </c>
      <c r="CG66" s="450">
        <v>6570</v>
      </c>
      <c r="CH66" s="450">
        <v>4</v>
      </c>
      <c r="CI66" s="450">
        <v>310</v>
      </c>
      <c r="CJ66" s="450">
        <v>32</v>
      </c>
      <c r="CK66" s="450">
        <v>36</v>
      </c>
      <c r="CL66" s="450">
        <v>1337</v>
      </c>
      <c r="CM66" s="450">
        <v>244</v>
      </c>
      <c r="CN66" s="450">
        <v>258</v>
      </c>
      <c r="CO66" s="450">
        <v>515</v>
      </c>
      <c r="CP66" s="450">
        <v>14</v>
      </c>
      <c r="CQ66" s="450">
        <v>1632</v>
      </c>
      <c r="CR66" s="450">
        <v>1354</v>
      </c>
      <c r="CS66" s="450">
        <v>0</v>
      </c>
      <c r="CT66" s="450">
        <v>791</v>
      </c>
      <c r="CU66" s="450">
        <v>29</v>
      </c>
      <c r="CV66" s="450">
        <v>14</v>
      </c>
      <c r="CW66" s="447">
        <v>5029261.390609271</v>
      </c>
      <c r="CX66" s="452">
        <v>1.0152618813218566</v>
      </c>
      <c r="CY66" s="452">
        <v>1.04</v>
      </c>
      <c r="CZ66" s="447">
        <v>5106017.381089345</v>
      </c>
      <c r="DA66" s="454">
        <v>777.1715952951819</v>
      </c>
      <c r="DB66" s="449">
        <v>6570</v>
      </c>
      <c r="DC66" s="452">
        <v>0.9882191780821918</v>
      </c>
      <c r="DD66" s="454">
        <v>325.9</v>
      </c>
      <c r="DE66" s="447">
        <v>67998</v>
      </c>
      <c r="DF66" s="454">
        <v>61.31432054322893</v>
      </c>
      <c r="DG66" s="454">
        <v>63.95083632658777</v>
      </c>
      <c r="DH66" s="454">
        <v>65.3577547257727</v>
      </c>
      <c r="DI66" s="454">
        <v>66.79562532973968</v>
      </c>
      <c r="DJ66" s="454">
        <v>68.99988096562109</v>
      </c>
      <c r="DK66" s="454">
        <v>71.48387668038343</v>
      </c>
      <c r="DL66" s="454">
        <v>73.77136073415569</v>
      </c>
      <c r="DM66" s="454">
        <v>76.79598652425607</v>
      </c>
      <c r="DN66" s="454">
        <v>80.17500993132332</v>
      </c>
      <c r="DO66" s="454">
        <v>84.5846354775461</v>
      </c>
      <c r="DP66" s="454">
        <v>83.82337375824818</v>
      </c>
      <c r="DQ66" s="454">
        <v>88.09836581991883</v>
      </c>
      <c r="DR66" s="454">
        <v>93.47236613493386</v>
      </c>
      <c r="DS66" s="454">
        <v>48.92</v>
      </c>
      <c r="DT66" s="454">
        <v>51.53239147257726</v>
      </c>
      <c r="DU66" s="454">
        <v>54.23605088994792</v>
      </c>
      <c r="DV66" s="454">
        <v>57.647595618854304</v>
      </c>
      <c r="DW66" s="454">
        <v>61.40304729245453</v>
      </c>
      <c r="DX66" s="454">
        <v>65.10184746053683</v>
      </c>
      <c r="DY66" s="454">
        <v>69.57601586998628</v>
      </c>
      <c r="DZ66" s="454">
        <v>73.47487716416096</v>
      </c>
      <c r="EA66" s="454">
        <v>75.70951688739125</v>
      </c>
      <c r="EB66" s="454">
        <v>77.89303107997914</v>
      </c>
      <c r="EC66" s="454">
        <v>83.11213369603023</v>
      </c>
      <c r="ED66" s="454">
        <v>89.50457192234951</v>
      </c>
      <c r="EE66" s="454">
        <v>-1.53</v>
      </c>
      <c r="EF66" s="454">
        <v>87.97457192234951</v>
      </c>
      <c r="EG66" s="454">
        <v>4574.677739962174</v>
      </c>
      <c r="EH66" s="447">
        <v>29454520.096520454</v>
      </c>
      <c r="EI66" s="454">
        <v>52.3</v>
      </c>
      <c r="EJ66" s="454">
        <v>54.64131547257726</v>
      </c>
      <c r="EK66" s="454">
        <v>57.06033562594792</v>
      </c>
      <c r="EL66" s="454">
        <v>60.20039598460631</v>
      </c>
      <c r="EM66" s="454">
        <v>63.66993401724231</v>
      </c>
      <c r="EN66" s="454">
        <v>67.05137004385432</v>
      </c>
      <c r="EO66" s="454">
        <v>71.19957827737308</v>
      </c>
      <c r="EP66" s="454">
        <v>74.9815430782159</v>
      </c>
      <c r="EQ66" s="454">
        <v>77.1463739474283</v>
      </c>
      <c r="ER66" s="454">
        <v>78.85313709536943</v>
      </c>
      <c r="ES66" s="454">
        <v>83.91939083377038</v>
      </c>
      <c r="ET66" s="454">
        <v>90.14694678970625</v>
      </c>
      <c r="EU66" s="447">
        <v>-16005859</v>
      </c>
      <c r="EV66" s="447">
        <v>0</v>
      </c>
      <c r="EW66" s="447">
        <v>0</v>
      </c>
      <c r="EX66" s="447">
        <v>0</v>
      </c>
      <c r="EY66" s="447">
        <v>0</v>
      </c>
      <c r="EZ66" s="447">
        <v>0</v>
      </c>
      <c r="FA66" s="447">
        <v>0</v>
      </c>
      <c r="FB66" s="447">
        <v>6629400</v>
      </c>
      <c r="FC66" s="447">
        <v>0</v>
      </c>
      <c r="FD66" s="447">
        <v>0</v>
      </c>
      <c r="FE66" s="447">
        <v>0</v>
      </c>
      <c r="FF66" s="447">
        <v>0</v>
      </c>
      <c r="FG66" s="447">
        <v>0</v>
      </c>
      <c r="FH66" s="447">
        <v>27318</v>
      </c>
      <c r="FI66" s="456">
        <v>0.0313</v>
      </c>
      <c r="FJ66" s="447">
        <v>855.0534</v>
      </c>
      <c r="FK66" s="471">
        <v>855.0534</v>
      </c>
      <c r="FL66" s="446">
        <v>88.09</v>
      </c>
      <c r="FM66" s="450">
        <v>83.38</v>
      </c>
      <c r="FN66" s="450">
        <v>81.35</v>
      </c>
      <c r="FO66" s="450">
        <v>-2.03</v>
      </c>
      <c r="FP66" s="472">
        <v>81.85</v>
      </c>
      <c r="FQ66" s="446">
        <v>0</v>
      </c>
      <c r="FR66" s="450">
        <v>0</v>
      </c>
      <c r="FS66" s="450">
        <v>0</v>
      </c>
      <c r="FT66" s="450">
        <v>0</v>
      </c>
      <c r="FU66" s="450">
        <v>0</v>
      </c>
      <c r="FV66" s="450">
        <v>0</v>
      </c>
      <c r="FW66" s="450">
        <v>0</v>
      </c>
      <c r="FX66" s="450">
        <v>0</v>
      </c>
      <c r="FY66" s="450">
        <v>0</v>
      </c>
      <c r="FZ66" s="450">
        <v>0</v>
      </c>
      <c r="GA66" s="450">
        <v>0</v>
      </c>
      <c r="GB66" s="450">
        <v>0</v>
      </c>
      <c r="GC66" s="450">
        <v>0</v>
      </c>
      <c r="GD66" s="450">
        <v>0</v>
      </c>
      <c r="GE66" s="450">
        <v>0</v>
      </c>
      <c r="GF66" s="450">
        <v>0</v>
      </c>
      <c r="GG66" s="450">
        <v>0</v>
      </c>
      <c r="GH66" s="450">
        <v>0</v>
      </c>
      <c r="GI66" s="450">
        <v>0</v>
      </c>
      <c r="GJ66" s="450">
        <v>0</v>
      </c>
      <c r="GK66" s="450">
        <v>0</v>
      </c>
      <c r="GL66" s="450">
        <v>0</v>
      </c>
      <c r="GM66" s="450">
        <v>0</v>
      </c>
      <c r="GN66" s="450">
        <v>0</v>
      </c>
      <c r="GO66" s="450">
        <v>0</v>
      </c>
      <c r="GP66" s="450">
        <v>0</v>
      </c>
      <c r="GQ66" s="450">
        <v>0</v>
      </c>
      <c r="GR66" s="450">
        <v>0</v>
      </c>
      <c r="GS66" s="450">
        <v>0</v>
      </c>
      <c r="GT66" s="450">
        <v>0</v>
      </c>
      <c r="GU66" s="450">
        <v>0</v>
      </c>
      <c r="GV66" s="450">
        <v>0</v>
      </c>
      <c r="GW66" s="450">
        <v>0</v>
      </c>
      <c r="GX66" s="450">
        <v>-29432908</v>
      </c>
      <c r="GY66" s="450">
        <v>-31881021</v>
      </c>
      <c r="GZ66" s="450">
        <v>0</v>
      </c>
      <c r="HA66" s="450" t="s">
        <v>888</v>
      </c>
      <c r="HB66" s="450" t="s">
        <v>888</v>
      </c>
      <c r="HC66" s="450">
        <v>0</v>
      </c>
      <c r="HD66" s="450">
        <v>0</v>
      </c>
      <c r="HE66" s="450">
        <v>0</v>
      </c>
      <c r="HF66" s="450">
        <v>0</v>
      </c>
      <c r="HG66" s="472">
        <v>0</v>
      </c>
    </row>
    <row r="67" spans="2:215" ht="12.75">
      <c r="B67" s="445" t="s">
        <v>745</v>
      </c>
      <c r="C67" s="446">
        <v>5037</v>
      </c>
      <c r="D67" s="447">
        <v>1204421</v>
      </c>
      <c r="E67" s="447">
        <v>1033393.218</v>
      </c>
      <c r="F67" s="447">
        <v>182249.51925350574</v>
      </c>
      <c r="G67" s="447">
        <v>171027.782</v>
      </c>
      <c r="H67" s="448">
        <v>0.5248620210442724</v>
      </c>
      <c r="I67" s="449">
        <v>2329.13</v>
      </c>
      <c r="J67" s="449">
        <v>314.6</v>
      </c>
      <c r="K67" s="447">
        <v>1215642.7372535057</v>
      </c>
      <c r="L67" s="447">
        <v>972514.1898028046</v>
      </c>
      <c r="M67" s="447">
        <v>339636.6311856488</v>
      </c>
      <c r="N67" s="447">
        <v>243128.5474507011</v>
      </c>
      <c r="O67" s="450">
        <v>1.3969426245781218</v>
      </c>
      <c r="P67" s="451">
        <v>0.6946595195552908</v>
      </c>
      <c r="Q67" s="452">
        <v>0.30534048044470913</v>
      </c>
      <c r="R67" s="447">
        <v>1312150.8209884535</v>
      </c>
      <c r="S67" s="447">
        <v>887013.9549881946</v>
      </c>
      <c r="T67" s="447">
        <v>96960.65788812457</v>
      </c>
      <c r="U67" s="447">
        <v>278764.47264358605</v>
      </c>
      <c r="V67" s="447">
        <v>299170.3871853674</v>
      </c>
      <c r="W67" s="450">
        <v>0.9317916631597039</v>
      </c>
      <c r="X67" s="452">
        <v>16.357137734037494</v>
      </c>
      <c r="Y67" s="447">
        <v>96960.65788812457</v>
      </c>
      <c r="Z67" s="447">
        <v>125966.47881489154</v>
      </c>
      <c r="AA67" s="448">
        <v>0.7697338117278709</v>
      </c>
      <c r="AB67" s="448">
        <v>0.06055191582291046</v>
      </c>
      <c r="AC67" s="449">
        <v>296</v>
      </c>
      <c r="AD67" s="449">
        <v>314</v>
      </c>
      <c r="AE67" s="447">
        <v>1262739.0855199052</v>
      </c>
      <c r="AF67" s="447">
        <v>0</v>
      </c>
      <c r="AG67" s="451">
        <v>0</v>
      </c>
      <c r="AH67" s="450">
        <v>0.15581722377702562</v>
      </c>
      <c r="AI67" s="452">
        <v>0.13121522963047028</v>
      </c>
      <c r="AJ67" s="447">
        <v>1262739.0855199052</v>
      </c>
      <c r="AK67" s="453">
        <v>1</v>
      </c>
      <c r="AL67" s="447">
        <v>1262739.0855199052</v>
      </c>
      <c r="AM67" s="447">
        <v>2970545.633845159</v>
      </c>
      <c r="AN67" s="447">
        <v>2941225.7605292434</v>
      </c>
      <c r="AO67" s="447">
        <v>2828366.4072465505</v>
      </c>
      <c r="AP67" s="447">
        <v>2941225.7605292434</v>
      </c>
      <c r="AQ67" s="447">
        <v>20148</v>
      </c>
      <c r="AR67" s="447">
        <v>2961373.7605292434</v>
      </c>
      <c r="AS67" s="454">
        <v>587.9241136647297</v>
      </c>
      <c r="AT67" s="450">
        <v>5026</v>
      </c>
      <c r="AU67" s="450">
        <v>71</v>
      </c>
      <c r="AV67" s="450">
        <v>741</v>
      </c>
      <c r="AW67" s="450">
        <v>158</v>
      </c>
      <c r="AX67" s="450">
        <v>0</v>
      </c>
      <c r="AY67" s="450">
        <v>600</v>
      </c>
      <c r="AZ67" s="450">
        <v>53</v>
      </c>
      <c r="BA67" s="450">
        <v>254</v>
      </c>
      <c r="BB67" s="450">
        <v>268</v>
      </c>
      <c r="BC67" s="450">
        <v>51</v>
      </c>
      <c r="BD67" s="450">
        <v>1028</v>
      </c>
      <c r="BE67" s="450">
        <v>1477</v>
      </c>
      <c r="BF67" s="450">
        <v>61</v>
      </c>
      <c r="BG67" s="450">
        <v>264</v>
      </c>
      <c r="BH67" s="450">
        <v>0</v>
      </c>
      <c r="BI67" s="450">
        <v>0</v>
      </c>
      <c r="BJ67" s="452">
        <v>1.5900151456108165</v>
      </c>
      <c r="BK67" s="452">
        <v>11.623291608357391</v>
      </c>
      <c r="BL67" s="452">
        <v>6.9815176827576835</v>
      </c>
      <c r="BM67" s="452">
        <v>9.283547851199415</v>
      </c>
      <c r="BN67" s="449">
        <v>3488</v>
      </c>
      <c r="BO67" s="449">
        <v>1538</v>
      </c>
      <c r="BP67" s="447">
        <v>1669678.0844362096</v>
      </c>
      <c r="BQ67" s="447">
        <v>5675958</v>
      </c>
      <c r="BR67" s="447">
        <v>6805031</v>
      </c>
      <c r="BS67" s="448">
        <v>0.06068444090728213</v>
      </c>
      <c r="BT67" s="449">
        <v>296</v>
      </c>
      <c r="BU67" s="449">
        <v>314</v>
      </c>
      <c r="BV67" s="447">
        <v>412959.501591723</v>
      </c>
      <c r="BW67" s="448">
        <v>0.007617136210278782</v>
      </c>
      <c r="BX67" s="447">
        <v>7033.1128140875735</v>
      </c>
      <c r="BY67" s="447">
        <v>7765628.698842021</v>
      </c>
      <c r="BZ67" s="455">
        <v>1.0133333333333334</v>
      </c>
      <c r="CA67" s="447">
        <v>7869170.414826581</v>
      </c>
      <c r="CB67" s="447">
        <v>5917829.4532286525</v>
      </c>
      <c r="CC67" s="447">
        <v>5910586.500286976</v>
      </c>
      <c r="CD67" s="447">
        <v>5669911.6079169335</v>
      </c>
      <c r="CE67" s="447">
        <v>5910586.500286976</v>
      </c>
      <c r="CF67" s="454">
        <v>1176.0020891935885</v>
      </c>
      <c r="CG67" s="450">
        <v>5026</v>
      </c>
      <c r="CH67" s="450">
        <v>71</v>
      </c>
      <c r="CI67" s="450">
        <v>741</v>
      </c>
      <c r="CJ67" s="450">
        <v>158</v>
      </c>
      <c r="CK67" s="450">
        <v>0</v>
      </c>
      <c r="CL67" s="450">
        <v>600</v>
      </c>
      <c r="CM67" s="450">
        <v>53</v>
      </c>
      <c r="CN67" s="450">
        <v>254</v>
      </c>
      <c r="CO67" s="450">
        <v>268</v>
      </c>
      <c r="CP67" s="450">
        <v>51</v>
      </c>
      <c r="CQ67" s="450">
        <v>1028</v>
      </c>
      <c r="CR67" s="450">
        <v>1477</v>
      </c>
      <c r="CS67" s="450">
        <v>61</v>
      </c>
      <c r="CT67" s="450">
        <v>264</v>
      </c>
      <c r="CU67" s="450">
        <v>0</v>
      </c>
      <c r="CV67" s="450">
        <v>0</v>
      </c>
      <c r="CW67" s="447">
        <v>3713413.085007218</v>
      </c>
      <c r="CX67" s="452">
        <v>0.9892295253905269</v>
      </c>
      <c r="CY67" s="452">
        <v>1.0133333333333334</v>
      </c>
      <c r="CZ67" s="447">
        <v>3673417.863660663</v>
      </c>
      <c r="DA67" s="454">
        <v>730.882981229738</v>
      </c>
      <c r="DB67" s="449">
        <v>5037</v>
      </c>
      <c r="DC67" s="452">
        <v>1.000416914830256</v>
      </c>
      <c r="DD67" s="454">
        <v>278</v>
      </c>
      <c r="DE67" s="447">
        <v>39037</v>
      </c>
      <c r="DF67" s="454">
        <v>46.46521563843017</v>
      </c>
      <c r="DG67" s="454">
        <v>48.463219910882664</v>
      </c>
      <c r="DH67" s="454">
        <v>49.529410748922075</v>
      </c>
      <c r="DI67" s="454">
        <v>50.619057785398354</v>
      </c>
      <c r="DJ67" s="454">
        <v>52.289486692316494</v>
      </c>
      <c r="DK67" s="454">
        <v>54.17190821323988</v>
      </c>
      <c r="DL67" s="454">
        <v>55.905409276063544</v>
      </c>
      <c r="DM67" s="454">
        <v>58.19753105638215</v>
      </c>
      <c r="DN67" s="454">
        <v>60.75822242286295</v>
      </c>
      <c r="DO67" s="454">
        <v>64.09992465612041</v>
      </c>
      <c r="DP67" s="454">
        <v>63.523025334215326</v>
      </c>
      <c r="DQ67" s="454">
        <v>66.7626996262603</v>
      </c>
      <c r="DR67" s="454">
        <v>70.83522430346217</v>
      </c>
      <c r="DS67" s="454">
        <v>40.34</v>
      </c>
      <c r="DT67" s="454">
        <v>42.0576730748922</v>
      </c>
      <c r="DU67" s="454">
        <v>43.831399205079656</v>
      </c>
      <c r="DV67" s="454">
        <v>46.15429179303093</v>
      </c>
      <c r="DW67" s="454">
        <v>48.723855142674296</v>
      </c>
      <c r="DX67" s="454">
        <v>51.220083635377144</v>
      </c>
      <c r="DY67" s="454">
        <v>54.29559186281851</v>
      </c>
      <c r="DZ67" s="454">
        <v>57.1372228512359</v>
      </c>
      <c r="EA67" s="454">
        <v>58.76319316953666</v>
      </c>
      <c r="EB67" s="454">
        <v>59.95702830827614</v>
      </c>
      <c r="EC67" s="454">
        <v>63.76440932685064</v>
      </c>
      <c r="ED67" s="454">
        <v>68.44933479770694</v>
      </c>
      <c r="EE67" s="454">
        <v>-0.33</v>
      </c>
      <c r="EF67" s="454">
        <v>68.11933479770694</v>
      </c>
      <c r="EG67" s="454">
        <v>3542.205409480761</v>
      </c>
      <c r="EH67" s="447">
        <v>17485246.8746035</v>
      </c>
      <c r="EI67" s="454">
        <v>41.04</v>
      </c>
      <c r="EJ67" s="454">
        <v>42.7015330748922</v>
      </c>
      <c r="EK67" s="454">
        <v>44.41631024507965</v>
      </c>
      <c r="EL67" s="454">
        <v>46.68297825931093</v>
      </c>
      <c r="EM67" s="454">
        <v>49.19332872473094</v>
      </c>
      <c r="EN67" s="454">
        <v>51.62383091594586</v>
      </c>
      <c r="EO67" s="454">
        <v>54.63183259807614</v>
      </c>
      <c r="EP67" s="454">
        <v>57.449254253554976</v>
      </c>
      <c r="EQ67" s="454">
        <v>59.06076711688162</v>
      </c>
      <c r="ER67" s="454">
        <v>60.155866832173544</v>
      </c>
      <c r="ES67" s="454">
        <v>63.93159275774357</v>
      </c>
      <c r="ET67" s="454">
        <v>68.58237101283999</v>
      </c>
      <c r="EU67" s="447">
        <v>-4677854</v>
      </c>
      <c r="EV67" s="447">
        <v>0</v>
      </c>
      <c r="EW67" s="447">
        <v>0</v>
      </c>
      <c r="EX67" s="447">
        <v>0</v>
      </c>
      <c r="EY67" s="447">
        <v>0</v>
      </c>
      <c r="EZ67" s="447">
        <v>0</v>
      </c>
      <c r="FA67" s="447">
        <v>0</v>
      </c>
      <c r="FB67" s="447">
        <v>0</v>
      </c>
      <c r="FC67" s="447">
        <v>0</v>
      </c>
      <c r="FD67" s="447">
        <v>0</v>
      </c>
      <c r="FE67" s="447">
        <v>0</v>
      </c>
      <c r="FF67" s="447">
        <v>0</v>
      </c>
      <c r="FG67" s="447">
        <v>0</v>
      </c>
      <c r="FH67" s="447">
        <v>117633</v>
      </c>
      <c r="FI67" s="456">
        <v>0.0313</v>
      </c>
      <c r="FJ67" s="447">
        <v>3681.9129000000003</v>
      </c>
      <c r="FK67" s="471">
        <v>3681.9129000000003</v>
      </c>
      <c r="FL67" s="446">
        <v>65.39</v>
      </c>
      <c r="FM67" s="450">
        <v>62.47</v>
      </c>
      <c r="FN67" s="450">
        <v>60.58</v>
      </c>
      <c r="FO67" s="450">
        <v>-1.89</v>
      </c>
      <c r="FP67" s="472">
        <v>62.14</v>
      </c>
      <c r="FQ67" s="446">
        <v>0</v>
      </c>
      <c r="FR67" s="450">
        <v>0</v>
      </c>
      <c r="FS67" s="450">
        <v>0</v>
      </c>
      <c r="FT67" s="450">
        <v>0</v>
      </c>
      <c r="FU67" s="450">
        <v>0</v>
      </c>
      <c r="FV67" s="450">
        <v>0</v>
      </c>
      <c r="FW67" s="450">
        <v>0</v>
      </c>
      <c r="FX67" s="450">
        <v>0</v>
      </c>
      <c r="FY67" s="450">
        <v>0</v>
      </c>
      <c r="FZ67" s="450">
        <v>0</v>
      </c>
      <c r="GA67" s="450">
        <v>0</v>
      </c>
      <c r="GB67" s="450">
        <v>0</v>
      </c>
      <c r="GC67" s="450">
        <v>0</v>
      </c>
      <c r="GD67" s="450">
        <v>0</v>
      </c>
      <c r="GE67" s="450">
        <v>0</v>
      </c>
      <c r="GF67" s="450">
        <v>0</v>
      </c>
      <c r="GG67" s="450">
        <v>0</v>
      </c>
      <c r="GH67" s="450">
        <v>0</v>
      </c>
      <c r="GI67" s="450">
        <v>0</v>
      </c>
      <c r="GJ67" s="450">
        <v>0</v>
      </c>
      <c r="GK67" s="450">
        <v>0</v>
      </c>
      <c r="GL67" s="450">
        <v>0</v>
      </c>
      <c r="GM67" s="450">
        <v>0</v>
      </c>
      <c r="GN67" s="450">
        <v>0</v>
      </c>
      <c r="GO67" s="450">
        <v>0</v>
      </c>
      <c r="GP67" s="450">
        <v>0</v>
      </c>
      <c r="GQ67" s="450">
        <v>0</v>
      </c>
      <c r="GR67" s="450">
        <v>0</v>
      </c>
      <c r="GS67" s="450">
        <v>0</v>
      </c>
      <c r="GT67" s="450">
        <v>0</v>
      </c>
      <c r="GU67" s="450">
        <v>0</v>
      </c>
      <c r="GV67" s="450">
        <v>0</v>
      </c>
      <c r="GW67" s="450">
        <v>0</v>
      </c>
      <c r="GX67" s="450">
        <v>0</v>
      </c>
      <c r="GY67" s="450">
        <v>0</v>
      </c>
      <c r="GZ67" s="450">
        <v>9</v>
      </c>
      <c r="HA67" s="450" t="s">
        <v>888</v>
      </c>
      <c r="HB67" s="450" t="s">
        <v>888</v>
      </c>
      <c r="HC67" s="450">
        <v>0</v>
      </c>
      <c r="HD67" s="450">
        <v>0</v>
      </c>
      <c r="HE67" s="450">
        <v>2</v>
      </c>
      <c r="HF67" s="450">
        <v>0</v>
      </c>
      <c r="HG67" s="472">
        <v>0</v>
      </c>
    </row>
    <row r="68" spans="2:215" ht="12.75">
      <c r="B68" s="445" t="s">
        <v>746</v>
      </c>
      <c r="C68" s="446">
        <v>2403.25</v>
      </c>
      <c r="D68" s="447">
        <v>590757.25</v>
      </c>
      <c r="E68" s="447">
        <v>506869.7205</v>
      </c>
      <c r="F68" s="447">
        <v>98619.84877387267</v>
      </c>
      <c r="G68" s="447">
        <v>83887.5295</v>
      </c>
      <c r="H68" s="448">
        <v>0.5790450431707063</v>
      </c>
      <c r="I68" s="449">
        <v>1263.8</v>
      </c>
      <c r="J68" s="449">
        <v>127.79</v>
      </c>
      <c r="K68" s="447">
        <v>605489.5692738727</v>
      </c>
      <c r="L68" s="447">
        <v>484391.65541909816</v>
      </c>
      <c r="M68" s="447">
        <v>160585.43291949687</v>
      </c>
      <c r="N68" s="447">
        <v>121097.91385477451</v>
      </c>
      <c r="O68" s="450">
        <v>1.3260792676583792</v>
      </c>
      <c r="P68" s="451">
        <v>0.7489857484656195</v>
      </c>
      <c r="Q68" s="452">
        <v>0.25091022573598254</v>
      </c>
      <c r="R68" s="447">
        <v>644977.088338595</v>
      </c>
      <c r="S68" s="447">
        <v>436004.51171689027</v>
      </c>
      <c r="T68" s="447">
        <v>51092.11056317656</v>
      </c>
      <c r="U68" s="447">
        <v>96668.45451223715</v>
      </c>
      <c r="V68" s="447">
        <v>147054.77614119966</v>
      </c>
      <c r="W68" s="450">
        <v>0.6573635828014021</v>
      </c>
      <c r="X68" s="452">
        <v>11.53968970784831</v>
      </c>
      <c r="Y68" s="447">
        <v>51092.11056317656</v>
      </c>
      <c r="Z68" s="447">
        <v>61917.800480505124</v>
      </c>
      <c r="AA68" s="448">
        <v>0.8251602958548723</v>
      </c>
      <c r="AB68" s="448">
        <v>0.0649120982003537</v>
      </c>
      <c r="AC68" s="449">
        <v>151</v>
      </c>
      <c r="AD68" s="449">
        <v>161</v>
      </c>
      <c r="AE68" s="447">
        <v>583765.0767923039</v>
      </c>
      <c r="AF68" s="447">
        <v>0</v>
      </c>
      <c r="AG68" s="451">
        <v>0</v>
      </c>
      <c r="AH68" s="450">
        <v>0.008469828379432429</v>
      </c>
      <c r="AI68" s="452">
        <v>0.007132526487112045</v>
      </c>
      <c r="AJ68" s="447">
        <v>583765.0767923039</v>
      </c>
      <c r="AK68" s="453">
        <v>1.0362</v>
      </c>
      <c r="AL68" s="447">
        <v>604897.3725721854</v>
      </c>
      <c r="AM68" s="447">
        <v>1422998.0441912822</v>
      </c>
      <c r="AN68" s="447">
        <v>1408952.771865175</v>
      </c>
      <c r="AO68" s="447">
        <v>1388231.3679276416</v>
      </c>
      <c r="AP68" s="447">
        <v>1408952.771865175</v>
      </c>
      <c r="AQ68" s="447">
        <v>9613</v>
      </c>
      <c r="AR68" s="447">
        <v>1418565.771865175</v>
      </c>
      <c r="AS68" s="454">
        <v>590.2697479934152</v>
      </c>
      <c r="AT68" s="450">
        <v>2370</v>
      </c>
      <c r="AU68" s="450">
        <v>1</v>
      </c>
      <c r="AV68" s="450">
        <v>101</v>
      </c>
      <c r="AW68" s="450">
        <v>21</v>
      </c>
      <c r="AX68" s="450">
        <v>3</v>
      </c>
      <c r="AY68" s="450">
        <v>363</v>
      </c>
      <c r="AZ68" s="450">
        <v>101</v>
      </c>
      <c r="BA68" s="450">
        <v>74</v>
      </c>
      <c r="BB68" s="450">
        <v>123</v>
      </c>
      <c r="BC68" s="450">
        <v>4</v>
      </c>
      <c r="BD68" s="450">
        <v>813</v>
      </c>
      <c r="BE68" s="450">
        <v>603</v>
      </c>
      <c r="BF68" s="450">
        <v>0</v>
      </c>
      <c r="BG68" s="450">
        <v>163</v>
      </c>
      <c r="BH68" s="450">
        <v>0</v>
      </c>
      <c r="BI68" s="450">
        <v>0</v>
      </c>
      <c r="BJ68" s="452">
        <v>1.281116604572357</v>
      </c>
      <c r="BK68" s="452">
        <v>5.964524104712639</v>
      </c>
      <c r="BL68" s="452">
        <v>3.9045672837131096</v>
      </c>
      <c r="BM68" s="452">
        <v>4.119913641999059</v>
      </c>
      <c r="BN68" s="449">
        <v>1767</v>
      </c>
      <c r="BO68" s="449">
        <v>603</v>
      </c>
      <c r="BP68" s="447">
        <v>570073.8289358165</v>
      </c>
      <c r="BQ68" s="447">
        <v>2604766</v>
      </c>
      <c r="BR68" s="447">
        <v>3086775</v>
      </c>
      <c r="BS68" s="448">
        <v>0.06582278481012659</v>
      </c>
      <c r="BT68" s="449">
        <v>151</v>
      </c>
      <c r="BU68" s="449">
        <v>161</v>
      </c>
      <c r="BV68" s="447">
        <v>203180.1265822785</v>
      </c>
      <c r="BW68" s="448">
        <v>0.006658994281939691</v>
      </c>
      <c r="BX68" s="447">
        <v>1487.7742237365349</v>
      </c>
      <c r="BY68" s="447">
        <v>3379507.7297418313</v>
      </c>
      <c r="BZ68" s="455">
        <v>1.0266666666666666</v>
      </c>
      <c r="CA68" s="447">
        <v>3469627.93586828</v>
      </c>
      <c r="CB68" s="447">
        <v>2609254.2553075124</v>
      </c>
      <c r="CC68" s="447">
        <v>2606060.735464903</v>
      </c>
      <c r="CD68" s="447">
        <v>2567115.6843007724</v>
      </c>
      <c r="CE68" s="447">
        <v>2606060.735464903</v>
      </c>
      <c r="CF68" s="454">
        <v>1099.60368585017</v>
      </c>
      <c r="CG68" s="450">
        <v>2370</v>
      </c>
      <c r="CH68" s="450">
        <v>1</v>
      </c>
      <c r="CI68" s="450">
        <v>101</v>
      </c>
      <c r="CJ68" s="450">
        <v>21</v>
      </c>
      <c r="CK68" s="450">
        <v>3</v>
      </c>
      <c r="CL68" s="450">
        <v>363</v>
      </c>
      <c r="CM68" s="450">
        <v>101</v>
      </c>
      <c r="CN68" s="450">
        <v>74</v>
      </c>
      <c r="CO68" s="450">
        <v>123</v>
      </c>
      <c r="CP68" s="450">
        <v>4</v>
      </c>
      <c r="CQ68" s="450">
        <v>813</v>
      </c>
      <c r="CR68" s="450">
        <v>603</v>
      </c>
      <c r="CS68" s="450">
        <v>0</v>
      </c>
      <c r="CT68" s="450">
        <v>163</v>
      </c>
      <c r="CU68" s="450">
        <v>0</v>
      </c>
      <c r="CV68" s="450">
        <v>0</v>
      </c>
      <c r="CW68" s="447">
        <v>1864972.870301246</v>
      </c>
      <c r="CX68" s="452">
        <v>1.0022457033561916</v>
      </c>
      <c r="CY68" s="452">
        <v>1.0266666666666666</v>
      </c>
      <c r="CZ68" s="447">
        <v>1869161.0461352877</v>
      </c>
      <c r="DA68" s="454">
        <v>788.6755468925264</v>
      </c>
      <c r="DB68" s="449">
        <v>2403.25</v>
      </c>
      <c r="DC68" s="452">
        <v>0.9819007593883285</v>
      </c>
      <c r="DD68" s="454">
        <v>328.7</v>
      </c>
      <c r="DE68" s="447">
        <v>51192</v>
      </c>
      <c r="DF68" s="454">
        <v>55.86237967918795</v>
      </c>
      <c r="DG68" s="454">
        <v>58.26446200539303</v>
      </c>
      <c r="DH68" s="454">
        <v>59.54628016951166</v>
      </c>
      <c r="DI68" s="454">
        <v>60.85629833324091</v>
      </c>
      <c r="DJ68" s="454">
        <v>62.864556178237855</v>
      </c>
      <c r="DK68" s="454">
        <v>65.12768020065441</v>
      </c>
      <c r="DL68" s="454">
        <v>67.21176596707534</v>
      </c>
      <c r="DM68" s="454">
        <v>69.96744837172542</v>
      </c>
      <c r="DN68" s="454">
        <v>73.04601610008133</v>
      </c>
      <c r="DO68" s="454">
        <v>77.0635469855858</v>
      </c>
      <c r="DP68" s="454">
        <v>76.36997506271553</v>
      </c>
      <c r="DQ68" s="454">
        <v>80.26484379091401</v>
      </c>
      <c r="DR68" s="454">
        <v>85.16099926215976</v>
      </c>
      <c r="DS68" s="454">
        <v>43.18</v>
      </c>
      <c r="DT68" s="454">
        <v>45.67159201695116</v>
      </c>
      <c r="DU68" s="454">
        <v>48.25191496264817</v>
      </c>
      <c r="DV68" s="454">
        <v>51.47176915914335</v>
      </c>
      <c r="DW68" s="454">
        <v>55.01088532769849</v>
      </c>
      <c r="DX68" s="454">
        <v>58.511322376333254</v>
      </c>
      <c r="DY68" s="454">
        <v>62.72171894935541</v>
      </c>
      <c r="DZ68" s="454">
        <v>66.32197919612196</v>
      </c>
      <c r="EA68" s="454">
        <v>68.3866306257407</v>
      </c>
      <c r="EB68" s="454">
        <v>70.57207085649551</v>
      </c>
      <c r="EC68" s="454">
        <v>75.38996593432422</v>
      </c>
      <c r="ED68" s="454">
        <v>81.28181520777844</v>
      </c>
      <c r="EE68" s="454">
        <v>-0.87</v>
      </c>
      <c r="EF68" s="454">
        <v>80.41181520777843</v>
      </c>
      <c r="EG68" s="454">
        <v>4181.414390804479</v>
      </c>
      <c r="EH68" s="447">
        <v>9848004.452006847</v>
      </c>
      <c r="EI68" s="454">
        <v>49.51</v>
      </c>
      <c r="EJ68" s="454">
        <v>51.49392601695116</v>
      </c>
      <c r="EK68" s="454">
        <v>53.541181938648165</v>
      </c>
      <c r="EL68" s="454">
        <v>56.25260534707534</v>
      </c>
      <c r="EM68" s="454">
        <v>59.25626786258209</v>
      </c>
      <c r="EN68" s="454">
        <v>62.16235135633315</v>
      </c>
      <c r="EO68" s="454">
        <v>65.76229588389933</v>
      </c>
      <c r="EP68" s="454">
        <v>69.14363459137871</v>
      </c>
      <c r="EQ68" s="454">
        <v>71.07754932101723</v>
      </c>
      <c r="ER68" s="454">
        <v>72.3701392225963</v>
      </c>
      <c r="ES68" s="454">
        <v>76.90178181654177</v>
      </c>
      <c r="ET68" s="454">
        <v>82.48484269605305</v>
      </c>
      <c r="EU68" s="447">
        <v>7186563</v>
      </c>
      <c r="EV68" s="447">
        <v>0</v>
      </c>
      <c r="EW68" s="447">
        <v>0</v>
      </c>
      <c r="EX68" s="447">
        <v>0</v>
      </c>
      <c r="EY68" s="447">
        <v>0</v>
      </c>
      <c r="EZ68" s="447">
        <v>0</v>
      </c>
      <c r="FA68" s="447">
        <v>0</v>
      </c>
      <c r="FB68" s="447">
        <v>0</v>
      </c>
      <c r="FC68" s="447">
        <v>0</v>
      </c>
      <c r="FD68" s="447">
        <v>7186563</v>
      </c>
      <c r="FE68" s="447">
        <v>44035.50283530111</v>
      </c>
      <c r="FF68" s="447">
        <v>0</v>
      </c>
      <c r="FG68" s="447">
        <v>0</v>
      </c>
      <c r="FH68" s="447">
        <v>5937</v>
      </c>
      <c r="FI68" s="456">
        <v>0.0313</v>
      </c>
      <c r="FJ68" s="447">
        <v>185.8281</v>
      </c>
      <c r="FK68" s="471">
        <v>185.8281</v>
      </c>
      <c r="FL68" s="446">
        <v>80.2</v>
      </c>
      <c r="FM68" s="450">
        <v>76.96</v>
      </c>
      <c r="FN68" s="450">
        <v>75.73</v>
      </c>
      <c r="FO68" s="450">
        <v>-1.23</v>
      </c>
      <c r="FP68" s="472">
        <v>76.09</v>
      </c>
      <c r="FQ68" s="446">
        <v>99273</v>
      </c>
      <c r="FR68" s="450">
        <v>0</v>
      </c>
      <c r="FS68" s="450">
        <v>0</v>
      </c>
      <c r="FT68" s="450">
        <v>0</v>
      </c>
      <c r="FU68" s="450">
        <v>0</v>
      </c>
      <c r="FV68" s="450">
        <v>0</v>
      </c>
      <c r="FW68" s="450">
        <v>0</v>
      </c>
      <c r="FX68" s="450">
        <v>0</v>
      </c>
      <c r="FY68" s="450">
        <v>0</v>
      </c>
      <c r="FZ68" s="450">
        <v>0</v>
      </c>
      <c r="GA68" s="450">
        <v>0</v>
      </c>
      <c r="GB68" s="450">
        <v>0</v>
      </c>
      <c r="GC68" s="450">
        <v>0</v>
      </c>
      <c r="GD68" s="450">
        <v>0</v>
      </c>
      <c r="GE68" s="450">
        <v>0</v>
      </c>
      <c r="GF68" s="450">
        <v>0</v>
      </c>
      <c r="GG68" s="450">
        <v>0</v>
      </c>
      <c r="GH68" s="450">
        <v>0</v>
      </c>
      <c r="GI68" s="450">
        <v>0</v>
      </c>
      <c r="GJ68" s="450">
        <v>0</v>
      </c>
      <c r="GK68" s="450">
        <v>0</v>
      </c>
      <c r="GL68" s="450">
        <v>0</v>
      </c>
      <c r="GM68" s="450">
        <v>0</v>
      </c>
      <c r="GN68" s="450">
        <v>0</v>
      </c>
      <c r="GO68" s="450">
        <v>0</v>
      </c>
      <c r="GP68" s="450">
        <v>0</v>
      </c>
      <c r="GQ68" s="450">
        <v>0</v>
      </c>
      <c r="GR68" s="450">
        <v>0</v>
      </c>
      <c r="GS68" s="450">
        <v>0</v>
      </c>
      <c r="GT68" s="450">
        <v>0</v>
      </c>
      <c r="GU68" s="450">
        <v>0</v>
      </c>
      <c r="GV68" s="450">
        <v>0</v>
      </c>
      <c r="GW68" s="450">
        <v>396375</v>
      </c>
      <c r="GX68" s="450">
        <v>4536330</v>
      </c>
      <c r="GY68" s="450">
        <v>4536330</v>
      </c>
      <c r="GZ68" s="450">
        <v>0</v>
      </c>
      <c r="HA68" s="450" t="s">
        <v>888</v>
      </c>
      <c r="HB68" s="450" t="s">
        <v>888</v>
      </c>
      <c r="HC68" s="450">
        <v>0</v>
      </c>
      <c r="HD68" s="450">
        <v>34</v>
      </c>
      <c r="HE68" s="450">
        <v>0</v>
      </c>
      <c r="HF68" s="450">
        <v>0</v>
      </c>
      <c r="HG68" s="472">
        <v>0</v>
      </c>
    </row>
    <row r="69" spans="2:215" ht="12.75">
      <c r="B69" s="445" t="s">
        <v>747</v>
      </c>
      <c r="C69" s="446">
        <v>20984</v>
      </c>
      <c r="D69" s="447">
        <v>4920072</v>
      </c>
      <c r="E69" s="447">
        <v>4221421.776</v>
      </c>
      <c r="F69" s="447">
        <v>491612.5623381849</v>
      </c>
      <c r="G69" s="447">
        <v>698650.224</v>
      </c>
      <c r="H69" s="448">
        <v>0.34658406404879905</v>
      </c>
      <c r="I69" s="449">
        <v>5322.2</v>
      </c>
      <c r="J69" s="449">
        <v>1950.52</v>
      </c>
      <c r="K69" s="447">
        <v>4713034.338338184</v>
      </c>
      <c r="L69" s="447">
        <v>3770427.4706705473</v>
      </c>
      <c r="M69" s="447">
        <v>1135781.9807880095</v>
      </c>
      <c r="N69" s="447">
        <v>942606.8676676366</v>
      </c>
      <c r="O69" s="450">
        <v>1.20493709492947</v>
      </c>
      <c r="P69" s="451">
        <v>0.8423560808234846</v>
      </c>
      <c r="Q69" s="452">
        <v>0.15764391917651543</v>
      </c>
      <c r="R69" s="447">
        <v>4906209.451458557</v>
      </c>
      <c r="S69" s="447">
        <v>3316597.5891859843</v>
      </c>
      <c r="T69" s="447">
        <v>470930.9617462466</v>
      </c>
      <c r="U69" s="447">
        <v>651612.5458177039</v>
      </c>
      <c r="V69" s="447">
        <v>1118615.754932551</v>
      </c>
      <c r="W69" s="450">
        <v>0.5825168677845004</v>
      </c>
      <c r="X69" s="452">
        <v>10.225792970115986</v>
      </c>
      <c r="Y69" s="447">
        <v>470930.9617462466</v>
      </c>
      <c r="Z69" s="447">
        <v>470996.10734002147</v>
      </c>
      <c r="AA69" s="448">
        <v>0.9998616854942968</v>
      </c>
      <c r="AB69" s="448">
        <v>0.07865516584064049</v>
      </c>
      <c r="AC69" s="449">
        <v>1549</v>
      </c>
      <c r="AD69" s="449">
        <v>1752</v>
      </c>
      <c r="AE69" s="447">
        <v>4439141.096749935</v>
      </c>
      <c r="AF69" s="447">
        <v>647862.1259983183</v>
      </c>
      <c r="AG69" s="451">
        <v>0.75</v>
      </c>
      <c r="AH69" s="450">
        <v>0.4269995739036513</v>
      </c>
      <c r="AI69" s="452">
        <v>0.3595805764198303</v>
      </c>
      <c r="AJ69" s="447">
        <v>5087003.2227482535</v>
      </c>
      <c r="AK69" s="453">
        <v>1</v>
      </c>
      <c r="AL69" s="447">
        <v>5087003.2227482535</v>
      </c>
      <c r="AM69" s="447">
        <v>11966981.450066844</v>
      </c>
      <c r="AN69" s="447">
        <v>11848864.974732414</v>
      </c>
      <c r="AO69" s="447">
        <v>12148632.39732407</v>
      </c>
      <c r="AP69" s="447">
        <v>12148632.39732407</v>
      </c>
      <c r="AQ69" s="447">
        <v>83936</v>
      </c>
      <c r="AR69" s="447">
        <v>12232568.39732407</v>
      </c>
      <c r="AS69" s="454">
        <v>582.947407421086</v>
      </c>
      <c r="AT69" s="450">
        <v>20984</v>
      </c>
      <c r="AU69" s="450">
        <v>672</v>
      </c>
      <c r="AV69" s="450">
        <v>3070</v>
      </c>
      <c r="AW69" s="450">
        <v>893</v>
      </c>
      <c r="AX69" s="450">
        <v>113</v>
      </c>
      <c r="AY69" s="450">
        <v>4208</v>
      </c>
      <c r="AZ69" s="450">
        <v>1184</v>
      </c>
      <c r="BA69" s="450">
        <v>504</v>
      </c>
      <c r="BB69" s="450">
        <v>1256</v>
      </c>
      <c r="BC69" s="450">
        <v>523</v>
      </c>
      <c r="BD69" s="450">
        <v>2149</v>
      </c>
      <c r="BE69" s="450">
        <v>1218</v>
      </c>
      <c r="BF69" s="450">
        <v>2090</v>
      </c>
      <c r="BG69" s="450">
        <v>3104</v>
      </c>
      <c r="BH69" s="450">
        <v>0</v>
      </c>
      <c r="BI69" s="450">
        <v>0</v>
      </c>
      <c r="BJ69" s="452">
        <v>1.5684581095059753</v>
      </c>
      <c r="BK69" s="452">
        <v>14.098751771527693</v>
      </c>
      <c r="BL69" s="452">
        <v>10.900141722215515</v>
      </c>
      <c r="BM69" s="452">
        <v>6.397220098624356</v>
      </c>
      <c r="BN69" s="449">
        <v>17676</v>
      </c>
      <c r="BO69" s="449">
        <v>3308</v>
      </c>
      <c r="BP69" s="447">
        <v>7104139.655117955</v>
      </c>
      <c r="BQ69" s="447">
        <v>22028070</v>
      </c>
      <c r="BR69" s="447">
        <v>29994966</v>
      </c>
      <c r="BS69" s="448">
        <v>0.07865516584064049</v>
      </c>
      <c r="BT69" s="449">
        <v>1549</v>
      </c>
      <c r="BU69" s="449">
        <v>1752</v>
      </c>
      <c r="BV69" s="447">
        <v>2359259.025114373</v>
      </c>
      <c r="BW69" s="448">
        <v>0.013139375345045473</v>
      </c>
      <c r="BX69" s="447">
        <v>61439.53285570422</v>
      </c>
      <c r="BY69" s="447">
        <v>31552908.21308803</v>
      </c>
      <c r="BZ69" s="455">
        <v>0.9333333333333335</v>
      </c>
      <c r="CA69" s="447">
        <v>29449380.998882167</v>
      </c>
      <c r="CB69" s="447">
        <v>22146732.764380954</v>
      </c>
      <c r="CC69" s="447">
        <v>22119626.92354994</v>
      </c>
      <c r="CD69" s="447">
        <v>22317086.258845408</v>
      </c>
      <c r="CE69" s="447">
        <v>22317086.258845408</v>
      </c>
      <c r="CF69" s="454">
        <v>1063.5287008599603</v>
      </c>
      <c r="CG69" s="450">
        <v>20984</v>
      </c>
      <c r="CH69" s="450">
        <v>672</v>
      </c>
      <c r="CI69" s="450">
        <v>3070</v>
      </c>
      <c r="CJ69" s="450">
        <v>893</v>
      </c>
      <c r="CK69" s="450">
        <v>113</v>
      </c>
      <c r="CL69" s="450">
        <v>4208</v>
      </c>
      <c r="CM69" s="450">
        <v>1184</v>
      </c>
      <c r="CN69" s="450">
        <v>504</v>
      </c>
      <c r="CO69" s="450">
        <v>1256</v>
      </c>
      <c r="CP69" s="450">
        <v>523</v>
      </c>
      <c r="CQ69" s="450">
        <v>2149</v>
      </c>
      <c r="CR69" s="450">
        <v>1218</v>
      </c>
      <c r="CS69" s="450">
        <v>2090</v>
      </c>
      <c r="CT69" s="450">
        <v>3104</v>
      </c>
      <c r="CU69" s="450">
        <v>0</v>
      </c>
      <c r="CV69" s="450">
        <v>0</v>
      </c>
      <c r="CW69" s="447">
        <v>15082244.169733344</v>
      </c>
      <c r="CX69" s="452">
        <v>0.9111324575965379</v>
      </c>
      <c r="CY69" s="452">
        <v>0.9333333333333335</v>
      </c>
      <c r="CZ69" s="447">
        <v>13741922.196440198</v>
      </c>
      <c r="DA69" s="454">
        <v>654.8762007453391</v>
      </c>
      <c r="DB69" s="449">
        <v>20984</v>
      </c>
      <c r="DC69" s="452">
        <v>1.013214830346931</v>
      </c>
      <c r="DD69" s="454">
        <v>307.9</v>
      </c>
      <c r="DE69" s="447">
        <v>28478</v>
      </c>
      <c r="DF69" s="454">
        <v>47.07824494893761</v>
      </c>
      <c r="DG69" s="454">
        <v>49.10260948174192</v>
      </c>
      <c r="DH69" s="454">
        <v>50.182866890340236</v>
      </c>
      <c r="DI69" s="454">
        <v>51.28688996192771</v>
      </c>
      <c r="DJ69" s="454">
        <v>52.97935733067132</v>
      </c>
      <c r="DK69" s="454">
        <v>54.88661419457548</v>
      </c>
      <c r="DL69" s="454">
        <v>56.642985848801885</v>
      </c>
      <c r="DM69" s="454">
        <v>58.96534826860276</v>
      </c>
      <c r="DN69" s="454">
        <v>61.55982359242127</v>
      </c>
      <c r="DO69" s="454">
        <v>64.94561389000444</v>
      </c>
      <c r="DP69" s="454">
        <v>64.36110336499439</v>
      </c>
      <c r="DQ69" s="454">
        <v>67.6435196366091</v>
      </c>
      <c r="DR69" s="454">
        <v>71.76977433444225</v>
      </c>
      <c r="DS69" s="454">
        <v>36.05</v>
      </c>
      <c r="DT69" s="454">
        <v>38.17707668903402</v>
      </c>
      <c r="DU69" s="454">
        <v>40.38029655238553</v>
      </c>
      <c r="DV69" s="454">
        <v>43.12116021262138</v>
      </c>
      <c r="DW69" s="454">
        <v>46.132535153747135</v>
      </c>
      <c r="DX69" s="454">
        <v>49.11447787368951</v>
      </c>
      <c r="DY69" s="454">
        <v>52.69560682692917</v>
      </c>
      <c r="DZ69" s="454">
        <v>55.74150353454819</v>
      </c>
      <c r="EA69" s="454">
        <v>57.48852146344775</v>
      </c>
      <c r="EB69" s="454">
        <v>59.37828392165056</v>
      </c>
      <c r="EC69" s="454">
        <v>63.45396504864561</v>
      </c>
      <c r="ED69" s="454">
        <v>68.43593627107029</v>
      </c>
      <c r="EE69" s="454">
        <v>-1.31</v>
      </c>
      <c r="EF69" s="454">
        <v>67.12593627107029</v>
      </c>
      <c r="EG69" s="454">
        <v>3490.548686095655</v>
      </c>
      <c r="EH69" s="447">
        <v>71780760.1564506</v>
      </c>
      <c r="EI69" s="454">
        <v>38.52</v>
      </c>
      <c r="EJ69" s="454">
        <v>40.44898268903402</v>
      </c>
      <c r="EK69" s="454">
        <v>42.44419693638553</v>
      </c>
      <c r="EL69" s="454">
        <v>44.986668172209384</v>
      </c>
      <c r="EM69" s="454">
        <v>47.789106221861275</v>
      </c>
      <c r="EN69" s="454">
        <v>50.53912899226767</v>
      </c>
      <c r="EO69" s="454">
        <v>53.882056278481066</v>
      </c>
      <c r="EP69" s="454">
        <v>56.842528625588336</v>
      </c>
      <c r="EQ69" s="454">
        <v>58.53853239193637</v>
      </c>
      <c r="ER69" s="454">
        <v>60.07989985597424</v>
      </c>
      <c r="ES69" s="454">
        <v>64.04388372622496</v>
      </c>
      <c r="ET69" s="454">
        <v>68.90536405875407</v>
      </c>
      <c r="EU69" s="447">
        <v>353040653</v>
      </c>
      <c r="EV69" s="447">
        <v>0</v>
      </c>
      <c r="EW69" s="447">
        <v>0</v>
      </c>
      <c r="EX69" s="447">
        <v>0</v>
      </c>
      <c r="EY69" s="447">
        <v>0</v>
      </c>
      <c r="EZ69" s="447">
        <v>0</v>
      </c>
      <c r="FA69" s="447">
        <v>0</v>
      </c>
      <c r="FB69" s="447">
        <v>0</v>
      </c>
      <c r="FC69" s="447">
        <v>16000</v>
      </c>
      <c r="FD69" s="447">
        <v>353056653</v>
      </c>
      <c r="FE69" s="447">
        <v>213108.68725357513</v>
      </c>
      <c r="FF69" s="447">
        <v>0</v>
      </c>
      <c r="FG69" s="447">
        <v>0</v>
      </c>
      <c r="FH69" s="447">
        <v>2334</v>
      </c>
      <c r="FI69" s="456">
        <v>0.0509</v>
      </c>
      <c r="FJ69" s="447">
        <v>118.8006</v>
      </c>
      <c r="FK69" s="471">
        <v>118.8006</v>
      </c>
      <c r="FL69" s="446">
        <v>67.66</v>
      </c>
      <c r="FM69" s="450">
        <v>63.89</v>
      </c>
      <c r="FN69" s="450">
        <v>62.58</v>
      </c>
      <c r="FO69" s="450">
        <v>-1.31</v>
      </c>
      <c r="FP69" s="472">
        <v>62.07</v>
      </c>
      <c r="FQ69" s="446">
        <v>789669</v>
      </c>
      <c r="FR69" s="450">
        <v>232015</v>
      </c>
      <c r="FS69" s="450">
        <v>0</v>
      </c>
      <c r="FT69" s="450">
        <v>0</v>
      </c>
      <c r="FU69" s="450">
        <v>0</v>
      </c>
      <c r="FV69" s="450">
        <v>0</v>
      </c>
      <c r="FW69" s="450">
        <v>0</v>
      </c>
      <c r="FX69" s="450">
        <v>0</v>
      </c>
      <c r="FY69" s="450">
        <v>0</v>
      </c>
      <c r="FZ69" s="450">
        <v>0</v>
      </c>
      <c r="GA69" s="450">
        <v>0</v>
      </c>
      <c r="GB69" s="450">
        <v>0</v>
      </c>
      <c r="GC69" s="450">
        <v>0</v>
      </c>
      <c r="GD69" s="450">
        <v>0</v>
      </c>
      <c r="GE69" s="450">
        <v>0</v>
      </c>
      <c r="GF69" s="450">
        <v>0</v>
      </c>
      <c r="GG69" s="450">
        <v>0</v>
      </c>
      <c r="GH69" s="450">
        <v>0</v>
      </c>
      <c r="GI69" s="450">
        <v>0</v>
      </c>
      <c r="GJ69" s="450">
        <v>0</v>
      </c>
      <c r="GK69" s="450">
        <v>0</v>
      </c>
      <c r="GL69" s="450">
        <v>0</v>
      </c>
      <c r="GM69" s="450">
        <v>0</v>
      </c>
      <c r="GN69" s="450">
        <v>0</v>
      </c>
      <c r="GO69" s="450">
        <v>0</v>
      </c>
      <c r="GP69" s="450">
        <v>0</v>
      </c>
      <c r="GQ69" s="450">
        <v>0</v>
      </c>
      <c r="GR69" s="450">
        <v>0</v>
      </c>
      <c r="GS69" s="450">
        <v>0</v>
      </c>
      <c r="GT69" s="450">
        <v>0</v>
      </c>
      <c r="GU69" s="450">
        <v>0</v>
      </c>
      <c r="GV69" s="450">
        <v>0</v>
      </c>
      <c r="GW69" s="450">
        <v>5127000</v>
      </c>
      <c r="GX69" s="450">
        <v>342922000</v>
      </c>
      <c r="GY69" s="450">
        <v>366954000</v>
      </c>
      <c r="GZ69" s="450">
        <v>364</v>
      </c>
      <c r="HA69" s="450" t="s">
        <v>888</v>
      </c>
      <c r="HB69" s="450" t="s">
        <v>889</v>
      </c>
      <c r="HC69" s="450">
        <v>138</v>
      </c>
      <c r="HD69" s="450">
        <v>169</v>
      </c>
      <c r="HE69" s="450">
        <v>166</v>
      </c>
      <c r="HF69" s="450">
        <v>48</v>
      </c>
      <c r="HG69" s="472">
        <v>0</v>
      </c>
    </row>
    <row r="70" spans="2:215" ht="12.75">
      <c r="B70" s="445" t="s">
        <v>748</v>
      </c>
      <c r="C70" s="446">
        <v>4533.88</v>
      </c>
      <c r="D70" s="447">
        <v>1087194.04</v>
      </c>
      <c r="E70" s="447">
        <v>932812.48632</v>
      </c>
      <c r="F70" s="447">
        <v>154121.10641803837</v>
      </c>
      <c r="G70" s="447">
        <v>154381.55368</v>
      </c>
      <c r="H70" s="448">
        <v>0.49171349925450164</v>
      </c>
      <c r="I70" s="449">
        <v>1920.62</v>
      </c>
      <c r="J70" s="449">
        <v>308.75</v>
      </c>
      <c r="K70" s="447">
        <v>1086933.5927380384</v>
      </c>
      <c r="L70" s="447">
        <v>869546.8741904307</v>
      </c>
      <c r="M70" s="447">
        <v>244084.66216801197</v>
      </c>
      <c r="N70" s="447">
        <v>217386.71854760763</v>
      </c>
      <c r="O70" s="450">
        <v>1.1228131313576892</v>
      </c>
      <c r="P70" s="451">
        <v>0.9051849629897571</v>
      </c>
      <c r="Q70" s="452">
        <v>0.09462094276866613</v>
      </c>
      <c r="R70" s="447">
        <v>1113631.5363584426</v>
      </c>
      <c r="S70" s="447">
        <v>752814.9185783073</v>
      </c>
      <c r="T70" s="447">
        <v>105361.20710887358</v>
      </c>
      <c r="U70" s="447">
        <v>296942.15631739446</v>
      </c>
      <c r="V70" s="447">
        <v>253907.99028972493</v>
      </c>
      <c r="W70" s="450">
        <v>1.169487246063288</v>
      </c>
      <c r="X70" s="452">
        <v>20.529765094902675</v>
      </c>
      <c r="Y70" s="447">
        <v>105361.20710887358</v>
      </c>
      <c r="Z70" s="447">
        <v>106908.6274904105</v>
      </c>
      <c r="AA70" s="448">
        <v>0.9855257670230991</v>
      </c>
      <c r="AB70" s="448">
        <v>0.07752741581162272</v>
      </c>
      <c r="AC70" s="449">
        <v>353</v>
      </c>
      <c r="AD70" s="449">
        <v>350</v>
      </c>
      <c r="AE70" s="447">
        <v>1155118.2820045755</v>
      </c>
      <c r="AF70" s="447">
        <v>32111.37932929639</v>
      </c>
      <c r="AG70" s="451">
        <v>0.25</v>
      </c>
      <c r="AH70" s="450">
        <v>0.2592176955973347</v>
      </c>
      <c r="AI70" s="452">
        <v>0.2182897925376892</v>
      </c>
      <c r="AJ70" s="447">
        <v>1187229.6613338718</v>
      </c>
      <c r="AK70" s="453">
        <v>1.0136</v>
      </c>
      <c r="AL70" s="447">
        <v>1203375.9847280125</v>
      </c>
      <c r="AM70" s="447">
        <v>2830896.1988264727</v>
      </c>
      <c r="AN70" s="447">
        <v>2802954.693072643</v>
      </c>
      <c r="AO70" s="447">
        <v>2773493.5104949265</v>
      </c>
      <c r="AP70" s="447">
        <v>2802954.693072643</v>
      </c>
      <c r="AQ70" s="447">
        <v>18135.52</v>
      </c>
      <c r="AR70" s="447">
        <v>2821090.213072643</v>
      </c>
      <c r="AS70" s="454">
        <v>622.2242787794655</v>
      </c>
      <c r="AT70" s="450">
        <v>4508</v>
      </c>
      <c r="AU70" s="450">
        <v>37</v>
      </c>
      <c r="AV70" s="450">
        <v>651</v>
      </c>
      <c r="AW70" s="450">
        <v>87</v>
      </c>
      <c r="AX70" s="450">
        <v>31</v>
      </c>
      <c r="AY70" s="450">
        <v>127</v>
      </c>
      <c r="AZ70" s="450">
        <v>18</v>
      </c>
      <c r="BA70" s="450">
        <v>274</v>
      </c>
      <c r="BB70" s="450">
        <v>520</v>
      </c>
      <c r="BC70" s="450">
        <v>36</v>
      </c>
      <c r="BD70" s="450">
        <v>1693</v>
      </c>
      <c r="BE70" s="450">
        <v>352</v>
      </c>
      <c r="BF70" s="450">
        <v>77</v>
      </c>
      <c r="BG70" s="450">
        <v>605</v>
      </c>
      <c r="BH70" s="450">
        <v>0</v>
      </c>
      <c r="BI70" s="450">
        <v>0</v>
      </c>
      <c r="BJ70" s="452">
        <v>1.5903527126092327</v>
      </c>
      <c r="BK70" s="452">
        <v>16.43406015925139</v>
      </c>
      <c r="BL70" s="452">
        <v>10.126791148885026</v>
      </c>
      <c r="BM70" s="452">
        <v>12.614538020732729</v>
      </c>
      <c r="BN70" s="449">
        <v>4079</v>
      </c>
      <c r="BO70" s="449">
        <v>429</v>
      </c>
      <c r="BP70" s="447">
        <v>1425590.5812302036</v>
      </c>
      <c r="BQ70" s="447">
        <v>4737768</v>
      </c>
      <c r="BR70" s="447">
        <v>5934004</v>
      </c>
      <c r="BS70" s="448">
        <v>0.07797249334516415</v>
      </c>
      <c r="BT70" s="449">
        <v>353</v>
      </c>
      <c r="BU70" s="449">
        <v>350</v>
      </c>
      <c r="BV70" s="447">
        <v>462689.08740017744</v>
      </c>
      <c r="BW70" s="448">
        <v>0.006551152227340318</v>
      </c>
      <c r="BX70" s="447">
        <v>7670.977608175007</v>
      </c>
      <c r="BY70" s="447">
        <v>6633718.646238556</v>
      </c>
      <c r="BZ70" s="455">
        <v>1.0366666666666668</v>
      </c>
      <c r="CA70" s="447">
        <v>6876954.996600638</v>
      </c>
      <c r="CB70" s="447">
        <v>5171656.563788886</v>
      </c>
      <c r="CC70" s="447">
        <v>5165326.867163107</v>
      </c>
      <c r="CD70" s="447">
        <v>4971141.280828298</v>
      </c>
      <c r="CE70" s="447">
        <v>5165326.867163107</v>
      </c>
      <c r="CF70" s="454">
        <v>1145.8134133014878</v>
      </c>
      <c r="CG70" s="450">
        <v>4508</v>
      </c>
      <c r="CH70" s="450">
        <v>37</v>
      </c>
      <c r="CI70" s="450">
        <v>651</v>
      </c>
      <c r="CJ70" s="450">
        <v>87</v>
      </c>
      <c r="CK70" s="450">
        <v>31</v>
      </c>
      <c r="CL70" s="450">
        <v>127</v>
      </c>
      <c r="CM70" s="450">
        <v>18</v>
      </c>
      <c r="CN70" s="450">
        <v>274</v>
      </c>
      <c r="CO70" s="450">
        <v>520</v>
      </c>
      <c r="CP70" s="450">
        <v>36</v>
      </c>
      <c r="CQ70" s="450">
        <v>1693</v>
      </c>
      <c r="CR70" s="450">
        <v>352</v>
      </c>
      <c r="CS70" s="450">
        <v>77</v>
      </c>
      <c r="CT70" s="450">
        <v>605</v>
      </c>
      <c r="CU70" s="450">
        <v>0</v>
      </c>
      <c r="CV70" s="450">
        <v>0</v>
      </c>
      <c r="CW70" s="447">
        <v>3232960.924684942</v>
      </c>
      <c r="CX70" s="452">
        <v>1.0120078368304404</v>
      </c>
      <c r="CY70" s="452">
        <v>1.0366666666666668</v>
      </c>
      <c r="CZ70" s="447">
        <v>3271781.791947748</v>
      </c>
      <c r="DA70" s="454">
        <v>725.7723584622333</v>
      </c>
      <c r="DB70" s="449">
        <v>4533.88</v>
      </c>
      <c r="DC70" s="452">
        <v>0.9940311609482386</v>
      </c>
      <c r="DD70" s="454">
        <v>308</v>
      </c>
      <c r="DE70" s="447">
        <v>34159</v>
      </c>
      <c r="DF70" s="454">
        <v>48.247625890623134</v>
      </c>
      <c r="DG70" s="454">
        <v>50.32227380391993</v>
      </c>
      <c r="DH70" s="454">
        <v>51.42936382760615</v>
      </c>
      <c r="DI70" s="454">
        <v>52.56080983181348</v>
      </c>
      <c r="DJ70" s="454">
        <v>54.29531655626332</v>
      </c>
      <c r="DK70" s="454">
        <v>56.24994795228879</v>
      </c>
      <c r="DL70" s="454">
        <v>58.04994628676202</v>
      </c>
      <c r="DM70" s="454">
        <v>60.42999408451926</v>
      </c>
      <c r="DN70" s="454">
        <v>63.08891382423809</v>
      </c>
      <c r="DO70" s="454">
        <v>66.55880408457118</v>
      </c>
      <c r="DP70" s="454">
        <v>65.95977484781004</v>
      </c>
      <c r="DQ70" s="454">
        <v>69.32372336504835</v>
      </c>
      <c r="DR70" s="454">
        <v>73.5524704903163</v>
      </c>
      <c r="DS70" s="454">
        <v>38.31</v>
      </c>
      <c r="DT70" s="454">
        <v>40.38047438276061</v>
      </c>
      <c r="DU70" s="454">
        <v>42.523507598362684</v>
      </c>
      <c r="DV70" s="454">
        <v>45.22285000000298</v>
      </c>
      <c r="DW70" s="454">
        <v>48.19359765032961</v>
      </c>
      <c r="DX70" s="454">
        <v>51.12148502707713</v>
      </c>
      <c r="DY70" s="454">
        <v>54.65997154745368</v>
      </c>
      <c r="DZ70" s="454">
        <v>57.73433290984124</v>
      </c>
      <c r="EA70" s="454">
        <v>59.496562423990014</v>
      </c>
      <c r="EB70" s="454">
        <v>61.2407941718275</v>
      </c>
      <c r="EC70" s="454">
        <v>65.35600441268222</v>
      </c>
      <c r="ED70" s="454">
        <v>70.39515813397095</v>
      </c>
      <c r="EE70" s="454">
        <v>0</v>
      </c>
      <c r="EF70" s="454">
        <v>70.39515813397095</v>
      </c>
      <c r="EG70" s="454">
        <v>3660.5482229664894</v>
      </c>
      <c r="EH70" s="447">
        <v>16264556.64960044</v>
      </c>
      <c r="EI70" s="454">
        <v>48.37</v>
      </c>
      <c r="EJ70" s="454">
        <v>49.633662382760605</v>
      </c>
      <c r="EK70" s="454">
        <v>50.92951483036268</v>
      </c>
      <c r="EL70" s="454">
        <v>52.82082978682698</v>
      </c>
      <c r="EM70" s="454">
        <v>54.94060370102932</v>
      </c>
      <c r="EN70" s="454">
        <v>56.92391023067887</v>
      </c>
      <c r="EO70" s="454">
        <v>59.49223125701321</v>
      </c>
      <c r="EP70" s="454">
        <v>62.21866992031248</v>
      </c>
      <c r="EQ70" s="454">
        <v>63.773125152976085</v>
      </c>
      <c r="ER70" s="454">
        <v>64.09838781526729</v>
      </c>
      <c r="ES70" s="454">
        <v>67.7586691480864</v>
      </c>
      <c r="ET70" s="454">
        <v>72.30707859716881</v>
      </c>
      <c r="EU70" s="447">
        <v>60605775</v>
      </c>
      <c r="EV70" s="447">
        <v>0</v>
      </c>
      <c r="EW70" s="447">
        <v>0</v>
      </c>
      <c r="EX70" s="447">
        <v>0</v>
      </c>
      <c r="EY70" s="447">
        <v>0</v>
      </c>
      <c r="EZ70" s="447">
        <v>0</v>
      </c>
      <c r="FA70" s="447">
        <v>0</v>
      </c>
      <c r="FB70" s="447">
        <v>0</v>
      </c>
      <c r="FC70" s="447">
        <v>0</v>
      </c>
      <c r="FD70" s="447">
        <v>60605775</v>
      </c>
      <c r="FE70" s="447">
        <v>69823.81583013055</v>
      </c>
      <c r="FF70" s="447">
        <v>0</v>
      </c>
      <c r="FG70" s="447">
        <v>0</v>
      </c>
      <c r="FH70" s="447">
        <v>2189</v>
      </c>
      <c r="FI70" s="456">
        <v>0.0489</v>
      </c>
      <c r="FJ70" s="447">
        <v>107.0421</v>
      </c>
      <c r="FK70" s="471">
        <v>107.0421</v>
      </c>
      <c r="FL70" s="446">
        <v>0</v>
      </c>
      <c r="FM70" s="450">
        <v>0</v>
      </c>
      <c r="FN70" s="450">
        <v>0</v>
      </c>
      <c r="FO70" s="450">
        <v>0</v>
      </c>
      <c r="FP70" s="472">
        <v>0</v>
      </c>
      <c r="FQ70" s="446">
        <v>76986</v>
      </c>
      <c r="FR70" s="450">
        <v>45771</v>
      </c>
      <c r="FS70" s="450">
        <v>0</v>
      </c>
      <c r="FT70" s="450">
        <v>0</v>
      </c>
      <c r="FU70" s="450">
        <v>0</v>
      </c>
      <c r="FV70" s="450">
        <v>0</v>
      </c>
      <c r="FW70" s="450">
        <v>0</v>
      </c>
      <c r="FX70" s="450">
        <v>0</v>
      </c>
      <c r="FY70" s="450">
        <v>0</v>
      </c>
      <c r="FZ70" s="450">
        <v>0</v>
      </c>
      <c r="GA70" s="450">
        <v>0</v>
      </c>
      <c r="GB70" s="450">
        <v>0</v>
      </c>
      <c r="GC70" s="450">
        <v>0</v>
      </c>
      <c r="GD70" s="450">
        <v>0</v>
      </c>
      <c r="GE70" s="450">
        <v>0</v>
      </c>
      <c r="GF70" s="450">
        <v>0</v>
      </c>
      <c r="GG70" s="450">
        <v>0</v>
      </c>
      <c r="GH70" s="450">
        <v>0</v>
      </c>
      <c r="GI70" s="450">
        <v>0</v>
      </c>
      <c r="GJ70" s="450">
        <v>0</v>
      </c>
      <c r="GK70" s="450">
        <v>0</v>
      </c>
      <c r="GL70" s="450">
        <v>0</v>
      </c>
      <c r="GM70" s="450">
        <v>0</v>
      </c>
      <c r="GN70" s="450">
        <v>0</v>
      </c>
      <c r="GO70" s="450">
        <v>0</v>
      </c>
      <c r="GP70" s="450">
        <v>0</v>
      </c>
      <c r="GQ70" s="450">
        <v>0</v>
      </c>
      <c r="GR70" s="450">
        <v>0</v>
      </c>
      <c r="GS70" s="450">
        <v>0</v>
      </c>
      <c r="GT70" s="450">
        <v>0</v>
      </c>
      <c r="GU70" s="450">
        <v>0</v>
      </c>
      <c r="GV70" s="450">
        <v>0</v>
      </c>
      <c r="GW70" s="450">
        <v>0</v>
      </c>
      <c r="GX70" s="450">
        <v>53812968</v>
      </c>
      <c r="GY70" s="450">
        <v>53812968</v>
      </c>
      <c r="GZ70" s="450">
        <v>0</v>
      </c>
      <c r="HA70" s="450" t="s">
        <v>888</v>
      </c>
      <c r="HB70" s="450" t="s">
        <v>888</v>
      </c>
      <c r="HC70" s="450">
        <v>0</v>
      </c>
      <c r="HD70" s="450">
        <v>0</v>
      </c>
      <c r="HE70" s="450">
        <v>0</v>
      </c>
      <c r="HF70" s="450">
        <v>0</v>
      </c>
      <c r="HG70" s="472">
        <v>0</v>
      </c>
    </row>
    <row r="71" spans="2:215" ht="12.75">
      <c r="B71" s="445" t="s">
        <v>749</v>
      </c>
      <c r="C71" s="446">
        <v>3191</v>
      </c>
      <c r="D71" s="447">
        <v>774303</v>
      </c>
      <c r="E71" s="447">
        <v>664351.974</v>
      </c>
      <c r="F71" s="447">
        <v>105314.36849204054</v>
      </c>
      <c r="G71" s="447">
        <v>109951.02600000001</v>
      </c>
      <c r="H71" s="448">
        <v>0.47177373863992483</v>
      </c>
      <c r="I71" s="449">
        <v>1277.15</v>
      </c>
      <c r="J71" s="449">
        <v>228.28</v>
      </c>
      <c r="K71" s="447">
        <v>769666.3424920406</v>
      </c>
      <c r="L71" s="447">
        <v>615733.0739936325</v>
      </c>
      <c r="M71" s="447">
        <v>189490.84048530142</v>
      </c>
      <c r="N71" s="447">
        <v>153933.26849840808</v>
      </c>
      <c r="O71" s="450">
        <v>1.230993418990912</v>
      </c>
      <c r="P71" s="451">
        <v>0.8223127546223754</v>
      </c>
      <c r="Q71" s="452">
        <v>0.17768724537762456</v>
      </c>
      <c r="R71" s="447">
        <v>805223.9144789339</v>
      </c>
      <c r="S71" s="447">
        <v>544331.3661877593</v>
      </c>
      <c r="T71" s="447">
        <v>56661.95984484657</v>
      </c>
      <c r="U71" s="447">
        <v>224760.23761152354</v>
      </c>
      <c r="V71" s="447">
        <v>183591.05250119694</v>
      </c>
      <c r="W71" s="450">
        <v>1.2242439625975683</v>
      </c>
      <c r="X71" s="452">
        <v>21.490991933075577</v>
      </c>
      <c r="Y71" s="447">
        <v>56661.95984484657</v>
      </c>
      <c r="Z71" s="447">
        <v>77301.49578997766</v>
      </c>
      <c r="AA71" s="448">
        <v>0.7329995269275622</v>
      </c>
      <c r="AB71" s="448">
        <v>0.05766217486681291</v>
      </c>
      <c r="AC71" s="449">
        <v>137</v>
      </c>
      <c r="AD71" s="449">
        <v>231</v>
      </c>
      <c r="AE71" s="447">
        <v>825753.5636441293</v>
      </c>
      <c r="AF71" s="447">
        <v>0</v>
      </c>
      <c r="AG71" s="451">
        <v>0</v>
      </c>
      <c r="AH71" s="450">
        <v>0.11075689787702095</v>
      </c>
      <c r="AI71" s="452">
        <v>0.093269482254982</v>
      </c>
      <c r="AJ71" s="447">
        <v>825753.5636441293</v>
      </c>
      <c r="AK71" s="453">
        <v>1.0362</v>
      </c>
      <c r="AL71" s="447">
        <v>855645.8426480468</v>
      </c>
      <c r="AM71" s="447">
        <v>2012874.2755669223</v>
      </c>
      <c r="AN71" s="447">
        <v>1993006.8080929103</v>
      </c>
      <c r="AO71" s="447">
        <v>2008451.3727341427</v>
      </c>
      <c r="AP71" s="447">
        <v>2008451.3727341427</v>
      </c>
      <c r="AQ71" s="447">
        <v>12764</v>
      </c>
      <c r="AR71" s="447">
        <v>2021215.3727341427</v>
      </c>
      <c r="AS71" s="454">
        <v>633.4112731852531</v>
      </c>
      <c r="AT71" s="450">
        <v>3191</v>
      </c>
      <c r="AU71" s="450">
        <v>14</v>
      </c>
      <c r="AV71" s="450">
        <v>186</v>
      </c>
      <c r="AW71" s="450">
        <v>22</v>
      </c>
      <c r="AX71" s="450">
        <v>94</v>
      </c>
      <c r="AY71" s="450">
        <v>409</v>
      </c>
      <c r="AZ71" s="450">
        <v>43</v>
      </c>
      <c r="BA71" s="450">
        <v>257</v>
      </c>
      <c r="BB71" s="450">
        <v>290</v>
      </c>
      <c r="BC71" s="450">
        <v>43</v>
      </c>
      <c r="BD71" s="450">
        <v>825</v>
      </c>
      <c r="BE71" s="450">
        <v>567</v>
      </c>
      <c r="BF71" s="450">
        <v>0</v>
      </c>
      <c r="BG71" s="450">
        <v>441</v>
      </c>
      <c r="BH71" s="450">
        <v>0</v>
      </c>
      <c r="BI71" s="450">
        <v>0</v>
      </c>
      <c r="BJ71" s="452">
        <v>1.536144954015933</v>
      </c>
      <c r="BK71" s="452">
        <v>12.847836774827927</v>
      </c>
      <c r="BL71" s="452">
        <v>9.029151483602291</v>
      </c>
      <c r="BM71" s="452">
        <v>7.637370582451271</v>
      </c>
      <c r="BN71" s="449">
        <v>2624</v>
      </c>
      <c r="BO71" s="449">
        <v>567</v>
      </c>
      <c r="BP71" s="447">
        <v>982171.1438289832</v>
      </c>
      <c r="BQ71" s="447">
        <v>3399271</v>
      </c>
      <c r="BR71" s="447">
        <v>4245960</v>
      </c>
      <c r="BS71" s="448">
        <v>0.05766217486681291</v>
      </c>
      <c r="BT71" s="449">
        <v>137</v>
      </c>
      <c r="BU71" s="449">
        <v>231</v>
      </c>
      <c r="BV71" s="447">
        <v>244831.28799749294</v>
      </c>
      <c r="BW71" s="448">
        <v>0.010796453951292261</v>
      </c>
      <c r="BX71" s="447">
        <v>6995.87748834616</v>
      </c>
      <c r="BY71" s="447">
        <v>4633269.309314822</v>
      </c>
      <c r="BZ71" s="455">
        <v>1.0266666666666666</v>
      </c>
      <c r="CA71" s="447">
        <v>4756823.157563217</v>
      </c>
      <c r="CB71" s="447">
        <v>3577259.9526614887</v>
      </c>
      <c r="CC71" s="447">
        <v>3572881.6707758666</v>
      </c>
      <c r="CD71" s="447">
        <v>3563196.493610218</v>
      </c>
      <c r="CE71" s="447">
        <v>3572881.6707758666</v>
      </c>
      <c r="CF71" s="454">
        <v>1119.6746069495039</v>
      </c>
      <c r="CG71" s="450">
        <v>3191</v>
      </c>
      <c r="CH71" s="450">
        <v>14</v>
      </c>
      <c r="CI71" s="450">
        <v>186</v>
      </c>
      <c r="CJ71" s="450">
        <v>22</v>
      </c>
      <c r="CK71" s="450">
        <v>94</v>
      </c>
      <c r="CL71" s="450">
        <v>409</v>
      </c>
      <c r="CM71" s="450">
        <v>43</v>
      </c>
      <c r="CN71" s="450">
        <v>257</v>
      </c>
      <c r="CO71" s="450">
        <v>290</v>
      </c>
      <c r="CP71" s="450">
        <v>43</v>
      </c>
      <c r="CQ71" s="450">
        <v>825</v>
      </c>
      <c r="CR71" s="450">
        <v>567</v>
      </c>
      <c r="CS71" s="450">
        <v>0</v>
      </c>
      <c r="CT71" s="450">
        <v>441</v>
      </c>
      <c r="CU71" s="450">
        <v>0</v>
      </c>
      <c r="CV71" s="450">
        <v>0</v>
      </c>
      <c r="CW71" s="447">
        <v>2365487.3921946</v>
      </c>
      <c r="CX71" s="452">
        <v>1.0022457033561916</v>
      </c>
      <c r="CY71" s="452">
        <v>1.0266666666666666</v>
      </c>
      <c r="CZ71" s="447">
        <v>2370799.57517028</v>
      </c>
      <c r="DA71" s="454">
        <v>742.9644547697524</v>
      </c>
      <c r="DB71" s="449">
        <v>3191</v>
      </c>
      <c r="DC71" s="452">
        <v>0.9864932623002195</v>
      </c>
      <c r="DD71" s="454">
        <v>328.7</v>
      </c>
      <c r="DE71" s="447">
        <v>38479</v>
      </c>
      <c r="DF71" s="454">
        <v>51.85755489673651</v>
      </c>
      <c r="DG71" s="454">
        <v>54.08742975729618</v>
      </c>
      <c r="DH71" s="454">
        <v>55.27735321195668</v>
      </c>
      <c r="DI71" s="454">
        <v>56.49345498261972</v>
      </c>
      <c r="DJ71" s="454">
        <v>58.35773899704616</v>
      </c>
      <c r="DK71" s="454">
        <v>60.45861760093981</v>
      </c>
      <c r="DL71" s="454">
        <v>62.39329336416987</v>
      </c>
      <c r="DM71" s="454">
        <v>64.95141839210083</v>
      </c>
      <c r="DN71" s="454">
        <v>67.80928080135325</v>
      </c>
      <c r="DO71" s="454">
        <v>71.53879124542767</v>
      </c>
      <c r="DP71" s="454">
        <v>70.89494212421883</v>
      </c>
      <c r="DQ71" s="454">
        <v>74.51058417255399</v>
      </c>
      <c r="DR71" s="454">
        <v>79.05572980707979</v>
      </c>
      <c r="DS71" s="454">
        <v>43.43</v>
      </c>
      <c r="DT71" s="454">
        <v>45.474649321195656</v>
      </c>
      <c r="DU71" s="454">
        <v>47.588243092523925</v>
      </c>
      <c r="DV71" s="454">
        <v>50.30854059988583</v>
      </c>
      <c r="DW71" s="454">
        <v>53.31092942426144</v>
      </c>
      <c r="DX71" s="454">
        <v>56.246281532226476</v>
      </c>
      <c r="DY71" s="454">
        <v>59.83218693845838</v>
      </c>
      <c r="DZ71" s="454">
        <v>63.05863401237306</v>
      </c>
      <c r="EA71" s="454">
        <v>64.90617005282829</v>
      </c>
      <c r="EB71" s="454">
        <v>66.46303328517563</v>
      </c>
      <c r="EC71" s="454">
        <v>70.78423522068645</v>
      </c>
      <c r="ED71" s="454">
        <v>76.0904876286312</v>
      </c>
      <c r="EE71" s="454">
        <v>-1.4</v>
      </c>
      <c r="EF71" s="454">
        <v>74.69048762863119</v>
      </c>
      <c r="EG71" s="454">
        <v>3883.905356688822</v>
      </c>
      <c r="EH71" s="447">
        <v>12145671.15333015</v>
      </c>
      <c r="EI71" s="454">
        <v>51.01</v>
      </c>
      <c r="EJ71" s="454">
        <v>52.44673332119566</v>
      </c>
      <c r="EK71" s="454">
        <v>53.92199406852392</v>
      </c>
      <c r="EL71" s="454">
        <v>56.03345976331783</v>
      </c>
      <c r="EM71" s="454">
        <v>58.39465764138905</v>
      </c>
      <c r="EN71" s="454">
        <v>60.618287798956224</v>
      </c>
      <c r="EO71" s="454">
        <v>63.47319375739091</v>
      </c>
      <c r="EP71" s="454">
        <v>66.43748834034245</v>
      </c>
      <c r="EQ71" s="454">
        <v>68.12847079693509</v>
      </c>
      <c r="ER71" s="454">
        <v>68.61617044395035</v>
      </c>
      <c r="ES71" s="454">
        <v>72.59459294378425</v>
      </c>
      <c r="ET71" s="454">
        <v>77.53107978678626</v>
      </c>
      <c r="EU71" s="447">
        <v>-89530</v>
      </c>
      <c r="EV71" s="447">
        <v>0</v>
      </c>
      <c r="EW71" s="447">
        <v>0</v>
      </c>
      <c r="EX71" s="447">
        <v>0</v>
      </c>
      <c r="EY71" s="447">
        <v>0</v>
      </c>
      <c r="EZ71" s="447">
        <v>0</v>
      </c>
      <c r="FA71" s="447">
        <v>0</v>
      </c>
      <c r="FB71" s="447">
        <v>0</v>
      </c>
      <c r="FC71" s="447">
        <v>0</v>
      </c>
      <c r="FD71" s="447">
        <v>0</v>
      </c>
      <c r="FE71" s="447">
        <v>0</v>
      </c>
      <c r="FF71" s="447">
        <v>0</v>
      </c>
      <c r="FG71" s="447">
        <v>0</v>
      </c>
      <c r="FH71" s="447">
        <v>23400</v>
      </c>
      <c r="FI71" s="456">
        <v>0.042800000000000005</v>
      </c>
      <c r="FJ71" s="447">
        <v>1001.52</v>
      </c>
      <c r="FK71" s="471">
        <v>1001.52</v>
      </c>
      <c r="FL71" s="446">
        <v>74.43</v>
      </c>
      <c r="FM71" s="450">
        <v>74.3</v>
      </c>
      <c r="FN71" s="450">
        <v>72.9</v>
      </c>
      <c r="FO71" s="450">
        <v>-1.4</v>
      </c>
      <c r="FP71" s="472">
        <v>66.91</v>
      </c>
      <c r="FQ71" s="446">
        <v>0</v>
      </c>
      <c r="FR71" s="450">
        <v>28644</v>
      </c>
      <c r="FS71" s="450">
        <v>0</v>
      </c>
      <c r="FT71" s="450">
        <v>0</v>
      </c>
      <c r="FU71" s="450">
        <v>0</v>
      </c>
      <c r="FV71" s="450">
        <v>0</v>
      </c>
      <c r="FW71" s="450">
        <v>0</v>
      </c>
      <c r="FX71" s="450">
        <v>0</v>
      </c>
      <c r="FY71" s="450">
        <v>0</v>
      </c>
      <c r="FZ71" s="450">
        <v>0</v>
      </c>
      <c r="GA71" s="450">
        <v>0</v>
      </c>
      <c r="GB71" s="450">
        <v>0</v>
      </c>
      <c r="GC71" s="450">
        <v>0</v>
      </c>
      <c r="GD71" s="450">
        <v>0</v>
      </c>
      <c r="GE71" s="450">
        <v>0</v>
      </c>
      <c r="GF71" s="450">
        <v>0</v>
      </c>
      <c r="GG71" s="450">
        <v>0</v>
      </c>
      <c r="GH71" s="450">
        <v>0</v>
      </c>
      <c r="GI71" s="450">
        <v>0</v>
      </c>
      <c r="GJ71" s="450">
        <v>0</v>
      </c>
      <c r="GK71" s="450">
        <v>0</v>
      </c>
      <c r="GL71" s="450">
        <v>0</v>
      </c>
      <c r="GM71" s="450">
        <v>0</v>
      </c>
      <c r="GN71" s="450">
        <v>0</v>
      </c>
      <c r="GO71" s="450">
        <v>0</v>
      </c>
      <c r="GP71" s="450">
        <v>0</v>
      </c>
      <c r="GQ71" s="450">
        <v>0</v>
      </c>
      <c r="GR71" s="450">
        <v>0</v>
      </c>
      <c r="GS71" s="450">
        <v>0</v>
      </c>
      <c r="GT71" s="450">
        <v>0</v>
      </c>
      <c r="GU71" s="450">
        <v>0</v>
      </c>
      <c r="GV71" s="450">
        <v>0</v>
      </c>
      <c r="GW71" s="450">
        <v>0</v>
      </c>
      <c r="GX71" s="450">
        <v>4494109</v>
      </c>
      <c r="GY71" s="450">
        <v>6038109</v>
      </c>
      <c r="GZ71" s="450">
        <v>38</v>
      </c>
      <c r="HA71" s="450" t="s">
        <v>889</v>
      </c>
      <c r="HB71" s="450" t="s">
        <v>888</v>
      </c>
      <c r="HC71" s="450">
        <v>0</v>
      </c>
      <c r="HD71" s="450">
        <v>0</v>
      </c>
      <c r="HE71" s="450">
        <v>0</v>
      </c>
      <c r="HF71" s="450">
        <v>0</v>
      </c>
      <c r="HG71" s="472">
        <v>0</v>
      </c>
    </row>
    <row r="72" spans="2:215" ht="12.75">
      <c r="B72" s="445" t="s">
        <v>750</v>
      </c>
      <c r="C72" s="446">
        <v>5838</v>
      </c>
      <c r="D72" s="447">
        <v>1391054</v>
      </c>
      <c r="E72" s="447">
        <v>1193524.332</v>
      </c>
      <c r="F72" s="447">
        <v>186257.2604190284</v>
      </c>
      <c r="G72" s="447">
        <v>197529.66800000003</v>
      </c>
      <c r="H72" s="448">
        <v>0.46443645083932855</v>
      </c>
      <c r="I72" s="449">
        <v>2286.41</v>
      </c>
      <c r="J72" s="449">
        <v>424.97</v>
      </c>
      <c r="K72" s="447">
        <v>1379781.5924190283</v>
      </c>
      <c r="L72" s="447">
        <v>1103825.2739352228</v>
      </c>
      <c r="M72" s="447">
        <v>369114.0287386675</v>
      </c>
      <c r="N72" s="447">
        <v>275956.3184838056</v>
      </c>
      <c r="O72" s="450">
        <v>1.337581363480644</v>
      </c>
      <c r="P72" s="451">
        <v>0.7403220280918122</v>
      </c>
      <c r="Q72" s="452">
        <v>0.25967797190818775</v>
      </c>
      <c r="R72" s="447">
        <v>1472939.3026738903</v>
      </c>
      <c r="S72" s="447">
        <v>995706.9686075499</v>
      </c>
      <c r="T72" s="447">
        <v>120387.50835033448</v>
      </c>
      <c r="U72" s="447">
        <v>324906.6933217109</v>
      </c>
      <c r="V72" s="447">
        <v>335830.161009647</v>
      </c>
      <c r="W72" s="450">
        <v>0.9674732380942332</v>
      </c>
      <c r="X72" s="452">
        <v>16.98350997887206</v>
      </c>
      <c r="Y72" s="447">
        <v>120387.50835033448</v>
      </c>
      <c r="Z72" s="447">
        <v>141402.17305669346</v>
      </c>
      <c r="AA72" s="448">
        <v>0.8513837216777892</v>
      </c>
      <c r="AB72" s="448">
        <v>0.06697499143542308</v>
      </c>
      <c r="AC72" s="449">
        <v>372</v>
      </c>
      <c r="AD72" s="449">
        <v>410</v>
      </c>
      <c r="AE72" s="447">
        <v>1441001.1702795955</v>
      </c>
      <c r="AF72" s="447">
        <v>0</v>
      </c>
      <c r="AG72" s="451">
        <v>0</v>
      </c>
      <c r="AH72" s="450">
        <v>0.17998008955101336</v>
      </c>
      <c r="AI72" s="452">
        <v>0.15156301856040955</v>
      </c>
      <c r="AJ72" s="447">
        <v>1441001.1702795955</v>
      </c>
      <c r="AK72" s="453">
        <v>1.0056</v>
      </c>
      <c r="AL72" s="447">
        <v>1449070.7768331612</v>
      </c>
      <c r="AM72" s="447">
        <v>3408883.845138969</v>
      </c>
      <c r="AN72" s="447">
        <v>3375237.486924714</v>
      </c>
      <c r="AO72" s="447">
        <v>3296956.5613190015</v>
      </c>
      <c r="AP72" s="447">
        <v>3375237.486924714</v>
      </c>
      <c r="AQ72" s="447">
        <v>23352</v>
      </c>
      <c r="AR72" s="447">
        <v>3398589.486924714</v>
      </c>
      <c r="AS72" s="454">
        <v>582.14962091893</v>
      </c>
      <c r="AT72" s="450">
        <v>5838</v>
      </c>
      <c r="AU72" s="450">
        <v>525</v>
      </c>
      <c r="AV72" s="450">
        <v>352</v>
      </c>
      <c r="AW72" s="450">
        <v>157</v>
      </c>
      <c r="AX72" s="450">
        <v>84</v>
      </c>
      <c r="AY72" s="450">
        <v>1288</v>
      </c>
      <c r="AZ72" s="450">
        <v>210</v>
      </c>
      <c r="BA72" s="450">
        <v>264</v>
      </c>
      <c r="BB72" s="450">
        <v>112</v>
      </c>
      <c r="BC72" s="450">
        <v>12</v>
      </c>
      <c r="BD72" s="450">
        <v>1041</v>
      </c>
      <c r="BE72" s="450">
        <v>1138</v>
      </c>
      <c r="BF72" s="450">
        <v>378</v>
      </c>
      <c r="BG72" s="450">
        <v>277</v>
      </c>
      <c r="BH72" s="450">
        <v>0</v>
      </c>
      <c r="BI72" s="450">
        <v>0</v>
      </c>
      <c r="BJ72" s="452">
        <v>1.7573500247818705</v>
      </c>
      <c r="BK72" s="452">
        <v>15.943956926341748</v>
      </c>
      <c r="BL72" s="452">
        <v>10.872559999090228</v>
      </c>
      <c r="BM72" s="452">
        <v>10.14279385450304</v>
      </c>
      <c r="BN72" s="449">
        <v>4322</v>
      </c>
      <c r="BO72" s="449">
        <v>1516</v>
      </c>
      <c r="BP72" s="447">
        <v>2055714.6693393614</v>
      </c>
      <c r="BQ72" s="447">
        <v>6389085</v>
      </c>
      <c r="BR72" s="447">
        <v>8183709</v>
      </c>
      <c r="BS72" s="448">
        <v>0.06697499143542308</v>
      </c>
      <c r="BT72" s="449">
        <v>372</v>
      </c>
      <c r="BU72" s="449">
        <v>410</v>
      </c>
      <c r="BV72" s="447">
        <v>548103.8401849949</v>
      </c>
      <c r="BW72" s="448">
        <v>0.016036903743576646</v>
      </c>
      <c r="BX72" s="447">
        <v>23593.097890913126</v>
      </c>
      <c r="BY72" s="447">
        <v>9016496.607415268</v>
      </c>
      <c r="BZ72" s="455">
        <v>1.0666666666666667</v>
      </c>
      <c r="CA72" s="447">
        <v>9617596.381242953</v>
      </c>
      <c r="CB72" s="447">
        <v>7232693.172707092</v>
      </c>
      <c r="CC72" s="447">
        <v>7223840.931069252</v>
      </c>
      <c r="CD72" s="447">
        <v>7091875.699685976</v>
      </c>
      <c r="CE72" s="447">
        <v>7223840.931069252</v>
      </c>
      <c r="CF72" s="454">
        <v>1237.3828247806186</v>
      </c>
      <c r="CG72" s="450">
        <v>5838</v>
      </c>
      <c r="CH72" s="450">
        <v>525</v>
      </c>
      <c r="CI72" s="450">
        <v>352</v>
      </c>
      <c r="CJ72" s="450">
        <v>157</v>
      </c>
      <c r="CK72" s="450">
        <v>84</v>
      </c>
      <c r="CL72" s="450">
        <v>1288</v>
      </c>
      <c r="CM72" s="450">
        <v>210</v>
      </c>
      <c r="CN72" s="450">
        <v>264</v>
      </c>
      <c r="CO72" s="450">
        <v>112</v>
      </c>
      <c r="CP72" s="450">
        <v>12</v>
      </c>
      <c r="CQ72" s="450">
        <v>1041</v>
      </c>
      <c r="CR72" s="450">
        <v>1138</v>
      </c>
      <c r="CS72" s="450">
        <v>378</v>
      </c>
      <c r="CT72" s="450">
        <v>277</v>
      </c>
      <c r="CU72" s="450">
        <v>0</v>
      </c>
      <c r="CV72" s="450">
        <v>0</v>
      </c>
      <c r="CW72" s="447">
        <v>4393177.370426739</v>
      </c>
      <c r="CX72" s="452">
        <v>1.0412942372531862</v>
      </c>
      <c r="CY72" s="452">
        <v>1.0666666666666667</v>
      </c>
      <c r="CZ72" s="447">
        <v>4574590.279056469</v>
      </c>
      <c r="DA72" s="454">
        <v>783.5886055252602</v>
      </c>
      <c r="DB72" s="449">
        <v>5838</v>
      </c>
      <c r="DC72" s="452">
        <v>1.0145255224391916</v>
      </c>
      <c r="DD72" s="454">
        <v>316.4</v>
      </c>
      <c r="DE72" s="447">
        <v>50002</v>
      </c>
      <c r="DF72" s="454">
        <v>55.258369267151096</v>
      </c>
      <c r="DG72" s="454">
        <v>57.634479145638586</v>
      </c>
      <c r="DH72" s="454">
        <v>58.902437686842624</v>
      </c>
      <c r="DI72" s="454">
        <v>60.19829131595315</v>
      </c>
      <c r="DJ72" s="454">
        <v>62.1848349293796</v>
      </c>
      <c r="DK72" s="454">
        <v>64.42348898683726</v>
      </c>
      <c r="DL72" s="454">
        <v>66.48504063441604</v>
      </c>
      <c r="DM72" s="454">
        <v>69.21092730042709</v>
      </c>
      <c r="DN72" s="454">
        <v>72.25620810164587</v>
      </c>
      <c r="DO72" s="454">
        <v>76.23029954723638</v>
      </c>
      <c r="DP72" s="454">
        <v>75.54422685131125</v>
      </c>
      <c r="DQ72" s="454">
        <v>79.39698242072812</v>
      </c>
      <c r="DR72" s="454">
        <v>84.24019834839254</v>
      </c>
      <c r="DS72" s="454">
        <v>46.81</v>
      </c>
      <c r="DT72" s="454">
        <v>48.94608176868426</v>
      </c>
      <c r="DU72" s="454">
        <v>51.15349509519062</v>
      </c>
      <c r="DV72" s="454">
        <v>54.00946974533787</v>
      </c>
      <c r="DW72" s="454">
        <v>57.1637647034082</v>
      </c>
      <c r="DX72" s="454">
        <v>60.241677750667044</v>
      </c>
      <c r="DY72" s="454">
        <v>64.01145469084092</v>
      </c>
      <c r="DZ72" s="454">
        <v>67.4310975199499</v>
      </c>
      <c r="EA72" s="454">
        <v>69.38880997134132</v>
      </c>
      <c r="EB72" s="454">
        <v>70.9727524306911</v>
      </c>
      <c r="EC72" s="454">
        <v>75.5532867278707</v>
      </c>
      <c r="ED72" s="454">
        <v>81.18157750080124</v>
      </c>
      <c r="EE72" s="454">
        <v>-0.05</v>
      </c>
      <c r="EF72" s="454">
        <v>81.13157750080124</v>
      </c>
      <c r="EG72" s="454">
        <v>4218.842030041665</v>
      </c>
      <c r="EH72" s="447">
        <v>24137007.775955573</v>
      </c>
      <c r="EI72" s="454">
        <v>52.06</v>
      </c>
      <c r="EJ72" s="454">
        <v>53.77503176868426</v>
      </c>
      <c r="EK72" s="454">
        <v>55.54032789519062</v>
      </c>
      <c r="EL72" s="454">
        <v>57.97461824243786</v>
      </c>
      <c r="EM72" s="454">
        <v>60.68481656883299</v>
      </c>
      <c r="EN72" s="454">
        <v>63.269782354932374</v>
      </c>
      <c r="EO72" s="454">
        <v>66.5332602052731</v>
      </c>
      <c r="EP72" s="454">
        <v>69.77133303734296</v>
      </c>
      <c r="EQ72" s="454">
        <v>71.6206145764285</v>
      </c>
      <c r="ER72" s="454">
        <v>72.46404135992162</v>
      </c>
      <c r="ES72" s="454">
        <v>76.80716245956772</v>
      </c>
      <c r="ET72" s="454">
        <v>82.17934911429914</v>
      </c>
      <c r="EU72" s="447">
        <v>10651079</v>
      </c>
      <c r="EV72" s="447">
        <v>0</v>
      </c>
      <c r="EW72" s="447">
        <v>0</v>
      </c>
      <c r="EX72" s="447">
        <v>0</v>
      </c>
      <c r="EY72" s="447">
        <v>0</v>
      </c>
      <c r="EZ72" s="447">
        <v>0</v>
      </c>
      <c r="FA72" s="447">
        <v>0</v>
      </c>
      <c r="FB72" s="447">
        <v>0</v>
      </c>
      <c r="FC72" s="447">
        <v>0</v>
      </c>
      <c r="FD72" s="447">
        <v>10651079</v>
      </c>
      <c r="FE72" s="447">
        <v>45729.07730017623</v>
      </c>
      <c r="FF72" s="447">
        <v>0</v>
      </c>
      <c r="FG72" s="447">
        <v>0</v>
      </c>
      <c r="FH72" s="447">
        <v>27426</v>
      </c>
      <c r="FI72" s="456">
        <v>0.08539999999999999</v>
      </c>
      <c r="FJ72" s="447">
        <v>2342.1803999999997</v>
      </c>
      <c r="FK72" s="471">
        <v>2342.1803999999997</v>
      </c>
      <c r="FL72" s="446">
        <v>79.38</v>
      </c>
      <c r="FM72" s="450">
        <v>74.76</v>
      </c>
      <c r="FN72" s="450">
        <v>74.71</v>
      </c>
      <c r="FO72" s="450">
        <v>-0.05</v>
      </c>
      <c r="FP72" s="472">
        <v>73.46</v>
      </c>
      <c r="FQ72" s="446">
        <v>95184</v>
      </c>
      <c r="FR72" s="450">
        <v>1908</v>
      </c>
      <c r="FS72" s="450">
        <v>0</v>
      </c>
      <c r="FT72" s="450">
        <v>0</v>
      </c>
      <c r="FU72" s="450">
        <v>0</v>
      </c>
      <c r="FV72" s="450">
        <v>0</v>
      </c>
      <c r="FW72" s="450">
        <v>0</v>
      </c>
      <c r="FX72" s="450">
        <v>0</v>
      </c>
      <c r="FY72" s="450">
        <v>0</v>
      </c>
      <c r="FZ72" s="450">
        <v>0</v>
      </c>
      <c r="GA72" s="450">
        <v>0</v>
      </c>
      <c r="GB72" s="450">
        <v>0</v>
      </c>
      <c r="GC72" s="450">
        <v>0</v>
      </c>
      <c r="GD72" s="450">
        <v>0</v>
      </c>
      <c r="GE72" s="450">
        <v>0</v>
      </c>
      <c r="GF72" s="450">
        <v>0</v>
      </c>
      <c r="GG72" s="450">
        <v>0</v>
      </c>
      <c r="GH72" s="450">
        <v>0</v>
      </c>
      <c r="GI72" s="450">
        <v>0</v>
      </c>
      <c r="GJ72" s="450">
        <v>0</v>
      </c>
      <c r="GK72" s="450">
        <v>0</v>
      </c>
      <c r="GL72" s="450">
        <v>0</v>
      </c>
      <c r="GM72" s="450">
        <v>0</v>
      </c>
      <c r="GN72" s="450">
        <v>0</v>
      </c>
      <c r="GO72" s="450">
        <v>0</v>
      </c>
      <c r="GP72" s="450">
        <v>0</v>
      </c>
      <c r="GQ72" s="450">
        <v>0</v>
      </c>
      <c r="GR72" s="450">
        <v>0</v>
      </c>
      <c r="GS72" s="450">
        <v>0</v>
      </c>
      <c r="GT72" s="450">
        <v>0</v>
      </c>
      <c r="GU72" s="450">
        <v>0</v>
      </c>
      <c r="GV72" s="450">
        <v>0</v>
      </c>
      <c r="GW72" s="450">
        <v>385000</v>
      </c>
      <c r="GX72" s="450">
        <v>162064</v>
      </c>
      <c r="GY72" s="450">
        <v>162064</v>
      </c>
      <c r="GZ72" s="450">
        <v>28</v>
      </c>
      <c r="HA72" s="450" t="s">
        <v>888</v>
      </c>
      <c r="HB72" s="450" t="s">
        <v>888</v>
      </c>
      <c r="HC72" s="450">
        <v>0</v>
      </c>
      <c r="HD72" s="450">
        <v>0</v>
      </c>
      <c r="HE72" s="450">
        <v>0</v>
      </c>
      <c r="HF72" s="450">
        <v>0</v>
      </c>
      <c r="HG72" s="472">
        <v>0</v>
      </c>
    </row>
    <row r="73" spans="2:215" ht="12.75">
      <c r="B73" s="445" t="s">
        <v>751</v>
      </c>
      <c r="C73" s="446">
        <v>6049</v>
      </c>
      <c r="D73" s="447">
        <v>1440217</v>
      </c>
      <c r="E73" s="447">
        <v>1235706.186</v>
      </c>
      <c r="F73" s="447">
        <v>194569.36370978097</v>
      </c>
      <c r="G73" s="447">
        <v>204510.814</v>
      </c>
      <c r="H73" s="448">
        <v>0.4686014217225988</v>
      </c>
      <c r="I73" s="449">
        <v>2398.55</v>
      </c>
      <c r="J73" s="449">
        <v>436.02</v>
      </c>
      <c r="K73" s="447">
        <v>1430275.549709781</v>
      </c>
      <c r="L73" s="447">
        <v>1144220.439767825</v>
      </c>
      <c r="M73" s="447">
        <v>371691.9422438058</v>
      </c>
      <c r="N73" s="447">
        <v>286055.1099419562</v>
      </c>
      <c r="O73" s="450">
        <v>1.2993717969912382</v>
      </c>
      <c r="P73" s="451">
        <v>0.7697140023144321</v>
      </c>
      <c r="Q73" s="452">
        <v>0.23028599768556787</v>
      </c>
      <c r="R73" s="447">
        <v>1515912.3820116308</v>
      </c>
      <c r="S73" s="447">
        <v>1024756.7702398625</v>
      </c>
      <c r="T73" s="447">
        <v>122483.31860925825</v>
      </c>
      <c r="U73" s="447">
        <v>348104.39303309994</v>
      </c>
      <c r="V73" s="447">
        <v>345628.02309865184</v>
      </c>
      <c r="W73" s="450">
        <v>1.0071648413003285</v>
      </c>
      <c r="X73" s="452">
        <v>17.680276269230667</v>
      </c>
      <c r="Y73" s="447">
        <v>122483.31860925825</v>
      </c>
      <c r="Z73" s="447">
        <v>145527.58867311655</v>
      </c>
      <c r="AA73" s="448">
        <v>0.8416501621859465</v>
      </c>
      <c r="AB73" s="448">
        <v>0.06620929079186642</v>
      </c>
      <c r="AC73" s="449">
        <v>415</v>
      </c>
      <c r="AD73" s="449">
        <v>386</v>
      </c>
      <c r="AE73" s="447">
        <v>1495344.4818822206</v>
      </c>
      <c r="AF73" s="447">
        <v>155930.73183640448</v>
      </c>
      <c r="AG73" s="451">
        <v>0.75</v>
      </c>
      <c r="AH73" s="450">
        <v>0.338177525045547</v>
      </c>
      <c r="AI73" s="452">
        <v>0.28478264808654785</v>
      </c>
      <c r="AJ73" s="447">
        <v>1651275.213718625</v>
      </c>
      <c r="AK73" s="453">
        <v>1</v>
      </c>
      <c r="AL73" s="447">
        <v>1651275.213718625</v>
      </c>
      <c r="AM73" s="447">
        <v>3884562.086211966</v>
      </c>
      <c r="AN73" s="447">
        <v>3846220.6896153702</v>
      </c>
      <c r="AO73" s="447">
        <v>3700947.5923216115</v>
      </c>
      <c r="AP73" s="447">
        <v>3846220.6896153702</v>
      </c>
      <c r="AQ73" s="447">
        <v>24196</v>
      </c>
      <c r="AR73" s="447">
        <v>3870416.6896153702</v>
      </c>
      <c r="AS73" s="454">
        <v>639.8440551521525</v>
      </c>
      <c r="AT73" s="450">
        <v>6049</v>
      </c>
      <c r="AU73" s="450">
        <v>802</v>
      </c>
      <c r="AV73" s="450">
        <v>136</v>
      </c>
      <c r="AW73" s="450">
        <v>58</v>
      </c>
      <c r="AX73" s="450">
        <v>454</v>
      </c>
      <c r="AY73" s="450">
        <v>536</v>
      </c>
      <c r="AZ73" s="450">
        <v>297</v>
      </c>
      <c r="BA73" s="450">
        <v>187</v>
      </c>
      <c r="BB73" s="450">
        <v>0</v>
      </c>
      <c r="BC73" s="450">
        <v>75</v>
      </c>
      <c r="BD73" s="450">
        <v>1227</v>
      </c>
      <c r="BE73" s="450">
        <v>1393</v>
      </c>
      <c r="BF73" s="450">
        <v>0</v>
      </c>
      <c r="BG73" s="450">
        <v>884</v>
      </c>
      <c r="BH73" s="450">
        <v>0</v>
      </c>
      <c r="BI73" s="450">
        <v>0</v>
      </c>
      <c r="BJ73" s="452">
        <v>1.586284163157643</v>
      </c>
      <c r="BK73" s="452">
        <v>12.904597689891808</v>
      </c>
      <c r="BL73" s="452">
        <v>9.408176790529732</v>
      </c>
      <c r="BM73" s="452">
        <v>6.992841798724153</v>
      </c>
      <c r="BN73" s="449">
        <v>4656</v>
      </c>
      <c r="BO73" s="449">
        <v>1393</v>
      </c>
      <c r="BP73" s="447">
        <v>1831550.6616125882</v>
      </c>
      <c r="BQ73" s="447">
        <v>6443413</v>
      </c>
      <c r="BR73" s="447">
        <v>7984192</v>
      </c>
      <c r="BS73" s="448">
        <v>0.06620929079186642</v>
      </c>
      <c r="BT73" s="449">
        <v>415</v>
      </c>
      <c r="BU73" s="449">
        <v>386</v>
      </c>
      <c r="BV73" s="447">
        <v>528627.6898660936</v>
      </c>
      <c r="BW73" s="448">
        <v>0.007052214212175485</v>
      </c>
      <c r="BX73" s="447">
        <v>8700.772110797041</v>
      </c>
      <c r="BY73" s="447">
        <v>8812292.123589478</v>
      </c>
      <c r="BZ73" s="455">
        <v>0.94</v>
      </c>
      <c r="CA73" s="447">
        <v>8283554.596174109</v>
      </c>
      <c r="CB73" s="447">
        <v>6229457.589875694</v>
      </c>
      <c r="CC73" s="447">
        <v>6221833.228860859</v>
      </c>
      <c r="CD73" s="447">
        <v>6055596.447012821</v>
      </c>
      <c r="CE73" s="447">
        <v>6221833.228860859</v>
      </c>
      <c r="CF73" s="454">
        <v>1028.5721985222117</v>
      </c>
      <c r="CG73" s="450">
        <v>6049</v>
      </c>
      <c r="CH73" s="450">
        <v>802</v>
      </c>
      <c r="CI73" s="450">
        <v>136</v>
      </c>
      <c r="CJ73" s="450">
        <v>58</v>
      </c>
      <c r="CK73" s="450">
        <v>454</v>
      </c>
      <c r="CL73" s="450">
        <v>536</v>
      </c>
      <c r="CM73" s="450">
        <v>297</v>
      </c>
      <c r="CN73" s="450">
        <v>187</v>
      </c>
      <c r="CO73" s="450">
        <v>0</v>
      </c>
      <c r="CP73" s="450">
        <v>75</v>
      </c>
      <c r="CQ73" s="450">
        <v>1227</v>
      </c>
      <c r="CR73" s="450">
        <v>1393</v>
      </c>
      <c r="CS73" s="450">
        <v>0</v>
      </c>
      <c r="CT73" s="450">
        <v>884</v>
      </c>
      <c r="CU73" s="450">
        <v>0</v>
      </c>
      <c r="CV73" s="450">
        <v>0</v>
      </c>
      <c r="CW73" s="447">
        <v>4373789.2085331585</v>
      </c>
      <c r="CX73" s="452">
        <v>0.9176405465793702</v>
      </c>
      <c r="CY73" s="452">
        <v>0.94</v>
      </c>
      <c r="CZ73" s="447">
        <v>4013566.3199413186</v>
      </c>
      <c r="DA73" s="454">
        <v>663.5090626452833</v>
      </c>
      <c r="DB73" s="449">
        <v>6049</v>
      </c>
      <c r="DC73" s="452">
        <v>1.003190610018185</v>
      </c>
      <c r="DD73" s="454">
        <v>302.5</v>
      </c>
      <c r="DE73" s="447">
        <v>29373</v>
      </c>
      <c r="DF73" s="454">
        <v>46.34543674035706</v>
      </c>
      <c r="DG73" s="454">
        <v>48.33829052019241</v>
      </c>
      <c r="DH73" s="454">
        <v>49.401732911636635</v>
      </c>
      <c r="DI73" s="454">
        <v>50.48857103569263</v>
      </c>
      <c r="DJ73" s="454">
        <v>52.154693879870486</v>
      </c>
      <c r="DK73" s="454">
        <v>54.03226285954581</v>
      </c>
      <c r="DL73" s="454">
        <v>55.76129527105127</v>
      </c>
      <c r="DM73" s="454">
        <v>58.04750837716436</v>
      </c>
      <c r="DN73" s="454">
        <v>60.60159874575958</v>
      </c>
      <c r="DO73" s="454">
        <v>63.93468667677635</v>
      </c>
      <c r="DP73" s="454">
        <v>63.359274496685366</v>
      </c>
      <c r="DQ73" s="454">
        <v>66.59059749601631</v>
      </c>
      <c r="DR73" s="454">
        <v>70.65262394327331</v>
      </c>
      <c r="DS73" s="454">
        <v>37.11</v>
      </c>
      <c r="DT73" s="454">
        <v>39.07395129116366</v>
      </c>
      <c r="DU73" s="454">
        <v>41.10635519913851</v>
      </c>
      <c r="DV73" s="454">
        <v>43.674343540605136</v>
      </c>
      <c r="DW73" s="454">
        <v>46.501711758278184</v>
      </c>
      <c r="DX73" s="454">
        <v>49.28502132396111</v>
      </c>
      <c r="DY73" s="454">
        <v>52.65406743402768</v>
      </c>
      <c r="DZ73" s="454">
        <v>55.59648555052874</v>
      </c>
      <c r="EA73" s="454">
        <v>57.28282749847267</v>
      </c>
      <c r="EB73" s="454">
        <v>58.91451086066034</v>
      </c>
      <c r="EC73" s="454">
        <v>62.85344023084647</v>
      </c>
      <c r="ED73" s="454">
        <v>67.67878104951441</v>
      </c>
      <c r="EE73" s="454">
        <v>0</v>
      </c>
      <c r="EF73" s="454">
        <v>67.67878104951441</v>
      </c>
      <c r="EG73" s="454">
        <v>3519.2966145747496</v>
      </c>
      <c r="EH73" s="447">
        <v>20862460.717131406</v>
      </c>
      <c r="EI73" s="454">
        <v>38.55</v>
      </c>
      <c r="EJ73" s="454">
        <v>40.39846329116366</v>
      </c>
      <c r="EK73" s="454">
        <v>42.30960076713851</v>
      </c>
      <c r="EL73" s="454">
        <v>44.76192712838113</v>
      </c>
      <c r="EM73" s="454">
        <v>47.467485984223266</v>
      </c>
      <c r="EN73" s="454">
        <v>50.11558715827388</v>
      </c>
      <c r="EO73" s="454">
        <v>53.345762660843356</v>
      </c>
      <c r="EP73" s="454">
        <v>56.23837872101369</v>
      </c>
      <c r="EQ73" s="454">
        <v>57.894979618725145</v>
      </c>
      <c r="ER73" s="454">
        <v>59.3235501098207</v>
      </c>
      <c r="ES73" s="454">
        <v>63.1973604315405</v>
      </c>
      <c r="ET73" s="454">
        <v>67.95245554921668</v>
      </c>
      <c r="EU73" s="447">
        <v>31614601</v>
      </c>
      <c r="EV73" s="447">
        <v>0</v>
      </c>
      <c r="EW73" s="447">
        <v>0</v>
      </c>
      <c r="EX73" s="447">
        <v>0</v>
      </c>
      <c r="EY73" s="447">
        <v>0</v>
      </c>
      <c r="EZ73" s="447">
        <v>0</v>
      </c>
      <c r="FA73" s="447">
        <v>0</v>
      </c>
      <c r="FB73" s="447">
        <v>0</v>
      </c>
      <c r="FC73" s="447">
        <v>0</v>
      </c>
      <c r="FD73" s="447">
        <v>31614601</v>
      </c>
      <c r="FE73" s="447">
        <v>55976.76718039266</v>
      </c>
      <c r="FF73" s="447">
        <v>0</v>
      </c>
      <c r="FG73" s="447">
        <v>0</v>
      </c>
      <c r="FH73" s="447">
        <v>0</v>
      </c>
      <c r="FI73" s="456">
        <v>0</v>
      </c>
      <c r="FJ73" s="447">
        <v>0</v>
      </c>
      <c r="FK73" s="471">
        <v>0</v>
      </c>
      <c r="FL73" s="446">
        <v>66.59</v>
      </c>
      <c r="FM73" s="450">
        <v>65.06</v>
      </c>
      <c r="FN73" s="450">
        <v>65.06</v>
      </c>
      <c r="FO73" s="450">
        <v>0</v>
      </c>
      <c r="FP73" s="472">
        <v>65.06</v>
      </c>
      <c r="FQ73" s="446">
        <v>7498</v>
      </c>
      <c r="FR73" s="450">
        <v>1530</v>
      </c>
      <c r="FS73" s="450">
        <v>0</v>
      </c>
      <c r="FT73" s="450">
        <v>0</v>
      </c>
      <c r="FU73" s="450">
        <v>0</v>
      </c>
      <c r="FV73" s="450">
        <v>0</v>
      </c>
      <c r="FW73" s="450">
        <v>0</v>
      </c>
      <c r="FX73" s="450">
        <v>0</v>
      </c>
      <c r="FY73" s="450">
        <v>0</v>
      </c>
      <c r="FZ73" s="450">
        <v>0</v>
      </c>
      <c r="GA73" s="450">
        <v>0</v>
      </c>
      <c r="GB73" s="450">
        <v>0</v>
      </c>
      <c r="GC73" s="450">
        <v>0</v>
      </c>
      <c r="GD73" s="450">
        <v>0</v>
      </c>
      <c r="GE73" s="450">
        <v>0</v>
      </c>
      <c r="GF73" s="450">
        <v>0</v>
      </c>
      <c r="GG73" s="450">
        <v>0</v>
      </c>
      <c r="GH73" s="450">
        <v>0</v>
      </c>
      <c r="GI73" s="450">
        <v>0</v>
      </c>
      <c r="GJ73" s="450">
        <v>0</v>
      </c>
      <c r="GK73" s="450">
        <v>0</v>
      </c>
      <c r="GL73" s="450">
        <v>0</v>
      </c>
      <c r="GM73" s="450">
        <v>0</v>
      </c>
      <c r="GN73" s="450">
        <v>0</v>
      </c>
      <c r="GO73" s="450">
        <v>0</v>
      </c>
      <c r="GP73" s="450">
        <v>0</v>
      </c>
      <c r="GQ73" s="450">
        <v>0</v>
      </c>
      <c r="GR73" s="450">
        <v>0</v>
      </c>
      <c r="GS73" s="450">
        <v>0</v>
      </c>
      <c r="GT73" s="450">
        <v>0</v>
      </c>
      <c r="GU73" s="450">
        <v>0</v>
      </c>
      <c r="GV73" s="450">
        <v>0</v>
      </c>
      <c r="GW73" s="450">
        <v>0</v>
      </c>
      <c r="GX73" s="450">
        <v>18767863</v>
      </c>
      <c r="GY73" s="450">
        <v>18938863</v>
      </c>
      <c r="GZ73" s="450">
        <v>0</v>
      </c>
      <c r="HA73" s="450" t="s">
        <v>888</v>
      </c>
      <c r="HB73" s="450" t="s">
        <v>888</v>
      </c>
      <c r="HC73" s="450">
        <v>0</v>
      </c>
      <c r="HD73" s="450">
        <v>0</v>
      </c>
      <c r="HE73" s="450">
        <v>0</v>
      </c>
      <c r="HF73" s="450">
        <v>0</v>
      </c>
      <c r="HG73" s="472">
        <v>0</v>
      </c>
    </row>
    <row r="74" spans="2:215" ht="12.75">
      <c r="B74" s="445" t="s">
        <v>752</v>
      </c>
      <c r="C74" s="446">
        <v>23319</v>
      </c>
      <c r="D74" s="447">
        <v>5464127</v>
      </c>
      <c r="E74" s="447">
        <v>4688220.966</v>
      </c>
      <c r="F74" s="447">
        <v>1039497.0553296587</v>
      </c>
      <c r="G74" s="447">
        <v>775906.0340000001</v>
      </c>
      <c r="H74" s="448">
        <v>0.6598717783781466</v>
      </c>
      <c r="I74" s="449">
        <v>14469.62</v>
      </c>
      <c r="J74" s="449">
        <v>917.93</v>
      </c>
      <c r="K74" s="447">
        <v>5727718.021329659</v>
      </c>
      <c r="L74" s="447">
        <v>4582174.417063727</v>
      </c>
      <c r="M74" s="447">
        <v>1998361.7387818808</v>
      </c>
      <c r="N74" s="447">
        <v>1145543.6042659315</v>
      </c>
      <c r="O74" s="450">
        <v>1.744465886187229</v>
      </c>
      <c r="P74" s="451">
        <v>0.4273339337021313</v>
      </c>
      <c r="Q74" s="452">
        <v>0.5726660662978686</v>
      </c>
      <c r="R74" s="447">
        <v>6580536.155845608</v>
      </c>
      <c r="S74" s="447">
        <v>4448442.441351631</v>
      </c>
      <c r="T74" s="447">
        <v>482301.24049898185</v>
      </c>
      <c r="U74" s="447">
        <v>2329092.291498701</v>
      </c>
      <c r="V74" s="447">
        <v>1500362.2435327985</v>
      </c>
      <c r="W74" s="450">
        <v>1.5523533077015785</v>
      </c>
      <c r="X74" s="452">
        <v>27.250787777880507</v>
      </c>
      <c r="Y74" s="447">
        <v>482301.24049898185</v>
      </c>
      <c r="Z74" s="447">
        <v>631731.4709611783</v>
      </c>
      <c r="AA74" s="448">
        <v>0.7634592586707155</v>
      </c>
      <c r="AB74" s="448">
        <v>0.0600583215403748</v>
      </c>
      <c r="AC74" s="449">
        <v>1418</v>
      </c>
      <c r="AD74" s="449">
        <v>1383</v>
      </c>
      <c r="AE74" s="447">
        <v>7259835.973349313</v>
      </c>
      <c r="AF74" s="447">
        <v>1138041.0736385267</v>
      </c>
      <c r="AG74" s="451">
        <v>1</v>
      </c>
      <c r="AH74" s="450">
        <v>0.5268387968511338</v>
      </c>
      <c r="AI74" s="452">
        <v>0.44365617632865906</v>
      </c>
      <c r="AJ74" s="447">
        <v>8397877.046987839</v>
      </c>
      <c r="AK74" s="453">
        <v>1.1982</v>
      </c>
      <c r="AL74" s="447">
        <v>10062336.277700828</v>
      </c>
      <c r="AM74" s="447">
        <v>23671263.081002302</v>
      </c>
      <c r="AN74" s="447">
        <v>23437623.029540002</v>
      </c>
      <c r="AO74" s="447">
        <v>24039580.932309635</v>
      </c>
      <c r="AP74" s="447">
        <v>24039580.932309635</v>
      </c>
      <c r="AQ74" s="447">
        <v>93276</v>
      </c>
      <c r="AR74" s="447">
        <v>24132856.932309635</v>
      </c>
      <c r="AS74" s="454">
        <v>1034.9010220125062</v>
      </c>
      <c r="AT74" s="450">
        <v>23318</v>
      </c>
      <c r="AU74" s="450">
        <v>775</v>
      </c>
      <c r="AV74" s="450">
        <v>682</v>
      </c>
      <c r="AW74" s="450">
        <v>822</v>
      </c>
      <c r="AX74" s="450">
        <v>336</v>
      </c>
      <c r="AY74" s="450">
        <v>1328</v>
      </c>
      <c r="AZ74" s="450">
        <v>386</v>
      </c>
      <c r="BA74" s="450">
        <v>1618</v>
      </c>
      <c r="BB74" s="450">
        <v>819</v>
      </c>
      <c r="BC74" s="450">
        <v>836</v>
      </c>
      <c r="BD74" s="450">
        <v>2068</v>
      </c>
      <c r="BE74" s="450">
        <v>9409</v>
      </c>
      <c r="BF74" s="450">
        <v>3945</v>
      </c>
      <c r="BG74" s="450">
        <v>276</v>
      </c>
      <c r="BH74" s="450">
        <v>18</v>
      </c>
      <c r="BI74" s="450">
        <v>0</v>
      </c>
      <c r="BJ74" s="452">
        <v>2.534452633867472</v>
      </c>
      <c r="BK74" s="452">
        <v>22.06888554710652</v>
      </c>
      <c r="BL74" s="452">
        <v>12.300001070188337</v>
      </c>
      <c r="BM74" s="452">
        <v>19.53776895383637</v>
      </c>
      <c r="BN74" s="449">
        <v>9964</v>
      </c>
      <c r="BO74" s="449">
        <v>13354</v>
      </c>
      <c r="BP74" s="447">
        <v>11145615.349706218</v>
      </c>
      <c r="BQ74" s="447">
        <v>28147090</v>
      </c>
      <c r="BR74" s="447">
        <v>31227081</v>
      </c>
      <c r="BS74" s="448">
        <v>0.06006089716099151</v>
      </c>
      <c r="BT74" s="449">
        <v>1418</v>
      </c>
      <c r="BU74" s="449">
        <v>1383</v>
      </c>
      <c r="BV74" s="447">
        <v>1875526.5005789518</v>
      </c>
      <c r="BW74" s="448">
        <v>0.014454873285958085</v>
      </c>
      <c r="BX74" s="447">
        <v>117568.29860223529</v>
      </c>
      <c r="BY74" s="447">
        <v>41285800.1488874</v>
      </c>
      <c r="BZ74" s="455">
        <v>1.1933333333333331</v>
      </c>
      <c r="CA74" s="447">
        <v>49267721.511005625</v>
      </c>
      <c r="CB74" s="447">
        <v>37050662.02429182</v>
      </c>
      <c r="CC74" s="447">
        <v>37005314.95851021</v>
      </c>
      <c r="CD74" s="447">
        <v>36757893.15468002</v>
      </c>
      <c r="CE74" s="447">
        <v>37005314.95851021</v>
      </c>
      <c r="CF74" s="454">
        <v>1586.9849454717478</v>
      </c>
      <c r="CG74" s="450">
        <v>23318</v>
      </c>
      <c r="CH74" s="450">
        <v>775</v>
      </c>
      <c r="CI74" s="450">
        <v>682</v>
      </c>
      <c r="CJ74" s="450">
        <v>822</v>
      </c>
      <c r="CK74" s="450">
        <v>336</v>
      </c>
      <c r="CL74" s="450">
        <v>1328</v>
      </c>
      <c r="CM74" s="450">
        <v>386</v>
      </c>
      <c r="CN74" s="450">
        <v>1618</v>
      </c>
      <c r="CO74" s="450">
        <v>819</v>
      </c>
      <c r="CP74" s="450">
        <v>836</v>
      </c>
      <c r="CQ74" s="450">
        <v>2068</v>
      </c>
      <c r="CR74" s="450">
        <v>9409</v>
      </c>
      <c r="CS74" s="450">
        <v>3945</v>
      </c>
      <c r="CT74" s="450">
        <v>276</v>
      </c>
      <c r="CU74" s="450">
        <v>18</v>
      </c>
      <c r="CV74" s="450">
        <v>0</v>
      </c>
      <c r="CW74" s="447">
        <v>18656229.562676504</v>
      </c>
      <c r="CX74" s="452">
        <v>1.1649479279270019</v>
      </c>
      <c r="CY74" s="452">
        <v>1.1933333333333331</v>
      </c>
      <c r="CZ74" s="447">
        <v>21733535.97197047</v>
      </c>
      <c r="DA74" s="454">
        <v>932.049745774529</v>
      </c>
      <c r="DB74" s="449">
        <v>23319</v>
      </c>
      <c r="DC74" s="452">
        <v>1.0006303872378748</v>
      </c>
      <c r="DD74" s="454">
        <v>354.1</v>
      </c>
      <c r="DE74" s="447">
        <v>62142</v>
      </c>
      <c r="DF74" s="454">
        <v>63.284182576756024</v>
      </c>
      <c r="DG74" s="454">
        <v>66.00540242755653</v>
      </c>
      <c r="DH74" s="454">
        <v>67.45752128096277</v>
      </c>
      <c r="DI74" s="454">
        <v>68.94158674914394</v>
      </c>
      <c r="DJ74" s="454">
        <v>71.21665911186568</v>
      </c>
      <c r="DK74" s="454">
        <v>73.78045883989283</v>
      </c>
      <c r="DL74" s="454">
        <v>76.14143352276939</v>
      </c>
      <c r="DM74" s="454">
        <v>79.26323229720293</v>
      </c>
      <c r="DN74" s="454">
        <v>82.75081451827985</v>
      </c>
      <c r="DO74" s="454">
        <v>87.30210931678523</v>
      </c>
      <c r="DP74" s="454">
        <v>86.51639033293417</v>
      </c>
      <c r="DQ74" s="454">
        <v>90.9287262399138</v>
      </c>
      <c r="DR74" s="454">
        <v>96.47537854054853</v>
      </c>
      <c r="DS74" s="454">
        <v>49.79</v>
      </c>
      <c r="DT74" s="454">
        <v>52.54259412809627</v>
      </c>
      <c r="DU74" s="454">
        <v>55.39220403782877</v>
      </c>
      <c r="DV74" s="454">
        <v>58.96971081367568</v>
      </c>
      <c r="DW74" s="454">
        <v>62.90516875110011</v>
      </c>
      <c r="DX74" s="454">
        <v>66.78868404640765</v>
      </c>
      <c r="DY74" s="454">
        <v>71.47426253328888</v>
      </c>
      <c r="DZ74" s="454">
        <v>75.52265057736761</v>
      </c>
      <c r="EA74" s="454">
        <v>77.8435750550686</v>
      </c>
      <c r="EB74" s="454">
        <v>80.19621006307825</v>
      </c>
      <c r="EC74" s="454">
        <v>85.61471866901894</v>
      </c>
      <c r="ED74" s="454">
        <v>92.24675701600896</v>
      </c>
      <c r="EE74" s="454">
        <v>-0.78</v>
      </c>
      <c r="EF74" s="454">
        <v>91.46675701600896</v>
      </c>
      <c r="EG74" s="454">
        <v>4756.271364832466</v>
      </c>
      <c r="EH74" s="447">
        <v>108693262.11739771</v>
      </c>
      <c r="EI74" s="454">
        <v>54.21</v>
      </c>
      <c r="EJ74" s="454">
        <v>56.60811012809627</v>
      </c>
      <c r="EK74" s="454">
        <v>59.085499461828775</v>
      </c>
      <c r="EL74" s="454">
        <v>62.30798821504369</v>
      </c>
      <c r="EM74" s="454">
        <v>65.8695590835149</v>
      </c>
      <c r="EN74" s="454">
        <v>69.33805973228436</v>
      </c>
      <c r="EO74" s="454">
        <v>73.597382604487</v>
      </c>
      <c r="EP74" s="454">
        <v>77.49290600343946</v>
      </c>
      <c r="EQ74" s="454">
        <v>79.72254197973244</v>
      </c>
      <c r="ER74" s="454">
        <v>81.45173331397325</v>
      </c>
      <c r="ES74" s="454">
        <v>86.67036261837147</v>
      </c>
      <c r="ET74" s="454">
        <v>93.08678568870623</v>
      </c>
      <c r="EU74" s="447">
        <v>435509476</v>
      </c>
      <c r="EV74" s="447">
        <v>0</v>
      </c>
      <c r="EW74" s="447">
        <v>0</v>
      </c>
      <c r="EX74" s="447">
        <v>0</v>
      </c>
      <c r="EY74" s="447">
        <v>0</v>
      </c>
      <c r="EZ74" s="447">
        <v>0</v>
      </c>
      <c r="FA74" s="447">
        <v>0</v>
      </c>
      <c r="FB74" s="447">
        <v>0</v>
      </c>
      <c r="FC74" s="447">
        <v>0</v>
      </c>
      <c r="FD74" s="447">
        <v>435509476</v>
      </c>
      <c r="FE74" s="447">
        <v>253414.46029363858</v>
      </c>
      <c r="FF74" s="447">
        <v>0</v>
      </c>
      <c r="FG74" s="447">
        <v>0</v>
      </c>
      <c r="FH74" s="447">
        <v>54818</v>
      </c>
      <c r="FI74" s="456">
        <v>0.0575</v>
      </c>
      <c r="FJ74" s="447">
        <v>3152.0350000000003</v>
      </c>
      <c r="FK74" s="471">
        <v>3152.0350000000003</v>
      </c>
      <c r="FL74" s="446">
        <v>90.71</v>
      </c>
      <c r="FM74" s="450">
        <v>87.61</v>
      </c>
      <c r="FN74" s="450">
        <v>86.83</v>
      </c>
      <c r="FO74" s="450">
        <v>-0.78</v>
      </c>
      <c r="FP74" s="472">
        <v>86.78</v>
      </c>
      <c r="FQ74" s="446">
        <v>46742</v>
      </c>
      <c r="FR74" s="450">
        <v>2801562</v>
      </c>
      <c r="FS74" s="450">
        <v>0</v>
      </c>
      <c r="FT74" s="450">
        <v>0</v>
      </c>
      <c r="FU74" s="450">
        <v>0</v>
      </c>
      <c r="FV74" s="450">
        <v>0</v>
      </c>
      <c r="FW74" s="450">
        <v>0</v>
      </c>
      <c r="FX74" s="450">
        <v>0</v>
      </c>
      <c r="FY74" s="450">
        <v>0</v>
      </c>
      <c r="FZ74" s="450">
        <v>0</v>
      </c>
      <c r="GA74" s="450">
        <v>0</v>
      </c>
      <c r="GB74" s="450">
        <v>0</v>
      </c>
      <c r="GC74" s="450">
        <v>0</v>
      </c>
      <c r="GD74" s="450">
        <v>0</v>
      </c>
      <c r="GE74" s="450">
        <v>0</v>
      </c>
      <c r="GF74" s="450">
        <v>0</v>
      </c>
      <c r="GG74" s="450">
        <v>0</v>
      </c>
      <c r="GH74" s="450">
        <v>0</v>
      </c>
      <c r="GI74" s="450">
        <v>0</v>
      </c>
      <c r="GJ74" s="450">
        <v>0</v>
      </c>
      <c r="GK74" s="450">
        <v>0</v>
      </c>
      <c r="GL74" s="450">
        <v>0</v>
      </c>
      <c r="GM74" s="450">
        <v>0</v>
      </c>
      <c r="GN74" s="450">
        <v>0</v>
      </c>
      <c r="GO74" s="450">
        <v>0</v>
      </c>
      <c r="GP74" s="450">
        <v>0</v>
      </c>
      <c r="GQ74" s="450">
        <v>0</v>
      </c>
      <c r="GR74" s="450">
        <v>0</v>
      </c>
      <c r="GS74" s="450">
        <v>0</v>
      </c>
      <c r="GT74" s="450">
        <v>0</v>
      </c>
      <c r="GU74" s="450">
        <v>0</v>
      </c>
      <c r="GV74" s="450">
        <v>0</v>
      </c>
      <c r="GW74" s="450">
        <v>5714277</v>
      </c>
      <c r="GX74" s="450">
        <v>452790000</v>
      </c>
      <c r="GY74" s="450">
        <v>459579000</v>
      </c>
      <c r="GZ74" s="450">
        <v>373</v>
      </c>
      <c r="HA74" s="450" t="s">
        <v>888</v>
      </c>
      <c r="HB74" s="450" t="s">
        <v>888</v>
      </c>
      <c r="HC74" s="450">
        <v>327</v>
      </c>
      <c r="HD74" s="450">
        <v>327</v>
      </c>
      <c r="HE74" s="450">
        <v>36</v>
      </c>
      <c r="HF74" s="450">
        <v>0</v>
      </c>
      <c r="HG74" s="472">
        <v>0</v>
      </c>
    </row>
    <row r="75" spans="2:215" ht="12.75">
      <c r="B75" s="445" t="s">
        <v>753</v>
      </c>
      <c r="C75" s="446">
        <v>5306</v>
      </c>
      <c r="D75" s="447">
        <v>1267098</v>
      </c>
      <c r="E75" s="447">
        <v>1087170.084</v>
      </c>
      <c r="F75" s="447">
        <v>168252.7637299533</v>
      </c>
      <c r="G75" s="447">
        <v>179927.91600000003</v>
      </c>
      <c r="H75" s="448">
        <v>0.46058424425179034</v>
      </c>
      <c r="I75" s="449">
        <v>2054.12</v>
      </c>
      <c r="J75" s="449">
        <v>389.74</v>
      </c>
      <c r="K75" s="447">
        <v>1255422.8477299532</v>
      </c>
      <c r="L75" s="447">
        <v>1004338.2781839627</v>
      </c>
      <c r="M75" s="447">
        <v>292670.1556215685</v>
      </c>
      <c r="N75" s="447">
        <v>251084.56954599058</v>
      </c>
      <c r="O75" s="450">
        <v>1.165623822088202</v>
      </c>
      <c r="P75" s="451">
        <v>0.8725970599321523</v>
      </c>
      <c r="Q75" s="452">
        <v>0.12740294006784772</v>
      </c>
      <c r="R75" s="447">
        <v>1297008.4338055311</v>
      </c>
      <c r="S75" s="447">
        <v>876777.7012525391</v>
      </c>
      <c r="T75" s="447">
        <v>92176.01794860997</v>
      </c>
      <c r="U75" s="447">
        <v>230828.04328236787</v>
      </c>
      <c r="V75" s="447">
        <v>295717.9229076611</v>
      </c>
      <c r="W75" s="450">
        <v>0.7805683233966332</v>
      </c>
      <c r="X75" s="452">
        <v>13.702487456616266</v>
      </c>
      <c r="Y75" s="447">
        <v>92176.01794860997</v>
      </c>
      <c r="Z75" s="447">
        <v>124512.80964533098</v>
      </c>
      <c r="AA75" s="448">
        <v>0.7402934542330954</v>
      </c>
      <c r="AB75" s="448">
        <v>0.05823595929136826</v>
      </c>
      <c r="AC75" s="449">
        <v>301</v>
      </c>
      <c r="AD75" s="449">
        <v>317</v>
      </c>
      <c r="AE75" s="447">
        <v>1199781.762483517</v>
      </c>
      <c r="AF75" s="447">
        <v>0</v>
      </c>
      <c r="AG75" s="451">
        <v>0</v>
      </c>
      <c r="AH75" s="450">
        <v>0.004646840136364988</v>
      </c>
      <c r="AI75" s="452">
        <v>0.003913150168955326</v>
      </c>
      <c r="AJ75" s="447">
        <v>1199781.762483517</v>
      </c>
      <c r="AK75" s="453">
        <v>1.104</v>
      </c>
      <c r="AL75" s="447">
        <v>1324559.0657818029</v>
      </c>
      <c r="AM75" s="447">
        <v>3115974.7842984884</v>
      </c>
      <c r="AN75" s="447">
        <v>3085219.4964852664</v>
      </c>
      <c r="AO75" s="447">
        <v>3002267.7050172505</v>
      </c>
      <c r="AP75" s="447">
        <v>3085219.4964852664</v>
      </c>
      <c r="AQ75" s="447">
        <v>21224</v>
      </c>
      <c r="AR75" s="447">
        <v>3106443.4964852664</v>
      </c>
      <c r="AS75" s="454">
        <v>585.458631075248</v>
      </c>
      <c r="AT75" s="450">
        <v>5139</v>
      </c>
      <c r="AU75" s="450">
        <v>50</v>
      </c>
      <c r="AV75" s="450">
        <v>795</v>
      </c>
      <c r="AW75" s="450">
        <v>10</v>
      </c>
      <c r="AX75" s="450">
        <v>4</v>
      </c>
      <c r="AY75" s="450">
        <v>1201</v>
      </c>
      <c r="AZ75" s="450">
        <v>222</v>
      </c>
      <c r="BA75" s="450">
        <v>175</v>
      </c>
      <c r="BB75" s="450">
        <v>63</v>
      </c>
      <c r="BC75" s="450">
        <v>181</v>
      </c>
      <c r="BD75" s="450">
        <v>1448</v>
      </c>
      <c r="BE75" s="450">
        <v>572</v>
      </c>
      <c r="BF75" s="450">
        <v>62</v>
      </c>
      <c r="BG75" s="450">
        <v>354</v>
      </c>
      <c r="BH75" s="450">
        <v>2</v>
      </c>
      <c r="BI75" s="450">
        <v>0</v>
      </c>
      <c r="BJ75" s="452">
        <v>1.329655631188495</v>
      </c>
      <c r="BK75" s="452">
        <v>8.696289377110173</v>
      </c>
      <c r="BL75" s="452">
        <v>4.533591155173316</v>
      </c>
      <c r="BM75" s="452">
        <v>8.325396443873712</v>
      </c>
      <c r="BN75" s="449">
        <v>4505</v>
      </c>
      <c r="BO75" s="449">
        <v>634</v>
      </c>
      <c r="BP75" s="447">
        <v>1396553.2653048506</v>
      </c>
      <c r="BQ75" s="447">
        <v>5292837</v>
      </c>
      <c r="BR75" s="447">
        <v>7064410</v>
      </c>
      <c r="BS75" s="448">
        <v>0.060128429655575015</v>
      </c>
      <c r="BT75" s="449">
        <v>301</v>
      </c>
      <c r="BU75" s="449">
        <v>317</v>
      </c>
      <c r="BV75" s="447">
        <v>424771.8797431407</v>
      </c>
      <c r="BW75" s="448">
        <v>0.008624894398333399</v>
      </c>
      <c r="BX75" s="447">
        <v>6092.1506041116145</v>
      </c>
      <c r="BY75" s="447">
        <v>7120254.295652103</v>
      </c>
      <c r="BZ75" s="455">
        <v>1.116666666666667</v>
      </c>
      <c r="CA75" s="447">
        <v>7950950.630144849</v>
      </c>
      <c r="CB75" s="447">
        <v>5979330.391877786</v>
      </c>
      <c r="CC75" s="447">
        <v>5972012.166674882</v>
      </c>
      <c r="CD75" s="447">
        <v>5752957.301280964</v>
      </c>
      <c r="CE75" s="447">
        <v>5972012.166674882</v>
      </c>
      <c r="CF75" s="454">
        <v>1162.096160084624</v>
      </c>
      <c r="CG75" s="450">
        <v>5139</v>
      </c>
      <c r="CH75" s="450">
        <v>50</v>
      </c>
      <c r="CI75" s="450">
        <v>795</v>
      </c>
      <c r="CJ75" s="450">
        <v>10</v>
      </c>
      <c r="CK75" s="450">
        <v>4</v>
      </c>
      <c r="CL75" s="450">
        <v>1201</v>
      </c>
      <c r="CM75" s="450">
        <v>222</v>
      </c>
      <c r="CN75" s="450">
        <v>175</v>
      </c>
      <c r="CO75" s="450">
        <v>63</v>
      </c>
      <c r="CP75" s="450">
        <v>181</v>
      </c>
      <c r="CQ75" s="450">
        <v>1448</v>
      </c>
      <c r="CR75" s="450">
        <v>572</v>
      </c>
      <c r="CS75" s="450">
        <v>62</v>
      </c>
      <c r="CT75" s="450">
        <v>354</v>
      </c>
      <c r="CU75" s="450">
        <v>2</v>
      </c>
      <c r="CV75" s="450">
        <v>0</v>
      </c>
      <c r="CW75" s="447">
        <v>3814150.5736808768</v>
      </c>
      <c r="CX75" s="452">
        <v>1.0901049046244295</v>
      </c>
      <c r="CY75" s="452">
        <v>1.116666666666667</v>
      </c>
      <c r="CZ75" s="447">
        <v>4157824.2473456054</v>
      </c>
      <c r="DA75" s="454">
        <v>809.0726303455158</v>
      </c>
      <c r="DB75" s="449">
        <v>5306</v>
      </c>
      <c r="DC75" s="452">
        <v>1.0052016584998118</v>
      </c>
      <c r="DD75" s="454">
        <v>333.2</v>
      </c>
      <c r="DE75" s="447">
        <v>86039</v>
      </c>
      <c r="DF75" s="454">
        <v>68.81195716132112</v>
      </c>
      <c r="DG75" s="454">
        <v>71.77087131925792</v>
      </c>
      <c r="DH75" s="454">
        <v>73.34983048828158</v>
      </c>
      <c r="DI75" s="454">
        <v>74.96352675902376</v>
      </c>
      <c r="DJ75" s="454">
        <v>77.43732314207155</v>
      </c>
      <c r="DK75" s="454">
        <v>80.22506677518611</v>
      </c>
      <c r="DL75" s="454">
        <v>82.79226891199205</v>
      </c>
      <c r="DM75" s="454">
        <v>86.18675193738372</v>
      </c>
      <c r="DN75" s="454">
        <v>89.97896902262859</v>
      </c>
      <c r="DO75" s="454">
        <v>94.92781231887315</v>
      </c>
      <c r="DP75" s="454">
        <v>94.07346200800329</v>
      </c>
      <c r="DQ75" s="454">
        <v>98.87120857041145</v>
      </c>
      <c r="DR75" s="454">
        <v>104.90235229320655</v>
      </c>
      <c r="DS75" s="454">
        <v>53.77</v>
      </c>
      <c r="DT75" s="454">
        <v>56.79262904882815</v>
      </c>
      <c r="DU75" s="454">
        <v>59.92222909580473</v>
      </c>
      <c r="DV75" s="454">
        <v>63.84187021672944</v>
      </c>
      <c r="DW75" s="454">
        <v>68.15230457748231</v>
      </c>
      <c r="DX75" s="454">
        <v>72.40969342196678</v>
      </c>
      <c r="DY75" s="454">
        <v>77.54014306929066</v>
      </c>
      <c r="DZ75" s="454">
        <v>81.95491599303824</v>
      </c>
      <c r="EA75" s="454">
        <v>84.48619237328568</v>
      </c>
      <c r="EB75" s="454">
        <v>87.09638516507827</v>
      </c>
      <c r="EC75" s="454">
        <v>93.00488236088009</v>
      </c>
      <c r="ED75" s="454">
        <v>100.23422321197197</v>
      </c>
      <c r="EE75" s="454">
        <v>0</v>
      </c>
      <c r="EF75" s="454">
        <v>100.23422321197197</v>
      </c>
      <c r="EG75" s="454">
        <v>5212.179607022542</v>
      </c>
      <c r="EH75" s="447">
        <v>27102708.494964372</v>
      </c>
      <c r="EI75" s="454">
        <v>57.18</v>
      </c>
      <c r="EJ75" s="454">
        <v>59.92914704882815</v>
      </c>
      <c r="EK75" s="454">
        <v>62.771581447804735</v>
      </c>
      <c r="EL75" s="454">
        <v>66.41732857389344</v>
      </c>
      <c r="EM75" s="454">
        <v>70.43931159864395</v>
      </c>
      <c r="EN75" s="454">
        <v>74.37651946016581</v>
      </c>
      <c r="EO75" s="454">
        <v>79.17811579390282</v>
      </c>
      <c r="EP75" s="454">
        <v>83.47495468147832</v>
      </c>
      <c r="EQ75" s="454">
        <v>85.9358026024947</v>
      </c>
      <c r="ER75" s="454">
        <v>88.06501283149278</v>
      </c>
      <c r="ES75" s="454">
        <v>93.81930450280142</v>
      </c>
      <c r="ET75" s="454">
        <v>100.88229963140586</v>
      </c>
      <c r="EU75" s="447">
        <v>2284651</v>
      </c>
      <c r="EV75" s="447">
        <v>0</v>
      </c>
      <c r="EW75" s="447">
        <v>0</v>
      </c>
      <c r="EX75" s="447">
        <v>0</v>
      </c>
      <c r="EY75" s="447">
        <v>0</v>
      </c>
      <c r="EZ75" s="447">
        <v>0</v>
      </c>
      <c r="FA75" s="447">
        <v>0</v>
      </c>
      <c r="FB75" s="447">
        <v>0</v>
      </c>
      <c r="FC75" s="447">
        <v>127000</v>
      </c>
      <c r="FD75" s="447">
        <v>2411651</v>
      </c>
      <c r="FE75" s="447">
        <v>41701.36177916922</v>
      </c>
      <c r="FF75" s="447">
        <v>0</v>
      </c>
      <c r="FG75" s="447">
        <v>0</v>
      </c>
      <c r="FH75" s="447">
        <v>0</v>
      </c>
      <c r="FI75" s="456">
        <v>0</v>
      </c>
      <c r="FJ75" s="447">
        <v>0</v>
      </c>
      <c r="FK75" s="471">
        <v>0</v>
      </c>
      <c r="FL75" s="446">
        <v>0</v>
      </c>
      <c r="FM75" s="450">
        <v>0</v>
      </c>
      <c r="FN75" s="450">
        <v>0</v>
      </c>
      <c r="FO75" s="450">
        <v>0</v>
      </c>
      <c r="FP75" s="472">
        <v>95.64</v>
      </c>
      <c r="FQ75" s="446">
        <v>0</v>
      </c>
      <c r="FR75" s="450">
        <v>0</v>
      </c>
      <c r="FS75" s="450">
        <v>0</v>
      </c>
      <c r="FT75" s="450">
        <v>0</v>
      </c>
      <c r="FU75" s="450">
        <v>0</v>
      </c>
      <c r="FV75" s="450">
        <v>0</v>
      </c>
      <c r="FW75" s="450">
        <v>0</v>
      </c>
      <c r="FX75" s="450">
        <v>0</v>
      </c>
      <c r="FY75" s="450">
        <v>0</v>
      </c>
      <c r="FZ75" s="450">
        <v>0</v>
      </c>
      <c r="GA75" s="450">
        <v>0</v>
      </c>
      <c r="GB75" s="450">
        <v>0</v>
      </c>
      <c r="GC75" s="450">
        <v>0</v>
      </c>
      <c r="GD75" s="450">
        <v>0</v>
      </c>
      <c r="GE75" s="450">
        <v>0</v>
      </c>
      <c r="GF75" s="450">
        <v>0</v>
      </c>
      <c r="GG75" s="450">
        <v>0</v>
      </c>
      <c r="GH75" s="450">
        <v>0</v>
      </c>
      <c r="GI75" s="450">
        <v>0</v>
      </c>
      <c r="GJ75" s="450">
        <v>0</v>
      </c>
      <c r="GK75" s="450">
        <v>0</v>
      </c>
      <c r="GL75" s="450">
        <v>0</v>
      </c>
      <c r="GM75" s="450">
        <v>0</v>
      </c>
      <c r="GN75" s="450">
        <v>0</v>
      </c>
      <c r="GO75" s="450">
        <v>0</v>
      </c>
      <c r="GP75" s="450">
        <v>0</v>
      </c>
      <c r="GQ75" s="450">
        <v>0</v>
      </c>
      <c r="GR75" s="450">
        <v>0</v>
      </c>
      <c r="GS75" s="450">
        <v>0</v>
      </c>
      <c r="GT75" s="450">
        <v>0</v>
      </c>
      <c r="GU75" s="450">
        <v>0</v>
      </c>
      <c r="GV75" s="450">
        <v>0</v>
      </c>
      <c r="GW75" s="450">
        <v>0</v>
      </c>
      <c r="GX75" s="450">
        <v>4229110</v>
      </c>
      <c r="GY75" s="450">
        <v>3999110</v>
      </c>
      <c r="GZ75" s="450">
        <v>2</v>
      </c>
      <c r="HA75" s="450" t="s">
        <v>888</v>
      </c>
      <c r="HB75" s="450" t="s">
        <v>889</v>
      </c>
      <c r="HC75" s="450">
        <v>22</v>
      </c>
      <c r="HD75" s="450">
        <v>15</v>
      </c>
      <c r="HE75" s="450">
        <v>0</v>
      </c>
      <c r="HF75" s="450">
        <v>0</v>
      </c>
      <c r="HG75" s="472">
        <v>0</v>
      </c>
    </row>
    <row r="76" spans="2:215" ht="12.75">
      <c r="B76" s="445" t="s">
        <v>754</v>
      </c>
      <c r="C76" s="446">
        <v>22523.5</v>
      </c>
      <c r="D76" s="447">
        <v>5278775.5</v>
      </c>
      <c r="E76" s="447">
        <v>4529189.379</v>
      </c>
      <c r="F76" s="447">
        <v>1241824.505407768</v>
      </c>
      <c r="G76" s="447">
        <v>749586.121</v>
      </c>
      <c r="H76" s="448">
        <v>0.8159886340932805</v>
      </c>
      <c r="I76" s="449">
        <v>18093.7</v>
      </c>
      <c r="J76" s="449">
        <v>285.22</v>
      </c>
      <c r="K76" s="447">
        <v>5771013.884407768</v>
      </c>
      <c r="L76" s="447">
        <v>4616811.107526215</v>
      </c>
      <c r="M76" s="447">
        <v>2460601.360246922</v>
      </c>
      <c r="N76" s="447">
        <v>1154202.7768815532</v>
      </c>
      <c r="O76" s="450">
        <v>2.1318622771771705</v>
      </c>
      <c r="P76" s="451">
        <v>0.12937598508224743</v>
      </c>
      <c r="Q76" s="452">
        <v>0.8706462139543144</v>
      </c>
      <c r="R76" s="447">
        <v>7077412.467773137</v>
      </c>
      <c r="S76" s="447">
        <v>4784330.828214641</v>
      </c>
      <c r="T76" s="447">
        <v>525726.6494878582</v>
      </c>
      <c r="U76" s="447">
        <v>2749304.050427408</v>
      </c>
      <c r="V76" s="447">
        <v>1613650.0426522752</v>
      </c>
      <c r="W76" s="450">
        <v>1.7037796162472227</v>
      </c>
      <c r="X76" s="452">
        <v>29.909001071009566</v>
      </c>
      <c r="Y76" s="447">
        <v>525726.6494878582</v>
      </c>
      <c r="Z76" s="447">
        <v>679431.5969062211</v>
      </c>
      <c r="AA76" s="448">
        <v>0.7737742134480418</v>
      </c>
      <c r="AB76" s="448">
        <v>0.06086975825249184</v>
      </c>
      <c r="AC76" s="449">
        <v>1409</v>
      </c>
      <c r="AD76" s="449">
        <v>1333</v>
      </c>
      <c r="AE76" s="447">
        <v>8059361.528129907</v>
      </c>
      <c r="AF76" s="447">
        <v>1914497.5</v>
      </c>
      <c r="AG76" s="451">
        <v>1</v>
      </c>
      <c r="AH76" s="450">
        <v>1</v>
      </c>
      <c r="AI76" s="452">
        <v>0.8421099185943604</v>
      </c>
      <c r="AJ76" s="447">
        <v>9973859.028129907</v>
      </c>
      <c r="AK76" s="453">
        <v>1.1982</v>
      </c>
      <c r="AL76" s="447">
        <v>11950677.887505254</v>
      </c>
      <c r="AM76" s="447">
        <v>28113514.840322103</v>
      </c>
      <c r="AN76" s="447">
        <v>27836028.884815548</v>
      </c>
      <c r="AO76" s="447">
        <v>27679932.09244521</v>
      </c>
      <c r="AP76" s="447">
        <v>27836028.884815548</v>
      </c>
      <c r="AQ76" s="447">
        <v>90094</v>
      </c>
      <c r="AR76" s="447">
        <v>27926122.884815548</v>
      </c>
      <c r="AS76" s="454">
        <v>1239.8660458994182</v>
      </c>
      <c r="AT76" s="450">
        <v>22523</v>
      </c>
      <c r="AU76" s="450">
        <v>2</v>
      </c>
      <c r="AV76" s="450">
        <v>36</v>
      </c>
      <c r="AW76" s="450">
        <v>417</v>
      </c>
      <c r="AX76" s="450">
        <v>15</v>
      </c>
      <c r="AY76" s="450">
        <v>116</v>
      </c>
      <c r="AZ76" s="450">
        <v>282</v>
      </c>
      <c r="BA76" s="450">
        <v>1155</v>
      </c>
      <c r="BB76" s="450">
        <v>0</v>
      </c>
      <c r="BC76" s="450">
        <v>310</v>
      </c>
      <c r="BD76" s="450">
        <v>410</v>
      </c>
      <c r="BE76" s="450">
        <v>11944</v>
      </c>
      <c r="BF76" s="450">
        <v>7666</v>
      </c>
      <c r="BG76" s="450">
        <v>116</v>
      </c>
      <c r="BH76" s="450">
        <v>0</v>
      </c>
      <c r="BI76" s="450">
        <v>54</v>
      </c>
      <c r="BJ76" s="452">
        <v>2.4273298049047485</v>
      </c>
      <c r="BK76" s="452">
        <v>15.77139397791126</v>
      </c>
      <c r="BL76" s="452">
        <v>7.429493686486228</v>
      </c>
      <c r="BM76" s="452">
        <v>16.68380058285006</v>
      </c>
      <c r="BN76" s="449">
        <v>2913</v>
      </c>
      <c r="BO76" s="449">
        <v>19610</v>
      </c>
      <c r="BP76" s="447">
        <v>9697738.429119794</v>
      </c>
      <c r="BQ76" s="447">
        <v>29384487</v>
      </c>
      <c r="BR76" s="447">
        <v>29294631</v>
      </c>
      <c r="BS76" s="448">
        <v>0.06087110953247791</v>
      </c>
      <c r="BT76" s="449">
        <v>1409</v>
      </c>
      <c r="BU76" s="449">
        <v>1333</v>
      </c>
      <c r="BV76" s="447">
        <v>1783196.6923145228</v>
      </c>
      <c r="BW76" s="448">
        <v>0.024885851999416276</v>
      </c>
      <c r="BX76" s="447">
        <v>139718.23014927766</v>
      </c>
      <c r="BY76" s="447">
        <v>41005140.35158359</v>
      </c>
      <c r="BZ76" s="455">
        <v>1.1933333333333331</v>
      </c>
      <c r="CA76" s="447">
        <v>48932800.819556415</v>
      </c>
      <c r="CB76" s="447">
        <v>36798792.585981086</v>
      </c>
      <c r="CC76" s="447">
        <v>36753753.78837509</v>
      </c>
      <c r="CD76" s="447">
        <v>36120990.98391246</v>
      </c>
      <c r="CE76" s="447">
        <v>36753753.78837509</v>
      </c>
      <c r="CF76" s="454">
        <v>1631.8320733638986</v>
      </c>
      <c r="CG76" s="450">
        <v>22523</v>
      </c>
      <c r="CH76" s="450">
        <v>2</v>
      </c>
      <c r="CI76" s="450">
        <v>36</v>
      </c>
      <c r="CJ76" s="450">
        <v>417</v>
      </c>
      <c r="CK76" s="450">
        <v>15</v>
      </c>
      <c r="CL76" s="450">
        <v>116</v>
      </c>
      <c r="CM76" s="450">
        <v>282</v>
      </c>
      <c r="CN76" s="450">
        <v>1155</v>
      </c>
      <c r="CO76" s="450">
        <v>0</v>
      </c>
      <c r="CP76" s="450">
        <v>310</v>
      </c>
      <c r="CQ76" s="450">
        <v>410</v>
      </c>
      <c r="CR76" s="450">
        <v>11944</v>
      </c>
      <c r="CS76" s="450">
        <v>7666</v>
      </c>
      <c r="CT76" s="450">
        <v>116</v>
      </c>
      <c r="CU76" s="450">
        <v>0</v>
      </c>
      <c r="CV76" s="450">
        <v>54</v>
      </c>
      <c r="CW76" s="447">
        <v>19922684.129862197</v>
      </c>
      <c r="CX76" s="452">
        <v>1.1649479279270019</v>
      </c>
      <c r="CY76" s="452">
        <v>1.1933333333333331</v>
      </c>
      <c r="CZ76" s="447">
        <v>23208889.59582713</v>
      </c>
      <c r="DA76" s="454">
        <v>1030.4528524542525</v>
      </c>
      <c r="DB76" s="449">
        <v>22523.5</v>
      </c>
      <c r="DC76" s="452">
        <v>0.9979221701778143</v>
      </c>
      <c r="DD76" s="454">
        <v>354.1</v>
      </c>
      <c r="DE76" s="447">
        <v>58106</v>
      </c>
      <c r="DF76" s="454">
        <v>61.838974252887496</v>
      </c>
      <c r="DG76" s="454">
        <v>64.49805014576165</v>
      </c>
      <c r="DH76" s="454">
        <v>65.91700724896839</v>
      </c>
      <c r="DI76" s="454">
        <v>67.36718140844567</v>
      </c>
      <c r="DJ76" s="454">
        <v>69.59029839492437</v>
      </c>
      <c r="DK76" s="454">
        <v>72.09554913714165</v>
      </c>
      <c r="DL76" s="454">
        <v>74.40260670953016</v>
      </c>
      <c r="DM76" s="454">
        <v>77.4531135846209</v>
      </c>
      <c r="DN76" s="454">
        <v>80.8610505823442</v>
      </c>
      <c r="DO76" s="454">
        <v>85.30840836437314</v>
      </c>
      <c r="DP76" s="454">
        <v>84.54063268909378</v>
      </c>
      <c r="DQ76" s="454">
        <v>88.85220495623756</v>
      </c>
      <c r="DR76" s="454">
        <v>94.27218945856804</v>
      </c>
      <c r="DS76" s="454">
        <v>48.5</v>
      </c>
      <c r="DT76" s="454">
        <v>51.202000724896834</v>
      </c>
      <c r="DU76" s="454">
        <v>53.99941548168912</v>
      </c>
      <c r="DV76" s="454">
        <v>57.5075089678773</v>
      </c>
      <c r="DW76" s="454">
        <v>61.36603212592384</v>
      </c>
      <c r="DX76" s="454">
        <v>65.17522207988286</v>
      </c>
      <c r="DY76" s="454">
        <v>69.76854766505062</v>
      </c>
      <c r="DZ76" s="454">
        <v>73.729773408983</v>
      </c>
      <c r="EA76" s="454">
        <v>76.00085446532499</v>
      </c>
      <c r="EB76" s="454">
        <v>78.32133730085587</v>
      </c>
      <c r="EC76" s="454">
        <v>83.62302139380712</v>
      </c>
      <c r="ED76" s="454">
        <v>90.11106663876402</v>
      </c>
      <c r="EE76" s="454">
        <v>-0.81</v>
      </c>
      <c r="EF76" s="454">
        <v>89.30106663876401</v>
      </c>
      <c r="EG76" s="454">
        <v>4643.655465215728</v>
      </c>
      <c r="EH76" s="447">
        <v>102499546.39337073</v>
      </c>
      <c r="EI76" s="454">
        <v>62.81</v>
      </c>
      <c r="EJ76" s="454">
        <v>64.36433872489684</v>
      </c>
      <c r="EK76" s="454">
        <v>65.95666831368912</v>
      </c>
      <c r="EL76" s="454">
        <v>68.3153708714013</v>
      </c>
      <c r="EM76" s="454">
        <v>70.96341349625315</v>
      </c>
      <c r="EN76" s="454">
        <v>73.42897005836606</v>
      </c>
      <c r="EO76" s="454">
        <v>76.64226898153143</v>
      </c>
      <c r="EP76" s="454">
        <v>80.10858679067718</v>
      </c>
      <c r="EQ76" s="454">
        <v>82.08411616033402</v>
      </c>
      <c r="ER76" s="454">
        <v>82.38616483938702</v>
      </c>
      <c r="ES76" s="454">
        <v>87.04072838820412</v>
      </c>
      <c r="ET76" s="454">
        <v>92.83070697955543</v>
      </c>
      <c r="EU76" s="447">
        <v>905196444</v>
      </c>
      <c r="EV76" s="447">
        <v>0</v>
      </c>
      <c r="EW76" s="447">
        <v>0</v>
      </c>
      <c r="EX76" s="447">
        <v>0</v>
      </c>
      <c r="EY76" s="447">
        <v>0</v>
      </c>
      <c r="EZ76" s="447">
        <v>0</v>
      </c>
      <c r="FA76" s="447">
        <v>0</v>
      </c>
      <c r="FB76" s="447">
        <v>0</v>
      </c>
      <c r="FC76" s="447">
        <v>0</v>
      </c>
      <c r="FD76" s="447">
        <v>905196444</v>
      </c>
      <c r="FE76" s="447">
        <v>483013.58914436976</v>
      </c>
      <c r="FF76" s="447">
        <v>0</v>
      </c>
      <c r="FG76" s="447">
        <v>0</v>
      </c>
      <c r="FH76" s="447">
        <v>183159</v>
      </c>
      <c r="FI76" s="456">
        <v>0.08259999999999999</v>
      </c>
      <c r="FJ76" s="447">
        <v>15128.933399999998</v>
      </c>
      <c r="FK76" s="471">
        <v>15128.933399999998</v>
      </c>
      <c r="FL76" s="446">
        <v>88.85</v>
      </c>
      <c r="FM76" s="450">
        <v>86.27</v>
      </c>
      <c r="FN76" s="450">
        <v>85.46</v>
      </c>
      <c r="FO76" s="450">
        <v>-0.81</v>
      </c>
      <c r="FP76" s="472">
        <v>85.16</v>
      </c>
      <c r="FQ76" s="446">
        <v>1807684</v>
      </c>
      <c r="FR76" s="450">
        <v>7853</v>
      </c>
      <c r="FS76" s="450">
        <v>162600</v>
      </c>
      <c r="FT76" s="450">
        <v>162600</v>
      </c>
      <c r="FU76" s="450">
        <v>168156.25</v>
      </c>
      <c r="FV76" s="450">
        <v>173906.96875</v>
      </c>
      <c r="FW76" s="450">
        <v>179858.96265625</v>
      </c>
      <c r="FX76" s="450">
        <v>186019.27634921874</v>
      </c>
      <c r="FY76" s="450">
        <v>192395.20102144137</v>
      </c>
      <c r="FZ76" s="450">
        <v>198994.28305719182</v>
      </c>
      <c r="GA76" s="450">
        <v>205824.3329641935</v>
      </c>
      <c r="GB76" s="450">
        <v>212893.43461794028</v>
      </c>
      <c r="GC76" s="450">
        <v>220209.95482956816</v>
      </c>
      <c r="GD76" s="450">
        <v>227782.55324860304</v>
      </c>
      <c r="GE76" s="450">
        <v>235620.19261230412</v>
      </c>
      <c r="GF76" s="450">
        <v>243732.14935373474</v>
      </c>
      <c r="GG76" s="450">
        <v>252128.02458111543</v>
      </c>
      <c r="GH76" s="450">
        <v>260817.75544145444</v>
      </c>
      <c r="GI76" s="450">
        <v>269811.6268819053</v>
      </c>
      <c r="GJ76" s="450">
        <v>279120.283822772</v>
      </c>
      <c r="GK76" s="450">
        <v>288754.743756569</v>
      </c>
      <c r="GL76" s="450">
        <v>298726.4097880489</v>
      </c>
      <c r="GM76" s="450">
        <v>309047.0841306306</v>
      </c>
      <c r="GN76" s="450">
        <v>319728.9820752026</v>
      </c>
      <c r="GO76" s="450">
        <v>330784.7464478347</v>
      </c>
      <c r="GP76" s="450">
        <v>342227.4625735089</v>
      </c>
      <c r="GQ76" s="450">
        <v>354070.67376358167</v>
      </c>
      <c r="GR76" s="450">
        <v>366328.397345307</v>
      </c>
      <c r="GS76" s="450">
        <v>379015.1412523927</v>
      </c>
      <c r="GT76" s="450">
        <v>392145.92119622644</v>
      </c>
      <c r="GU76" s="450">
        <v>405736.2784380943</v>
      </c>
      <c r="GV76" s="450">
        <v>419802.2981834276</v>
      </c>
      <c r="GW76" s="450">
        <v>16007762</v>
      </c>
      <c r="GX76" s="450">
        <v>771815205</v>
      </c>
      <c r="GY76" s="450">
        <v>819790044</v>
      </c>
      <c r="GZ76" s="450">
        <v>0</v>
      </c>
      <c r="HA76" s="450" t="s">
        <v>888</v>
      </c>
      <c r="HB76" s="450" t="s">
        <v>888</v>
      </c>
      <c r="HC76" s="450">
        <v>166</v>
      </c>
      <c r="HD76" s="450">
        <v>197</v>
      </c>
      <c r="HE76" s="450">
        <v>0</v>
      </c>
      <c r="HF76" s="450">
        <v>105</v>
      </c>
      <c r="HG76" s="472">
        <v>86</v>
      </c>
    </row>
    <row r="77" spans="2:215" ht="12.75">
      <c r="B77" s="445" t="s">
        <v>755</v>
      </c>
      <c r="C77" s="446">
        <v>12954</v>
      </c>
      <c r="D77" s="447">
        <v>3049082</v>
      </c>
      <c r="E77" s="447">
        <v>2616112.356</v>
      </c>
      <c r="F77" s="447">
        <v>708026.3067850269</v>
      </c>
      <c r="G77" s="447">
        <v>432969.64400000003</v>
      </c>
      <c r="H77" s="448">
        <v>0.8054477381503783</v>
      </c>
      <c r="I77" s="449">
        <v>10246.57</v>
      </c>
      <c r="J77" s="449">
        <v>187.2</v>
      </c>
      <c r="K77" s="447">
        <v>3324138.662785027</v>
      </c>
      <c r="L77" s="447">
        <v>2659310.930228022</v>
      </c>
      <c r="M77" s="447">
        <v>1368393.4589795365</v>
      </c>
      <c r="N77" s="447">
        <v>664827.7325570052</v>
      </c>
      <c r="O77" s="450">
        <v>2.0582677165354326</v>
      </c>
      <c r="P77" s="451">
        <v>0.18581133240697853</v>
      </c>
      <c r="Q77" s="452">
        <v>0.8141114713601976</v>
      </c>
      <c r="R77" s="447">
        <v>4027704.3892075587</v>
      </c>
      <c r="S77" s="447">
        <v>2722728.16710431</v>
      </c>
      <c r="T77" s="447">
        <v>290837.0717283651</v>
      </c>
      <c r="U77" s="447">
        <v>1488998.1231831822</v>
      </c>
      <c r="V77" s="447">
        <v>918316.6007393234</v>
      </c>
      <c r="W77" s="450">
        <v>1.6214431079481861</v>
      </c>
      <c r="X77" s="452">
        <v>28.463624749203788</v>
      </c>
      <c r="Y77" s="447">
        <v>290837.0717283651</v>
      </c>
      <c r="Z77" s="447">
        <v>386659.62136392563</v>
      </c>
      <c r="AA77" s="448">
        <v>0.7521785458291442</v>
      </c>
      <c r="AB77" s="448">
        <v>0.05917091245947198</v>
      </c>
      <c r="AC77" s="449">
        <v>837</v>
      </c>
      <c r="AD77" s="449">
        <v>696</v>
      </c>
      <c r="AE77" s="447">
        <v>4502563.362015857</v>
      </c>
      <c r="AF77" s="447">
        <v>325554.68627200904</v>
      </c>
      <c r="AG77" s="451">
        <v>0.75</v>
      </c>
      <c r="AH77" s="450">
        <v>0.3269123374003593</v>
      </c>
      <c r="AI77" s="452">
        <v>0.2752961218357086</v>
      </c>
      <c r="AJ77" s="447">
        <v>4828118.048287867</v>
      </c>
      <c r="AK77" s="453">
        <v>1.1982</v>
      </c>
      <c r="AL77" s="447">
        <v>5785051.045458522</v>
      </c>
      <c r="AM77" s="447">
        <v>13609112.382533668</v>
      </c>
      <c r="AN77" s="447">
        <v>13474787.749896584</v>
      </c>
      <c r="AO77" s="447">
        <v>13210831.093832798</v>
      </c>
      <c r="AP77" s="447">
        <v>13474787.749896584</v>
      </c>
      <c r="AQ77" s="447">
        <v>51816</v>
      </c>
      <c r="AR77" s="447">
        <v>13526603.749896584</v>
      </c>
      <c r="AS77" s="454">
        <v>1044.2028523928195</v>
      </c>
      <c r="AT77" s="450">
        <v>12940</v>
      </c>
      <c r="AU77" s="450">
        <v>130</v>
      </c>
      <c r="AV77" s="450">
        <v>62</v>
      </c>
      <c r="AW77" s="450">
        <v>822</v>
      </c>
      <c r="AX77" s="450">
        <v>0</v>
      </c>
      <c r="AY77" s="450">
        <v>20</v>
      </c>
      <c r="AZ77" s="450">
        <v>141</v>
      </c>
      <c r="BA77" s="450">
        <v>135</v>
      </c>
      <c r="BB77" s="450">
        <v>0</v>
      </c>
      <c r="BC77" s="450">
        <v>574</v>
      </c>
      <c r="BD77" s="450">
        <v>389</v>
      </c>
      <c r="BE77" s="450">
        <v>7626</v>
      </c>
      <c r="BF77" s="450">
        <v>2920</v>
      </c>
      <c r="BG77" s="450">
        <v>9</v>
      </c>
      <c r="BH77" s="450">
        <v>60</v>
      </c>
      <c r="BI77" s="450">
        <v>52</v>
      </c>
      <c r="BJ77" s="452">
        <v>2.589584157008727</v>
      </c>
      <c r="BK77" s="452">
        <v>18.35908390737563</v>
      </c>
      <c r="BL77" s="452">
        <v>7.692243405121197</v>
      </c>
      <c r="BM77" s="452">
        <v>21.333681004508865</v>
      </c>
      <c r="BN77" s="449">
        <v>2394</v>
      </c>
      <c r="BO77" s="449">
        <v>10546</v>
      </c>
      <c r="BP77" s="447">
        <v>6008345.3923391765</v>
      </c>
      <c r="BQ77" s="447">
        <v>16760895</v>
      </c>
      <c r="BR77" s="447">
        <v>16534529</v>
      </c>
      <c r="BS77" s="448">
        <v>0.05923493044822257</v>
      </c>
      <c r="BT77" s="449">
        <v>837</v>
      </c>
      <c r="BU77" s="449">
        <v>696</v>
      </c>
      <c r="BV77" s="447">
        <v>979421.675309119</v>
      </c>
      <c r="BW77" s="448">
        <v>0.02510780481414178</v>
      </c>
      <c r="BX77" s="447">
        <v>94275.3755171191</v>
      </c>
      <c r="BY77" s="447">
        <v>23842937.443165414</v>
      </c>
      <c r="BZ77" s="455">
        <v>1.1933333333333331</v>
      </c>
      <c r="CA77" s="447">
        <v>28452572.015510723</v>
      </c>
      <c r="CB77" s="447">
        <v>21397105.38943886</v>
      </c>
      <c r="CC77" s="447">
        <v>21370917.03293946</v>
      </c>
      <c r="CD77" s="447">
        <v>20717089.046094038</v>
      </c>
      <c r="CE77" s="447">
        <v>21370917.03293946</v>
      </c>
      <c r="CF77" s="454">
        <v>1651.5391833801746</v>
      </c>
      <c r="CG77" s="450">
        <v>12940</v>
      </c>
      <c r="CH77" s="450">
        <v>130</v>
      </c>
      <c r="CI77" s="450">
        <v>62</v>
      </c>
      <c r="CJ77" s="450">
        <v>822</v>
      </c>
      <c r="CK77" s="450">
        <v>0</v>
      </c>
      <c r="CL77" s="450">
        <v>20</v>
      </c>
      <c r="CM77" s="450">
        <v>141</v>
      </c>
      <c r="CN77" s="450">
        <v>135</v>
      </c>
      <c r="CO77" s="450">
        <v>0</v>
      </c>
      <c r="CP77" s="450">
        <v>574</v>
      </c>
      <c r="CQ77" s="450">
        <v>389</v>
      </c>
      <c r="CR77" s="450">
        <v>7626</v>
      </c>
      <c r="CS77" s="450">
        <v>2920</v>
      </c>
      <c r="CT77" s="450">
        <v>9</v>
      </c>
      <c r="CU77" s="450">
        <v>60</v>
      </c>
      <c r="CV77" s="450">
        <v>52</v>
      </c>
      <c r="CW77" s="447">
        <v>10941605.020476058</v>
      </c>
      <c r="CX77" s="452">
        <v>1.1649479279270019</v>
      </c>
      <c r="CY77" s="452">
        <v>1.1933333333333331</v>
      </c>
      <c r="CZ77" s="447">
        <v>12746400.096799264</v>
      </c>
      <c r="DA77" s="454">
        <v>985.0386473569755</v>
      </c>
      <c r="DB77" s="449">
        <v>12954</v>
      </c>
      <c r="DC77" s="452">
        <v>0.9893083217538983</v>
      </c>
      <c r="DD77" s="454">
        <v>354.1</v>
      </c>
      <c r="DE77" s="447">
        <v>88890</v>
      </c>
      <c r="DF77" s="454">
        <v>71.60961893183548</v>
      </c>
      <c r="DG77" s="454">
        <v>74.6888325459044</v>
      </c>
      <c r="DH77" s="454">
        <v>76.33198686191429</v>
      </c>
      <c r="DI77" s="454">
        <v>78.01129057287639</v>
      </c>
      <c r="DJ77" s="454">
        <v>80.58566316178131</v>
      </c>
      <c r="DK77" s="454">
        <v>83.48674703560542</v>
      </c>
      <c r="DL77" s="454">
        <v>86.15832294074478</v>
      </c>
      <c r="DM77" s="454">
        <v>89.69081418131532</v>
      </c>
      <c r="DN77" s="454">
        <v>93.63721000529317</v>
      </c>
      <c r="DO77" s="454">
        <v>98.78725655558429</v>
      </c>
      <c r="DP77" s="454">
        <v>97.89817124658403</v>
      </c>
      <c r="DQ77" s="454">
        <v>102.8909779801598</v>
      </c>
      <c r="DR77" s="454">
        <v>109.16732763694955</v>
      </c>
      <c r="DS77" s="454">
        <v>57.34</v>
      </c>
      <c r="DT77" s="454">
        <v>60.37453068619143</v>
      </c>
      <c r="DU77" s="454">
        <v>63.51482816257527</v>
      </c>
      <c r="DV77" s="454">
        <v>67.48267320067039</v>
      </c>
      <c r="DW77" s="454">
        <v>71.85129195013893</v>
      </c>
      <c r="DX77" s="454">
        <v>76.15183156724359</v>
      </c>
      <c r="DY77" s="454">
        <v>81.35740816546351</v>
      </c>
      <c r="DZ77" s="454">
        <v>85.9038092225827</v>
      </c>
      <c r="EA77" s="454">
        <v>88.50941649897533</v>
      </c>
      <c r="EB77" s="454">
        <v>91.03053191208048</v>
      </c>
      <c r="EC77" s="454">
        <v>97.11666682770922</v>
      </c>
      <c r="ED77" s="454">
        <v>104.57241953738699</v>
      </c>
      <c r="EE77" s="454">
        <v>-5.11</v>
      </c>
      <c r="EF77" s="454">
        <v>99.46241953738699</v>
      </c>
      <c r="EG77" s="454">
        <v>5172.045815944123</v>
      </c>
      <c r="EH77" s="447">
        <v>65658707.86974537</v>
      </c>
      <c r="EI77" s="454">
        <v>60.12</v>
      </c>
      <c r="EJ77" s="454">
        <v>62.93157468619141</v>
      </c>
      <c r="EK77" s="454">
        <v>65.83776057857526</v>
      </c>
      <c r="EL77" s="454">
        <v>69.58231373818236</v>
      </c>
      <c r="EM77" s="454">
        <v>73.71577274744956</v>
      </c>
      <c r="EN77" s="454">
        <v>77.75528505293074</v>
      </c>
      <c r="EO77" s="454">
        <v>82.69276422834379</v>
      </c>
      <c r="EP77" s="454">
        <v>87.14301964893559</v>
      </c>
      <c r="EQ77" s="454">
        <v>89.69121017557386</v>
      </c>
      <c r="ER77" s="454">
        <v>91.82020490698729</v>
      </c>
      <c r="ES77" s="454">
        <v>97.78062388182687</v>
      </c>
      <c r="ET77" s="454">
        <v>105.10076336320111</v>
      </c>
      <c r="EU77" s="447">
        <v>451971140</v>
      </c>
      <c r="EV77" s="447">
        <v>0</v>
      </c>
      <c r="EW77" s="447">
        <v>0</v>
      </c>
      <c r="EX77" s="447">
        <v>0</v>
      </c>
      <c r="EY77" s="447">
        <v>0</v>
      </c>
      <c r="EZ77" s="447">
        <v>0</v>
      </c>
      <c r="FA77" s="447">
        <v>0</v>
      </c>
      <c r="FB77" s="447">
        <v>0</v>
      </c>
      <c r="FC77" s="447">
        <v>0</v>
      </c>
      <c r="FD77" s="447">
        <v>451971140</v>
      </c>
      <c r="FE77" s="447">
        <v>261461.48729531906</v>
      </c>
      <c r="FF77" s="447">
        <v>0</v>
      </c>
      <c r="FG77" s="447">
        <v>0</v>
      </c>
      <c r="FH77" s="447">
        <v>313750</v>
      </c>
      <c r="FI77" s="456">
        <v>0.056900000000000006</v>
      </c>
      <c r="FJ77" s="447">
        <v>17852.375000000004</v>
      </c>
      <c r="FK77" s="471">
        <v>17852.375000000004</v>
      </c>
      <c r="FL77" s="446">
        <v>103.04</v>
      </c>
      <c r="FM77" s="450">
        <v>97.39</v>
      </c>
      <c r="FN77" s="450">
        <v>92.28</v>
      </c>
      <c r="FO77" s="450">
        <v>-5.11</v>
      </c>
      <c r="FP77" s="472">
        <v>92.02</v>
      </c>
      <c r="FQ77" s="446">
        <v>90092</v>
      </c>
      <c r="FR77" s="450">
        <v>466554</v>
      </c>
      <c r="FS77" s="450">
        <v>0</v>
      </c>
      <c r="FT77" s="450">
        <v>0</v>
      </c>
      <c r="FU77" s="450">
        <v>0</v>
      </c>
      <c r="FV77" s="450">
        <v>0</v>
      </c>
      <c r="FW77" s="450">
        <v>0</v>
      </c>
      <c r="FX77" s="450">
        <v>0</v>
      </c>
      <c r="FY77" s="450">
        <v>0</v>
      </c>
      <c r="FZ77" s="450">
        <v>0</v>
      </c>
      <c r="GA77" s="450">
        <v>0</v>
      </c>
      <c r="GB77" s="450">
        <v>0</v>
      </c>
      <c r="GC77" s="450">
        <v>0</v>
      </c>
      <c r="GD77" s="450">
        <v>0</v>
      </c>
      <c r="GE77" s="450">
        <v>0</v>
      </c>
      <c r="GF77" s="450">
        <v>0</v>
      </c>
      <c r="GG77" s="450">
        <v>0</v>
      </c>
      <c r="GH77" s="450">
        <v>0</v>
      </c>
      <c r="GI77" s="450">
        <v>0</v>
      </c>
      <c r="GJ77" s="450">
        <v>0</v>
      </c>
      <c r="GK77" s="450">
        <v>0</v>
      </c>
      <c r="GL77" s="450">
        <v>0</v>
      </c>
      <c r="GM77" s="450">
        <v>0</v>
      </c>
      <c r="GN77" s="450">
        <v>0</v>
      </c>
      <c r="GO77" s="450">
        <v>0</v>
      </c>
      <c r="GP77" s="450">
        <v>0</v>
      </c>
      <c r="GQ77" s="450">
        <v>0</v>
      </c>
      <c r="GR77" s="450">
        <v>0</v>
      </c>
      <c r="GS77" s="450">
        <v>0</v>
      </c>
      <c r="GT77" s="450">
        <v>0</v>
      </c>
      <c r="GU77" s="450">
        <v>0</v>
      </c>
      <c r="GV77" s="450">
        <v>0</v>
      </c>
      <c r="GW77" s="450">
        <v>0</v>
      </c>
      <c r="GX77" s="450">
        <v>414526926</v>
      </c>
      <c r="GY77" s="450">
        <v>414829000</v>
      </c>
      <c r="GZ77" s="450">
        <v>205</v>
      </c>
      <c r="HA77" s="450" t="s">
        <v>888</v>
      </c>
      <c r="HB77" s="450" t="s">
        <v>888</v>
      </c>
      <c r="HC77" s="450">
        <v>0</v>
      </c>
      <c r="HD77" s="450">
        <v>0</v>
      </c>
      <c r="HE77" s="450">
        <v>0</v>
      </c>
      <c r="HF77" s="450">
        <v>0</v>
      </c>
      <c r="HG77" s="472">
        <v>0</v>
      </c>
    </row>
    <row r="78" spans="2:215" ht="12.75">
      <c r="B78" s="445" t="s">
        <v>756</v>
      </c>
      <c r="C78" s="446">
        <v>16263.25</v>
      </c>
      <c r="D78" s="447">
        <v>3820137.25</v>
      </c>
      <c r="E78" s="447">
        <v>3277677.7605</v>
      </c>
      <c r="F78" s="447">
        <v>700198.5875567851</v>
      </c>
      <c r="G78" s="447">
        <v>542459.4895</v>
      </c>
      <c r="H78" s="448">
        <v>0.6357689883633345</v>
      </c>
      <c r="I78" s="449">
        <v>9632.47</v>
      </c>
      <c r="J78" s="449">
        <v>707.2</v>
      </c>
      <c r="K78" s="447">
        <v>3977876.348056785</v>
      </c>
      <c r="L78" s="447">
        <v>3182301.078445428</v>
      </c>
      <c r="M78" s="447">
        <v>1374333.5616830795</v>
      </c>
      <c r="N78" s="447">
        <v>795575.2696113568</v>
      </c>
      <c r="O78" s="450">
        <v>1.7274714463591225</v>
      </c>
      <c r="P78" s="451">
        <v>0.44037938296465956</v>
      </c>
      <c r="Q78" s="452">
        <v>0.5596052449541143</v>
      </c>
      <c r="R78" s="447">
        <v>4556634.640128507</v>
      </c>
      <c r="S78" s="447">
        <v>3080285.016726871</v>
      </c>
      <c r="T78" s="447">
        <v>237803.31927596187</v>
      </c>
      <c r="U78" s="447">
        <v>1341028.6564387232</v>
      </c>
      <c r="V78" s="447">
        <v>1038912.6979492997</v>
      </c>
      <c r="W78" s="450">
        <v>1.2908001404600862</v>
      </c>
      <c r="X78" s="452">
        <v>22.65935242758422</v>
      </c>
      <c r="Y78" s="447">
        <v>237803.31927596187</v>
      </c>
      <c r="Z78" s="447">
        <v>437436.9254523367</v>
      </c>
      <c r="AA78" s="448">
        <v>0.5436288192407593</v>
      </c>
      <c r="AB78" s="448">
        <v>0.042765129970946766</v>
      </c>
      <c r="AC78" s="449">
        <v>679</v>
      </c>
      <c r="AD78" s="449">
        <v>712</v>
      </c>
      <c r="AE78" s="447">
        <v>4659116.992441556</v>
      </c>
      <c r="AF78" s="447">
        <v>918507.3304677911</v>
      </c>
      <c r="AG78" s="451">
        <v>1</v>
      </c>
      <c r="AH78" s="450">
        <v>0.6271565642195146</v>
      </c>
      <c r="AI78" s="452">
        <v>0.5281347632408142</v>
      </c>
      <c r="AJ78" s="447">
        <v>5577624.322909348</v>
      </c>
      <c r="AK78" s="453">
        <v>1.0703</v>
      </c>
      <c r="AL78" s="447">
        <v>5969731.312809875</v>
      </c>
      <c r="AM78" s="447">
        <v>14043565.681816826</v>
      </c>
      <c r="AN78" s="447">
        <v>13904952.909131823</v>
      </c>
      <c r="AO78" s="447">
        <v>13475873.692510651</v>
      </c>
      <c r="AP78" s="447">
        <v>13904952.909131823</v>
      </c>
      <c r="AQ78" s="447">
        <v>65053</v>
      </c>
      <c r="AR78" s="447">
        <v>13970005.909131823</v>
      </c>
      <c r="AS78" s="454">
        <v>858.9922622558113</v>
      </c>
      <c r="AT78" s="450">
        <v>16262</v>
      </c>
      <c r="AU78" s="450">
        <v>1340</v>
      </c>
      <c r="AV78" s="450">
        <v>207</v>
      </c>
      <c r="AW78" s="450">
        <v>2098</v>
      </c>
      <c r="AX78" s="450">
        <v>41</v>
      </c>
      <c r="AY78" s="450">
        <v>105</v>
      </c>
      <c r="AZ78" s="450">
        <v>467</v>
      </c>
      <c r="BA78" s="450">
        <v>723</v>
      </c>
      <c r="BB78" s="450">
        <v>114</v>
      </c>
      <c r="BC78" s="450">
        <v>866</v>
      </c>
      <c r="BD78" s="450">
        <v>856</v>
      </c>
      <c r="BE78" s="450">
        <v>6439</v>
      </c>
      <c r="BF78" s="450">
        <v>2662</v>
      </c>
      <c r="BG78" s="450">
        <v>219</v>
      </c>
      <c r="BH78" s="450">
        <v>54</v>
      </c>
      <c r="BI78" s="450">
        <v>71</v>
      </c>
      <c r="BJ78" s="452">
        <v>2.5763056152223385</v>
      </c>
      <c r="BK78" s="452">
        <v>22.974118796307863</v>
      </c>
      <c r="BL78" s="452">
        <v>9.096295774862062</v>
      </c>
      <c r="BM78" s="452">
        <v>27.755646042891602</v>
      </c>
      <c r="BN78" s="449">
        <v>7161</v>
      </c>
      <c r="BO78" s="449">
        <v>9101</v>
      </c>
      <c r="BP78" s="447">
        <v>7860813.387943938</v>
      </c>
      <c r="BQ78" s="447">
        <v>19790554</v>
      </c>
      <c r="BR78" s="447">
        <v>21938230</v>
      </c>
      <c r="BS78" s="448">
        <v>0.04276841716885992</v>
      </c>
      <c r="BT78" s="449">
        <v>679</v>
      </c>
      <c r="BU78" s="449">
        <v>712</v>
      </c>
      <c r="BV78" s="447">
        <v>938263.3725863978</v>
      </c>
      <c r="BW78" s="448">
        <v>0.011211661597613755</v>
      </c>
      <c r="BX78" s="447">
        <v>66204.42899474305</v>
      </c>
      <c r="BY78" s="447">
        <v>28655835.18952508</v>
      </c>
      <c r="BZ78" s="455">
        <v>1.1433333333333333</v>
      </c>
      <c r="CA78" s="447">
        <v>32763171.56669034</v>
      </c>
      <c r="CB78" s="447">
        <v>24638793.094788563</v>
      </c>
      <c r="CC78" s="447">
        <v>24608637.170165237</v>
      </c>
      <c r="CD78" s="447">
        <v>23954991.092266917</v>
      </c>
      <c r="CE78" s="447">
        <v>24608637.170165237</v>
      </c>
      <c r="CF78" s="454">
        <v>1513.2601875639673</v>
      </c>
      <c r="CG78" s="450">
        <v>16262</v>
      </c>
      <c r="CH78" s="450">
        <v>1340</v>
      </c>
      <c r="CI78" s="450">
        <v>207</v>
      </c>
      <c r="CJ78" s="450">
        <v>2098</v>
      </c>
      <c r="CK78" s="450">
        <v>41</v>
      </c>
      <c r="CL78" s="450">
        <v>105</v>
      </c>
      <c r="CM78" s="450">
        <v>467</v>
      </c>
      <c r="CN78" s="450">
        <v>723</v>
      </c>
      <c r="CO78" s="450">
        <v>114</v>
      </c>
      <c r="CP78" s="450">
        <v>866</v>
      </c>
      <c r="CQ78" s="450">
        <v>856</v>
      </c>
      <c r="CR78" s="450">
        <v>6439</v>
      </c>
      <c r="CS78" s="450">
        <v>2662</v>
      </c>
      <c r="CT78" s="450">
        <v>219</v>
      </c>
      <c r="CU78" s="450">
        <v>54</v>
      </c>
      <c r="CV78" s="450">
        <v>71</v>
      </c>
      <c r="CW78" s="447">
        <v>12391050.667281473</v>
      </c>
      <c r="CX78" s="452">
        <v>1.116137260555759</v>
      </c>
      <c r="CY78" s="452">
        <v>1.1433333333333333</v>
      </c>
      <c r="CZ78" s="447">
        <v>13830113.347187152</v>
      </c>
      <c r="DA78" s="454">
        <v>850.4558693387746</v>
      </c>
      <c r="DB78" s="449">
        <v>16263.25</v>
      </c>
      <c r="DC78" s="452">
        <v>0.9983690221819133</v>
      </c>
      <c r="DD78" s="454">
        <v>354.1</v>
      </c>
      <c r="DE78" s="447">
        <v>69250</v>
      </c>
      <c r="DF78" s="454">
        <v>65.52855891371462</v>
      </c>
      <c r="DG78" s="454">
        <v>68.34628694700434</v>
      </c>
      <c r="DH78" s="454">
        <v>69.84990525983842</v>
      </c>
      <c r="DI78" s="454">
        <v>71.38660317555485</v>
      </c>
      <c r="DJ78" s="454">
        <v>73.74236108034816</v>
      </c>
      <c r="DK78" s="454">
        <v>76.39708607924068</v>
      </c>
      <c r="DL78" s="454">
        <v>78.84179283377637</v>
      </c>
      <c r="DM78" s="454">
        <v>82.0743063399612</v>
      </c>
      <c r="DN78" s="454">
        <v>85.68557581891947</v>
      </c>
      <c r="DO78" s="454">
        <v>90.39828248896004</v>
      </c>
      <c r="DP78" s="454">
        <v>89.58469794655939</v>
      </c>
      <c r="DQ78" s="454">
        <v>94.1535175418339</v>
      </c>
      <c r="DR78" s="454">
        <v>99.89688211188577</v>
      </c>
      <c r="DS78" s="454">
        <v>54.35</v>
      </c>
      <c r="DT78" s="454">
        <v>56.97612052598383</v>
      </c>
      <c r="DU78" s="454">
        <v>59.69148495511095</v>
      </c>
      <c r="DV78" s="454">
        <v>63.17143609884443</v>
      </c>
      <c r="DW78" s="454">
        <v>67.01010469566538</v>
      </c>
      <c r="DX78" s="454">
        <v>70.76898884390161</v>
      </c>
      <c r="DY78" s="454">
        <v>75.3512751771935</v>
      </c>
      <c r="DZ78" s="454">
        <v>79.44660289987105</v>
      </c>
      <c r="EA78" s="454">
        <v>81.79212913144103</v>
      </c>
      <c r="EB78" s="454">
        <v>83.83407748629432</v>
      </c>
      <c r="EC78" s="454">
        <v>89.31839585884303</v>
      </c>
      <c r="ED78" s="454">
        <v>96.04933403264579</v>
      </c>
      <c r="EE78" s="454">
        <v>-1.48</v>
      </c>
      <c r="EF78" s="454">
        <v>94.56933403264578</v>
      </c>
      <c r="EG78" s="454">
        <v>4917.6053696975805</v>
      </c>
      <c r="EH78" s="447">
        <v>78376720.61815949</v>
      </c>
      <c r="EI78" s="454">
        <v>62.1</v>
      </c>
      <c r="EJ78" s="454">
        <v>64.10457052598383</v>
      </c>
      <c r="EK78" s="454">
        <v>66.16728575511095</v>
      </c>
      <c r="EL78" s="454">
        <v>69.02475054694443</v>
      </c>
      <c r="EM78" s="454">
        <v>72.20784792557816</v>
      </c>
      <c r="EN78" s="454">
        <v>75.23904802162662</v>
      </c>
      <c r="EO78" s="454">
        <v>79.07394046040288</v>
      </c>
      <c r="EP78" s="454">
        <v>82.90123628268937</v>
      </c>
      <c r="EQ78" s="454">
        <v>85.08669783418877</v>
      </c>
      <c r="ER78" s="454">
        <v>86.0355040008727</v>
      </c>
      <c r="ES78" s="454">
        <v>91.16935527230055</v>
      </c>
      <c r="ET78" s="454">
        <v>97.5222349859046</v>
      </c>
      <c r="EU78" s="447">
        <v>561387878</v>
      </c>
      <c r="EV78" s="447">
        <v>0</v>
      </c>
      <c r="EW78" s="447">
        <v>0</v>
      </c>
      <c r="EX78" s="447">
        <v>0</v>
      </c>
      <c r="EY78" s="447">
        <v>0</v>
      </c>
      <c r="EZ78" s="447">
        <v>0</v>
      </c>
      <c r="FA78" s="447">
        <v>0</v>
      </c>
      <c r="FB78" s="447">
        <v>0</v>
      </c>
      <c r="FC78" s="447">
        <v>0</v>
      </c>
      <c r="FD78" s="447">
        <v>561387878</v>
      </c>
      <c r="FE78" s="447">
        <v>314948.14849322714</v>
      </c>
      <c r="FF78" s="447">
        <v>0</v>
      </c>
      <c r="FG78" s="447">
        <v>0</v>
      </c>
      <c r="FH78" s="447">
        <v>177703</v>
      </c>
      <c r="FI78" s="456">
        <v>0.0667</v>
      </c>
      <c r="FJ78" s="447">
        <v>11852.790099999998</v>
      </c>
      <c r="FK78" s="471">
        <v>11852.790099999998</v>
      </c>
      <c r="FL78" s="446">
        <v>94.01</v>
      </c>
      <c r="FM78" s="450">
        <v>90.42</v>
      </c>
      <c r="FN78" s="450">
        <v>88.94</v>
      </c>
      <c r="FO78" s="450">
        <v>-1.48</v>
      </c>
      <c r="FP78" s="472">
        <v>88.71</v>
      </c>
      <c r="FQ78" s="446">
        <v>1848921</v>
      </c>
      <c r="FR78" s="450">
        <v>911125</v>
      </c>
      <c r="FS78" s="450">
        <v>0</v>
      </c>
      <c r="FT78" s="450">
        <v>0</v>
      </c>
      <c r="FU78" s="450">
        <v>0</v>
      </c>
      <c r="FV78" s="450">
        <v>0</v>
      </c>
      <c r="FW78" s="450">
        <v>0</v>
      </c>
      <c r="FX78" s="450">
        <v>0</v>
      </c>
      <c r="FY78" s="450">
        <v>0</v>
      </c>
      <c r="FZ78" s="450">
        <v>0</v>
      </c>
      <c r="GA78" s="450">
        <v>0</v>
      </c>
      <c r="GB78" s="450">
        <v>0</v>
      </c>
      <c r="GC78" s="450">
        <v>0</v>
      </c>
      <c r="GD78" s="450">
        <v>0</v>
      </c>
      <c r="GE78" s="450">
        <v>0</v>
      </c>
      <c r="GF78" s="450">
        <v>0</v>
      </c>
      <c r="GG78" s="450">
        <v>0</v>
      </c>
      <c r="GH78" s="450">
        <v>0</v>
      </c>
      <c r="GI78" s="450">
        <v>0</v>
      </c>
      <c r="GJ78" s="450">
        <v>0</v>
      </c>
      <c r="GK78" s="450">
        <v>0</v>
      </c>
      <c r="GL78" s="450">
        <v>0</v>
      </c>
      <c r="GM78" s="450">
        <v>0</v>
      </c>
      <c r="GN78" s="450">
        <v>0</v>
      </c>
      <c r="GO78" s="450">
        <v>0</v>
      </c>
      <c r="GP78" s="450">
        <v>0</v>
      </c>
      <c r="GQ78" s="450">
        <v>0</v>
      </c>
      <c r="GR78" s="450">
        <v>0</v>
      </c>
      <c r="GS78" s="450">
        <v>0</v>
      </c>
      <c r="GT78" s="450">
        <v>0</v>
      </c>
      <c r="GU78" s="450">
        <v>0</v>
      </c>
      <c r="GV78" s="450">
        <v>0</v>
      </c>
      <c r="GW78" s="450">
        <v>0</v>
      </c>
      <c r="GX78" s="450">
        <v>487704232</v>
      </c>
      <c r="GY78" s="450">
        <v>506704232</v>
      </c>
      <c r="GZ78" s="450">
        <v>0</v>
      </c>
      <c r="HA78" s="450" t="s">
        <v>888</v>
      </c>
      <c r="HB78" s="450" t="s">
        <v>888</v>
      </c>
      <c r="HC78" s="450">
        <v>0</v>
      </c>
      <c r="HD78" s="450">
        <v>0</v>
      </c>
      <c r="HE78" s="450">
        <v>0</v>
      </c>
      <c r="HF78" s="450">
        <v>0</v>
      </c>
      <c r="HG78" s="472">
        <v>0</v>
      </c>
    </row>
    <row r="79" spans="2:215" ht="12.75">
      <c r="B79" s="445" t="s">
        <v>757</v>
      </c>
      <c r="C79" s="446">
        <v>9888</v>
      </c>
      <c r="D79" s="447">
        <v>2334704</v>
      </c>
      <c r="E79" s="447">
        <v>2003176.032</v>
      </c>
      <c r="F79" s="447">
        <v>281454.5000529127</v>
      </c>
      <c r="G79" s="447">
        <v>331527.96800000005</v>
      </c>
      <c r="H79" s="448">
        <v>0.4181512944983819</v>
      </c>
      <c r="I79" s="449">
        <v>3336.61</v>
      </c>
      <c r="J79" s="449">
        <v>798.07</v>
      </c>
      <c r="K79" s="447">
        <v>2284630.5320529127</v>
      </c>
      <c r="L79" s="447">
        <v>1827704.4256423302</v>
      </c>
      <c r="M79" s="447">
        <v>599599.9892526813</v>
      </c>
      <c r="N79" s="447">
        <v>456926.10641058243</v>
      </c>
      <c r="O79" s="450">
        <v>1.3122471682847896</v>
      </c>
      <c r="P79" s="451">
        <v>0.7598098705501618</v>
      </c>
      <c r="Q79" s="452">
        <v>0.2401901294498382</v>
      </c>
      <c r="R79" s="447">
        <v>2427304.4148950116</v>
      </c>
      <c r="S79" s="447">
        <v>1640857.784469028</v>
      </c>
      <c r="T79" s="447">
        <v>178544.2861923481</v>
      </c>
      <c r="U79" s="447">
        <v>696129.1525858579</v>
      </c>
      <c r="V79" s="447">
        <v>553425.4065960627</v>
      </c>
      <c r="W79" s="450">
        <v>1.2578554296368845</v>
      </c>
      <c r="X79" s="452">
        <v>22.081024466679523</v>
      </c>
      <c r="Y79" s="447">
        <v>178544.2861923481</v>
      </c>
      <c r="Z79" s="447">
        <v>233021.2238299211</v>
      </c>
      <c r="AA79" s="448">
        <v>0.7662146960598966</v>
      </c>
      <c r="AB79" s="448">
        <v>0.060275080906148866</v>
      </c>
      <c r="AC79" s="449">
        <v>597</v>
      </c>
      <c r="AD79" s="449">
        <v>595</v>
      </c>
      <c r="AE79" s="447">
        <v>2515531.2232472342</v>
      </c>
      <c r="AF79" s="447">
        <v>34747.36044873891</v>
      </c>
      <c r="AG79" s="451">
        <v>0.25</v>
      </c>
      <c r="AH79" s="450">
        <v>0.07263236060208406</v>
      </c>
      <c r="AI79" s="452">
        <v>0.061164431273937225</v>
      </c>
      <c r="AJ79" s="447">
        <v>2550278.5836959733</v>
      </c>
      <c r="AK79" s="453">
        <v>1.072</v>
      </c>
      <c r="AL79" s="447">
        <v>2733898.6417220836</v>
      </c>
      <c r="AM79" s="447">
        <v>6431392.491663494</v>
      </c>
      <c r="AN79" s="447">
        <v>6367913.374914018</v>
      </c>
      <c r="AO79" s="447">
        <v>6102317.644831409</v>
      </c>
      <c r="AP79" s="447">
        <v>6367913.374914018</v>
      </c>
      <c r="AQ79" s="447">
        <v>39552</v>
      </c>
      <c r="AR79" s="447">
        <v>6407465.374914018</v>
      </c>
      <c r="AS79" s="454">
        <v>648.0041843561912</v>
      </c>
      <c r="AT79" s="450">
        <v>9881</v>
      </c>
      <c r="AU79" s="450">
        <v>12</v>
      </c>
      <c r="AV79" s="450">
        <v>153</v>
      </c>
      <c r="AW79" s="450">
        <v>9</v>
      </c>
      <c r="AX79" s="450">
        <v>869</v>
      </c>
      <c r="AY79" s="450">
        <v>2830</v>
      </c>
      <c r="AZ79" s="450">
        <v>524</v>
      </c>
      <c r="BA79" s="450">
        <v>351</v>
      </c>
      <c r="BB79" s="450">
        <v>716</v>
      </c>
      <c r="BC79" s="450">
        <v>15</v>
      </c>
      <c r="BD79" s="450">
        <v>1359</v>
      </c>
      <c r="BE79" s="450">
        <v>1980</v>
      </c>
      <c r="BF79" s="450">
        <v>395</v>
      </c>
      <c r="BG79" s="450">
        <v>661</v>
      </c>
      <c r="BH79" s="450">
        <v>5</v>
      </c>
      <c r="BI79" s="450">
        <v>2</v>
      </c>
      <c r="BJ79" s="452">
        <v>1.7910992854784236</v>
      </c>
      <c r="BK79" s="452">
        <v>17.145179974006894</v>
      </c>
      <c r="BL79" s="452">
        <v>9.630304571396282</v>
      </c>
      <c r="BM79" s="452">
        <v>15.029750805221225</v>
      </c>
      <c r="BN79" s="449">
        <v>7506</v>
      </c>
      <c r="BO79" s="449">
        <v>2375</v>
      </c>
      <c r="BP79" s="447">
        <v>3558452.176629974</v>
      </c>
      <c r="BQ79" s="447">
        <v>10660719</v>
      </c>
      <c r="BR79" s="447">
        <v>13981622</v>
      </c>
      <c r="BS79" s="448">
        <v>0.06031778160105253</v>
      </c>
      <c r="BT79" s="449">
        <v>597</v>
      </c>
      <c r="BU79" s="449">
        <v>595</v>
      </c>
      <c r="BV79" s="447">
        <v>843340.4222244712</v>
      </c>
      <c r="BW79" s="448">
        <v>0.007492296016056285</v>
      </c>
      <c r="BX79" s="447">
        <v>20061.440747477955</v>
      </c>
      <c r="BY79" s="447">
        <v>15082573.039601922</v>
      </c>
      <c r="BZ79" s="455">
        <v>1.04</v>
      </c>
      <c r="CA79" s="447">
        <v>15685875.961186</v>
      </c>
      <c r="CB79" s="447">
        <v>11796203.903260302</v>
      </c>
      <c r="CC79" s="447">
        <v>11781766.287165245</v>
      </c>
      <c r="CD79" s="447">
        <v>11366998.017762642</v>
      </c>
      <c r="CE79" s="447">
        <v>11781766.287165245</v>
      </c>
      <c r="CF79" s="454">
        <v>1192.3657815165718</v>
      </c>
      <c r="CG79" s="450">
        <v>9881</v>
      </c>
      <c r="CH79" s="450">
        <v>12</v>
      </c>
      <c r="CI79" s="450">
        <v>153</v>
      </c>
      <c r="CJ79" s="450">
        <v>9</v>
      </c>
      <c r="CK79" s="450">
        <v>869</v>
      </c>
      <c r="CL79" s="450">
        <v>2830</v>
      </c>
      <c r="CM79" s="450">
        <v>524</v>
      </c>
      <c r="CN79" s="450">
        <v>351</v>
      </c>
      <c r="CO79" s="450">
        <v>716</v>
      </c>
      <c r="CP79" s="450">
        <v>15</v>
      </c>
      <c r="CQ79" s="450">
        <v>1359</v>
      </c>
      <c r="CR79" s="450">
        <v>1980</v>
      </c>
      <c r="CS79" s="450">
        <v>395</v>
      </c>
      <c r="CT79" s="450">
        <v>661</v>
      </c>
      <c r="CU79" s="450">
        <v>5</v>
      </c>
      <c r="CV79" s="450">
        <v>2</v>
      </c>
      <c r="CW79" s="447">
        <v>7744765.450775282</v>
      </c>
      <c r="CX79" s="452">
        <v>1.0152618813218566</v>
      </c>
      <c r="CY79" s="452">
        <v>1.04</v>
      </c>
      <c r="CZ79" s="447">
        <v>7862965.14195063</v>
      </c>
      <c r="DA79" s="454">
        <v>795.7661311558172</v>
      </c>
      <c r="DB79" s="449">
        <v>9888</v>
      </c>
      <c r="DC79" s="452">
        <v>1.0102750809061487</v>
      </c>
      <c r="DD79" s="454">
        <v>325.9</v>
      </c>
      <c r="DE79" s="447">
        <v>52033</v>
      </c>
      <c r="DF79" s="454">
        <v>56.924584307926835</v>
      </c>
      <c r="DG79" s="454">
        <v>59.37234143316768</v>
      </c>
      <c r="DH79" s="454">
        <v>60.67853294469736</v>
      </c>
      <c r="DI79" s="454">
        <v>62.013460669480686</v>
      </c>
      <c r="DJ79" s="454">
        <v>64.05990487157355</v>
      </c>
      <c r="DK79" s="454">
        <v>66.36606144695018</v>
      </c>
      <c r="DL79" s="454">
        <v>68.48977541325257</v>
      </c>
      <c r="DM79" s="454">
        <v>71.29785620519593</v>
      </c>
      <c r="DN79" s="454">
        <v>74.43496187822454</v>
      </c>
      <c r="DO79" s="454">
        <v>78.52888478152688</v>
      </c>
      <c r="DP79" s="454">
        <v>77.82212481849314</v>
      </c>
      <c r="DQ79" s="454">
        <v>81.79105318423628</v>
      </c>
      <c r="DR79" s="454">
        <v>86.78030742847469</v>
      </c>
      <c r="DS79" s="454">
        <v>45.8</v>
      </c>
      <c r="DT79" s="454">
        <v>48.19469329446972</v>
      </c>
      <c r="DU79" s="454">
        <v>50.67258589389611</v>
      </c>
      <c r="DV79" s="454">
        <v>53.80917168379204</v>
      </c>
      <c r="DW79" s="454">
        <v>57.263410376200206</v>
      </c>
      <c r="DX79" s="454">
        <v>60.661495492407596</v>
      </c>
      <c r="DY79" s="454">
        <v>64.77846468711623</v>
      </c>
      <c r="DZ79" s="454">
        <v>68.38496654944657</v>
      </c>
      <c r="EA79" s="454">
        <v>72.57165604779019</v>
      </c>
      <c r="EB79" s="454">
        <v>73.84151234047182</v>
      </c>
      <c r="EC79" s="454">
        <v>78.44415421271596</v>
      </c>
      <c r="ED79" s="454">
        <v>84.11701257188739</v>
      </c>
      <c r="EE79" s="454">
        <v>-0.67</v>
      </c>
      <c r="EF79" s="454">
        <v>83.44701257188738</v>
      </c>
      <c r="EG79" s="454">
        <v>4339.244653738144</v>
      </c>
      <c r="EH79" s="447">
        <v>42048322.11343951</v>
      </c>
      <c r="EI79" s="454">
        <v>47.79</v>
      </c>
      <c r="EJ79" s="454">
        <v>50.02509529446972</v>
      </c>
      <c r="EK79" s="454">
        <v>52.335404421896115</v>
      </c>
      <c r="EL79" s="454">
        <v>55.31215178078804</v>
      </c>
      <c r="EM79" s="454">
        <v>58.598056702332656</v>
      </c>
      <c r="EN79" s="454">
        <v>61.8092913328815</v>
      </c>
      <c r="EO79" s="454">
        <v>65.7343490630629</v>
      </c>
      <c r="EP79" s="454">
        <v>69.27202725032508</v>
      </c>
      <c r="EQ79" s="454">
        <v>73.44511515125522</v>
      </c>
      <c r="ER79" s="454">
        <v>74.42515657534969</v>
      </c>
      <c r="ES79" s="454">
        <v>78.93488228540127</v>
      </c>
      <c r="ET79" s="454">
        <v>84.50750943572673</v>
      </c>
      <c r="EU79" s="447">
        <v>-26508564</v>
      </c>
      <c r="EV79" s="447">
        <v>0</v>
      </c>
      <c r="EW79" s="447">
        <v>0</v>
      </c>
      <c r="EX79" s="447">
        <v>0</v>
      </c>
      <c r="EY79" s="447">
        <v>0</v>
      </c>
      <c r="EZ79" s="447">
        <v>0</v>
      </c>
      <c r="FA79" s="447">
        <v>0</v>
      </c>
      <c r="FB79" s="447">
        <v>0</v>
      </c>
      <c r="FC79" s="447">
        <v>0</v>
      </c>
      <c r="FD79" s="447">
        <v>0</v>
      </c>
      <c r="FE79" s="447">
        <v>0</v>
      </c>
      <c r="FF79" s="447">
        <v>0</v>
      </c>
      <c r="FG79" s="447">
        <v>0</v>
      </c>
      <c r="FH79" s="447">
        <v>9417</v>
      </c>
      <c r="FI79" s="456">
        <v>0.046</v>
      </c>
      <c r="FJ79" s="447">
        <v>433.182</v>
      </c>
      <c r="FK79" s="471">
        <v>433.182</v>
      </c>
      <c r="FL79" s="446">
        <v>81.78</v>
      </c>
      <c r="FM79" s="450">
        <v>79.16</v>
      </c>
      <c r="FN79" s="450">
        <v>78.49</v>
      </c>
      <c r="FO79" s="450">
        <v>-0.67</v>
      </c>
      <c r="FP79" s="472">
        <v>78.17</v>
      </c>
      <c r="FQ79" s="446">
        <v>0</v>
      </c>
      <c r="FR79" s="450">
        <v>0</v>
      </c>
      <c r="FS79" s="450">
        <v>0</v>
      </c>
      <c r="FT79" s="450">
        <v>0</v>
      </c>
      <c r="FU79" s="450">
        <v>0</v>
      </c>
      <c r="FV79" s="450">
        <v>0</v>
      </c>
      <c r="FW79" s="450">
        <v>0</v>
      </c>
      <c r="FX79" s="450">
        <v>0</v>
      </c>
      <c r="FY79" s="450">
        <v>0</v>
      </c>
      <c r="FZ79" s="450">
        <v>0</v>
      </c>
      <c r="GA79" s="450">
        <v>0</v>
      </c>
      <c r="GB79" s="450">
        <v>0</v>
      </c>
      <c r="GC79" s="450">
        <v>0</v>
      </c>
      <c r="GD79" s="450">
        <v>0</v>
      </c>
      <c r="GE79" s="450">
        <v>0</v>
      </c>
      <c r="GF79" s="450">
        <v>0</v>
      </c>
      <c r="GG79" s="450">
        <v>0</v>
      </c>
      <c r="GH79" s="450">
        <v>0</v>
      </c>
      <c r="GI79" s="450">
        <v>0</v>
      </c>
      <c r="GJ79" s="450">
        <v>0</v>
      </c>
      <c r="GK79" s="450">
        <v>0</v>
      </c>
      <c r="GL79" s="450">
        <v>0</v>
      </c>
      <c r="GM79" s="450">
        <v>0</v>
      </c>
      <c r="GN79" s="450">
        <v>0</v>
      </c>
      <c r="GO79" s="450">
        <v>0</v>
      </c>
      <c r="GP79" s="450">
        <v>0</v>
      </c>
      <c r="GQ79" s="450">
        <v>0</v>
      </c>
      <c r="GR79" s="450">
        <v>0</v>
      </c>
      <c r="GS79" s="450">
        <v>0</v>
      </c>
      <c r="GT79" s="450">
        <v>0</v>
      </c>
      <c r="GU79" s="450">
        <v>0</v>
      </c>
      <c r="GV79" s="450">
        <v>0</v>
      </c>
      <c r="GW79" s="450">
        <v>0</v>
      </c>
      <c r="GX79" s="450">
        <v>-14141594</v>
      </c>
      <c r="GY79" s="450">
        <v>-8197594</v>
      </c>
      <c r="GZ79" s="450">
        <v>57</v>
      </c>
      <c r="HA79" s="450" t="s">
        <v>888</v>
      </c>
      <c r="HB79" s="450" t="s">
        <v>888</v>
      </c>
      <c r="HC79" s="450">
        <v>0</v>
      </c>
      <c r="HD79" s="450">
        <v>20</v>
      </c>
      <c r="HE79" s="450">
        <v>49</v>
      </c>
      <c r="HF79" s="450">
        <v>64</v>
      </c>
      <c r="HG79" s="472">
        <v>71</v>
      </c>
    </row>
    <row r="80" spans="2:215" ht="12.75">
      <c r="B80" s="445" t="s">
        <v>758</v>
      </c>
      <c r="C80" s="446">
        <v>3926</v>
      </c>
      <c r="D80" s="447">
        <v>945558</v>
      </c>
      <c r="E80" s="447">
        <v>811288.764</v>
      </c>
      <c r="F80" s="447">
        <v>133222.88168779106</v>
      </c>
      <c r="G80" s="447">
        <v>134269.236</v>
      </c>
      <c r="H80" s="448">
        <v>0.4887060621497708</v>
      </c>
      <c r="I80" s="449">
        <v>1649.17</v>
      </c>
      <c r="J80" s="449">
        <v>269.49</v>
      </c>
      <c r="K80" s="447">
        <v>944511.645687791</v>
      </c>
      <c r="L80" s="447">
        <v>755609.3165502329</v>
      </c>
      <c r="M80" s="447">
        <v>201600.06848024836</v>
      </c>
      <c r="N80" s="447">
        <v>188902.32913755818</v>
      </c>
      <c r="O80" s="450">
        <v>1.0672185430463577</v>
      </c>
      <c r="P80" s="451">
        <v>0.9482934284258787</v>
      </c>
      <c r="Q80" s="452">
        <v>0.05170657157412124</v>
      </c>
      <c r="R80" s="447">
        <v>957209.3850304813</v>
      </c>
      <c r="S80" s="447">
        <v>647073.5442806054</v>
      </c>
      <c r="T80" s="447">
        <v>120056.06382221385</v>
      </c>
      <c r="U80" s="447">
        <v>91072.3752858582</v>
      </c>
      <c r="V80" s="447">
        <v>218243.73978694974</v>
      </c>
      <c r="W80" s="450">
        <v>0.41729662154233316</v>
      </c>
      <c r="X80" s="452">
        <v>7.325433983139814</v>
      </c>
      <c r="Y80" s="447">
        <v>120056.06382221385</v>
      </c>
      <c r="Z80" s="447">
        <v>91892.1009629262</v>
      </c>
      <c r="AA80" s="448">
        <v>1.306489486736737</v>
      </c>
      <c r="AB80" s="448">
        <v>0.10277636271013754</v>
      </c>
      <c r="AC80" s="449">
        <v>392</v>
      </c>
      <c r="AD80" s="449">
        <v>415</v>
      </c>
      <c r="AE80" s="447">
        <v>858201.9833886775</v>
      </c>
      <c r="AF80" s="447">
        <v>0</v>
      </c>
      <c r="AG80" s="451">
        <v>0</v>
      </c>
      <c r="AH80" s="450">
        <v>0.013775874780404665</v>
      </c>
      <c r="AI80" s="452">
        <v>0.011600800789892673</v>
      </c>
      <c r="AJ80" s="447">
        <v>858201.9833886775</v>
      </c>
      <c r="AK80" s="453">
        <v>1</v>
      </c>
      <c r="AL80" s="447">
        <v>858201.9833886775</v>
      </c>
      <c r="AM80" s="447">
        <v>2018887.4993624366</v>
      </c>
      <c r="AN80" s="447">
        <v>1998960.6801794672</v>
      </c>
      <c r="AO80" s="447">
        <v>1917343.2267535517</v>
      </c>
      <c r="AP80" s="447">
        <v>1998960.6801794672</v>
      </c>
      <c r="AQ80" s="447">
        <v>15704</v>
      </c>
      <c r="AR80" s="447">
        <v>2014664.6801794672</v>
      </c>
      <c r="AS80" s="454">
        <v>513.1596230716931</v>
      </c>
      <c r="AT80" s="450">
        <v>3926</v>
      </c>
      <c r="AU80" s="450">
        <v>127</v>
      </c>
      <c r="AV80" s="450">
        <v>237</v>
      </c>
      <c r="AW80" s="450">
        <v>187</v>
      </c>
      <c r="AX80" s="450">
        <v>46</v>
      </c>
      <c r="AY80" s="450">
        <v>542</v>
      </c>
      <c r="AZ80" s="450">
        <v>45</v>
      </c>
      <c r="BA80" s="450">
        <v>48</v>
      </c>
      <c r="BB80" s="450">
        <v>167</v>
      </c>
      <c r="BC80" s="450">
        <v>37</v>
      </c>
      <c r="BD80" s="450">
        <v>1613</v>
      </c>
      <c r="BE80" s="450">
        <v>203</v>
      </c>
      <c r="BF80" s="450">
        <v>0</v>
      </c>
      <c r="BG80" s="450">
        <v>669</v>
      </c>
      <c r="BH80" s="450">
        <v>5</v>
      </c>
      <c r="BI80" s="450">
        <v>0</v>
      </c>
      <c r="BJ80" s="452">
        <v>1.206434964121239</v>
      </c>
      <c r="BK80" s="452">
        <v>6.281486722122173</v>
      </c>
      <c r="BL80" s="452">
        <v>3.4902095303433094</v>
      </c>
      <c r="BM80" s="452">
        <v>5.582554383557728</v>
      </c>
      <c r="BN80" s="449">
        <v>3723</v>
      </c>
      <c r="BO80" s="449">
        <v>203</v>
      </c>
      <c r="BP80" s="447">
        <v>897404.2351916555</v>
      </c>
      <c r="BQ80" s="447">
        <v>3995799</v>
      </c>
      <c r="BR80" s="447">
        <v>5084790</v>
      </c>
      <c r="BS80" s="448">
        <v>0.10277636271013754</v>
      </c>
      <c r="BT80" s="449">
        <v>392</v>
      </c>
      <c r="BU80" s="449">
        <v>415</v>
      </c>
      <c r="BV80" s="447">
        <v>522596.2213448803</v>
      </c>
      <c r="BW80" s="448">
        <v>0.007636496973591718</v>
      </c>
      <c r="BX80" s="447">
        <v>2976.53620482154</v>
      </c>
      <c r="BY80" s="447">
        <v>5418775.992741358</v>
      </c>
      <c r="BZ80" s="455">
        <v>0.97</v>
      </c>
      <c r="CA80" s="447">
        <v>5256212.712959117</v>
      </c>
      <c r="CB80" s="447">
        <v>3952814.43474367</v>
      </c>
      <c r="CC80" s="447">
        <v>3947976.50401851</v>
      </c>
      <c r="CD80" s="447">
        <v>3881527.1904181973</v>
      </c>
      <c r="CE80" s="447">
        <v>3947976.50401851</v>
      </c>
      <c r="CF80" s="454">
        <v>1005.5976831427688</v>
      </c>
      <c r="CG80" s="450">
        <v>3926</v>
      </c>
      <c r="CH80" s="450">
        <v>127</v>
      </c>
      <c r="CI80" s="450">
        <v>237</v>
      </c>
      <c r="CJ80" s="450">
        <v>187</v>
      </c>
      <c r="CK80" s="450">
        <v>46</v>
      </c>
      <c r="CL80" s="450">
        <v>542</v>
      </c>
      <c r="CM80" s="450">
        <v>45</v>
      </c>
      <c r="CN80" s="450">
        <v>48</v>
      </c>
      <c r="CO80" s="450">
        <v>167</v>
      </c>
      <c r="CP80" s="450">
        <v>37</v>
      </c>
      <c r="CQ80" s="450">
        <v>1613</v>
      </c>
      <c r="CR80" s="450">
        <v>203</v>
      </c>
      <c r="CS80" s="450">
        <v>0</v>
      </c>
      <c r="CT80" s="450">
        <v>669</v>
      </c>
      <c r="CU80" s="450">
        <v>5</v>
      </c>
      <c r="CV80" s="450">
        <v>0</v>
      </c>
      <c r="CW80" s="447">
        <v>2893653.9431964043</v>
      </c>
      <c r="CX80" s="452">
        <v>0.9469269470021162</v>
      </c>
      <c r="CY80" s="452">
        <v>0.97</v>
      </c>
      <c r="CZ80" s="447">
        <v>2740078.8941116063</v>
      </c>
      <c r="DA80" s="454">
        <v>697.9314554537968</v>
      </c>
      <c r="DB80" s="449">
        <v>3926</v>
      </c>
      <c r="DC80" s="452">
        <v>0.991110545084055</v>
      </c>
      <c r="DD80" s="454">
        <v>299.6</v>
      </c>
      <c r="DE80" s="447">
        <v>42247</v>
      </c>
      <c r="DF80" s="454">
        <v>49.79680402498229</v>
      </c>
      <c r="DG80" s="454">
        <v>51.93806659805653</v>
      </c>
      <c r="DH80" s="454">
        <v>53.080704063213766</v>
      </c>
      <c r="DI80" s="454">
        <v>54.24847955260446</v>
      </c>
      <c r="DJ80" s="454">
        <v>56.0386793778404</v>
      </c>
      <c r="DK80" s="454">
        <v>58.056071835442644</v>
      </c>
      <c r="DL80" s="454">
        <v>59.9138661341768</v>
      </c>
      <c r="DM80" s="454">
        <v>62.37033464567804</v>
      </c>
      <c r="DN80" s="454">
        <v>65.11462937008787</v>
      </c>
      <c r="DO80" s="454">
        <v>68.6959339854427</v>
      </c>
      <c r="DP80" s="454">
        <v>68.0776705795737</v>
      </c>
      <c r="DQ80" s="454">
        <v>71.54963177913196</v>
      </c>
      <c r="DR80" s="454">
        <v>75.914159317659</v>
      </c>
      <c r="DS80" s="454">
        <v>39.91</v>
      </c>
      <c r="DT80" s="454">
        <v>42.01728840632137</v>
      </c>
      <c r="DU80" s="454">
        <v>44.197981062520874</v>
      </c>
      <c r="DV80" s="454">
        <v>46.9542850551161</v>
      </c>
      <c r="DW80" s="454">
        <v>49.98912967686347</v>
      </c>
      <c r="DX80" s="454">
        <v>52.976295877798705</v>
      </c>
      <c r="DY80" s="454">
        <v>56.59272613616637</v>
      </c>
      <c r="DZ80" s="454">
        <v>59.753008673261036</v>
      </c>
      <c r="EA80" s="454">
        <v>61.56418153709612</v>
      </c>
      <c r="EB80" s="454">
        <v>63.312242885774126</v>
      </c>
      <c r="EC80" s="454">
        <v>67.54286017418526</v>
      </c>
      <c r="ED80" s="454">
        <v>72.72577081302268</v>
      </c>
      <c r="EE80" s="454">
        <v>-0.15</v>
      </c>
      <c r="EF80" s="454">
        <v>72.57577081302267</v>
      </c>
      <c r="EG80" s="454">
        <v>3773.940082277179</v>
      </c>
      <c r="EH80" s="447">
        <v>14520158.9877598</v>
      </c>
      <c r="EI80" s="454">
        <v>49.86</v>
      </c>
      <c r="EJ80" s="454">
        <v>51.16929840632137</v>
      </c>
      <c r="EK80" s="454">
        <v>52.51207370252088</v>
      </c>
      <c r="EL80" s="454">
        <v>54.469185540096106</v>
      </c>
      <c r="EM80" s="454">
        <v>56.662361307525714</v>
      </c>
      <c r="EN80" s="454">
        <v>58.71527508016824</v>
      </c>
      <c r="EO80" s="454">
        <v>61.37214801589972</v>
      </c>
      <c r="EP80" s="454">
        <v>64.18831217765359</v>
      </c>
      <c r="EQ80" s="454">
        <v>65.79398264578515</v>
      </c>
      <c r="ER80" s="454">
        <v>66.13859047545863</v>
      </c>
      <c r="ES80" s="454">
        <v>69.919253227592</v>
      </c>
      <c r="ET80" s="454">
        <v>74.61678558527107</v>
      </c>
      <c r="EU80" s="447">
        <v>16214229</v>
      </c>
      <c r="EV80" s="447">
        <v>0</v>
      </c>
      <c r="EW80" s="447">
        <v>0</v>
      </c>
      <c r="EX80" s="447">
        <v>0</v>
      </c>
      <c r="EY80" s="447">
        <v>0</v>
      </c>
      <c r="EZ80" s="447">
        <v>0</v>
      </c>
      <c r="FA80" s="447">
        <v>0</v>
      </c>
      <c r="FB80" s="447">
        <v>0</v>
      </c>
      <c r="FC80" s="447">
        <v>0</v>
      </c>
      <c r="FD80" s="447">
        <v>16214229</v>
      </c>
      <c r="FE80" s="447">
        <v>48448.53617531782</v>
      </c>
      <c r="FF80" s="447">
        <v>0</v>
      </c>
      <c r="FG80" s="447">
        <v>0</v>
      </c>
      <c r="FH80" s="447">
        <v>7372</v>
      </c>
      <c r="FI80" s="456">
        <v>0.10210000000000001</v>
      </c>
      <c r="FJ80" s="447">
        <v>752.6812000000001</v>
      </c>
      <c r="FK80" s="471">
        <v>752.6812000000001</v>
      </c>
      <c r="FL80" s="446">
        <v>71.65</v>
      </c>
      <c r="FM80" s="450">
        <v>69.98</v>
      </c>
      <c r="FN80" s="450">
        <v>69.83</v>
      </c>
      <c r="FO80" s="450">
        <v>-0.15</v>
      </c>
      <c r="FP80" s="472">
        <v>69.83</v>
      </c>
      <c r="FQ80" s="446">
        <v>0</v>
      </c>
      <c r="FR80" s="450">
        <v>0</v>
      </c>
      <c r="FS80" s="450">
        <v>0</v>
      </c>
      <c r="FT80" s="450">
        <v>0</v>
      </c>
      <c r="FU80" s="450">
        <v>0</v>
      </c>
      <c r="FV80" s="450">
        <v>0</v>
      </c>
      <c r="FW80" s="450">
        <v>0</v>
      </c>
      <c r="FX80" s="450">
        <v>0</v>
      </c>
      <c r="FY80" s="450">
        <v>0</v>
      </c>
      <c r="FZ80" s="450">
        <v>0</v>
      </c>
      <c r="GA80" s="450">
        <v>0</v>
      </c>
      <c r="GB80" s="450">
        <v>0</v>
      </c>
      <c r="GC80" s="450">
        <v>0</v>
      </c>
      <c r="GD80" s="450">
        <v>0</v>
      </c>
      <c r="GE80" s="450">
        <v>0</v>
      </c>
      <c r="GF80" s="450">
        <v>0</v>
      </c>
      <c r="GG80" s="450">
        <v>0</v>
      </c>
      <c r="GH80" s="450">
        <v>0</v>
      </c>
      <c r="GI80" s="450">
        <v>0</v>
      </c>
      <c r="GJ80" s="450">
        <v>0</v>
      </c>
      <c r="GK80" s="450">
        <v>0</v>
      </c>
      <c r="GL80" s="450">
        <v>0</v>
      </c>
      <c r="GM80" s="450">
        <v>0</v>
      </c>
      <c r="GN80" s="450">
        <v>0</v>
      </c>
      <c r="GO80" s="450">
        <v>0</v>
      </c>
      <c r="GP80" s="450">
        <v>0</v>
      </c>
      <c r="GQ80" s="450">
        <v>0</v>
      </c>
      <c r="GR80" s="450">
        <v>0</v>
      </c>
      <c r="GS80" s="450">
        <v>0</v>
      </c>
      <c r="GT80" s="450">
        <v>0</v>
      </c>
      <c r="GU80" s="450">
        <v>0</v>
      </c>
      <c r="GV80" s="450">
        <v>0</v>
      </c>
      <c r="GW80" s="450">
        <v>0</v>
      </c>
      <c r="GX80" s="450">
        <v>7789356</v>
      </c>
      <c r="GY80" s="450">
        <v>7789356</v>
      </c>
      <c r="GZ80" s="450">
        <v>0</v>
      </c>
      <c r="HA80" s="450" t="s">
        <v>888</v>
      </c>
      <c r="HB80" s="450" t="s">
        <v>888</v>
      </c>
      <c r="HC80" s="450">
        <v>0</v>
      </c>
      <c r="HD80" s="450">
        <v>0</v>
      </c>
      <c r="HE80" s="450">
        <v>0</v>
      </c>
      <c r="HF80" s="450">
        <v>0</v>
      </c>
      <c r="HG80" s="472">
        <v>0</v>
      </c>
    </row>
    <row r="81" spans="2:215" ht="12.75">
      <c r="B81" s="445" t="s">
        <v>759</v>
      </c>
      <c r="C81" s="446">
        <v>4963</v>
      </c>
      <c r="D81" s="447">
        <v>1187179</v>
      </c>
      <c r="E81" s="447">
        <v>1018599.5819999999</v>
      </c>
      <c r="F81" s="447">
        <v>193500.63745343377</v>
      </c>
      <c r="G81" s="447">
        <v>168579.418</v>
      </c>
      <c r="H81" s="448">
        <v>0.565357646584727</v>
      </c>
      <c r="I81" s="449">
        <v>2530.27</v>
      </c>
      <c r="J81" s="449">
        <v>275.6</v>
      </c>
      <c r="K81" s="447">
        <v>1212100.2194534338</v>
      </c>
      <c r="L81" s="447">
        <v>969680.175562747</v>
      </c>
      <c r="M81" s="447">
        <v>373545.6952758466</v>
      </c>
      <c r="N81" s="447">
        <v>242420.0438906867</v>
      </c>
      <c r="O81" s="450">
        <v>1.5409026798307475</v>
      </c>
      <c r="P81" s="451">
        <v>0.5839210155148096</v>
      </c>
      <c r="Q81" s="452">
        <v>0.41607898448519043</v>
      </c>
      <c r="R81" s="447">
        <v>1343225.8708385937</v>
      </c>
      <c r="S81" s="447">
        <v>908020.6886868894</v>
      </c>
      <c r="T81" s="447">
        <v>107672.8680221427</v>
      </c>
      <c r="U81" s="447">
        <v>257050.83028814622</v>
      </c>
      <c r="V81" s="447">
        <v>306255.4985511994</v>
      </c>
      <c r="W81" s="450">
        <v>0.8393345801272946</v>
      </c>
      <c r="X81" s="452">
        <v>14.734099772396862</v>
      </c>
      <c r="Y81" s="447">
        <v>107672.8680221427</v>
      </c>
      <c r="Z81" s="447">
        <v>128949.683600505</v>
      </c>
      <c r="AA81" s="448">
        <v>0.8349990865872976</v>
      </c>
      <c r="AB81" s="448">
        <v>0.06568607696957485</v>
      </c>
      <c r="AC81" s="449">
        <v>329</v>
      </c>
      <c r="AD81" s="449">
        <v>323</v>
      </c>
      <c r="AE81" s="447">
        <v>1272744.3869971782</v>
      </c>
      <c r="AF81" s="447">
        <v>28044.69707036144</v>
      </c>
      <c r="AG81" s="451">
        <v>0.5</v>
      </c>
      <c r="AH81" s="450">
        <v>0.03662104577987665</v>
      </c>
      <c r="AI81" s="452">
        <v>0.030838945880532265</v>
      </c>
      <c r="AJ81" s="447">
        <v>1300789.0840675395</v>
      </c>
      <c r="AK81" s="453">
        <v>1.1108</v>
      </c>
      <c r="AL81" s="447">
        <v>1444916.514582223</v>
      </c>
      <c r="AM81" s="447">
        <v>3399111.101321277</v>
      </c>
      <c r="AN81" s="447">
        <v>3365561.202022657</v>
      </c>
      <c r="AO81" s="447">
        <v>3202518.6055204985</v>
      </c>
      <c r="AP81" s="447">
        <v>3365561.202022657</v>
      </c>
      <c r="AQ81" s="447">
        <v>19852</v>
      </c>
      <c r="AR81" s="447">
        <v>3385413.202022657</v>
      </c>
      <c r="AS81" s="454">
        <v>682.1304054045248</v>
      </c>
      <c r="AT81" s="450">
        <v>4963</v>
      </c>
      <c r="AU81" s="450">
        <v>42</v>
      </c>
      <c r="AV81" s="450">
        <v>432</v>
      </c>
      <c r="AW81" s="450">
        <v>493</v>
      </c>
      <c r="AX81" s="450">
        <v>4</v>
      </c>
      <c r="AY81" s="450">
        <v>248</v>
      </c>
      <c r="AZ81" s="450">
        <v>259</v>
      </c>
      <c r="BA81" s="450">
        <v>97</v>
      </c>
      <c r="BB81" s="450">
        <v>381</v>
      </c>
      <c r="BC81" s="450">
        <v>42</v>
      </c>
      <c r="BD81" s="450">
        <v>735</v>
      </c>
      <c r="BE81" s="450">
        <v>2065</v>
      </c>
      <c r="BF81" s="450">
        <v>0</v>
      </c>
      <c r="BG81" s="450">
        <v>163</v>
      </c>
      <c r="BH81" s="450">
        <v>0</v>
      </c>
      <c r="BI81" s="450">
        <v>2</v>
      </c>
      <c r="BJ81" s="452">
        <v>1.86067847545419</v>
      </c>
      <c r="BK81" s="452">
        <v>14.71043205121136</v>
      </c>
      <c r="BL81" s="452">
        <v>4.695512467048267</v>
      </c>
      <c r="BM81" s="452">
        <v>20.029839168326184</v>
      </c>
      <c r="BN81" s="449">
        <v>2898</v>
      </c>
      <c r="BO81" s="449">
        <v>2065</v>
      </c>
      <c r="BP81" s="447">
        <v>1879246.1859607475</v>
      </c>
      <c r="BQ81" s="447">
        <v>5932294</v>
      </c>
      <c r="BR81" s="447">
        <v>6675738</v>
      </c>
      <c r="BS81" s="448">
        <v>0.06568607696957485</v>
      </c>
      <c r="BT81" s="449">
        <v>329</v>
      </c>
      <c r="BU81" s="449">
        <v>323</v>
      </c>
      <c r="BV81" s="447">
        <v>438503.0400967157</v>
      </c>
      <c r="BW81" s="448">
        <v>0.007627847363270631</v>
      </c>
      <c r="BX81" s="447">
        <v>8801.89009892085</v>
      </c>
      <c r="BY81" s="447">
        <v>8258845.116156383</v>
      </c>
      <c r="BZ81" s="455">
        <v>1.1433333333333333</v>
      </c>
      <c r="CA81" s="447">
        <v>9442612.916138798</v>
      </c>
      <c r="CB81" s="447">
        <v>7101100.8638570625</v>
      </c>
      <c r="CC81" s="447">
        <v>7092409.680747189</v>
      </c>
      <c r="CD81" s="447">
        <v>6841949.006241222</v>
      </c>
      <c r="CE81" s="447">
        <v>7092409.680747189</v>
      </c>
      <c r="CF81" s="454">
        <v>1429.0569576359437</v>
      </c>
      <c r="CG81" s="450">
        <v>4963</v>
      </c>
      <c r="CH81" s="450">
        <v>42</v>
      </c>
      <c r="CI81" s="450">
        <v>432</v>
      </c>
      <c r="CJ81" s="450">
        <v>493</v>
      </c>
      <c r="CK81" s="450">
        <v>4</v>
      </c>
      <c r="CL81" s="450">
        <v>248</v>
      </c>
      <c r="CM81" s="450">
        <v>259</v>
      </c>
      <c r="CN81" s="450">
        <v>97</v>
      </c>
      <c r="CO81" s="450">
        <v>381</v>
      </c>
      <c r="CP81" s="450">
        <v>42</v>
      </c>
      <c r="CQ81" s="450">
        <v>735</v>
      </c>
      <c r="CR81" s="450">
        <v>2065</v>
      </c>
      <c r="CS81" s="450">
        <v>0</v>
      </c>
      <c r="CT81" s="450">
        <v>163</v>
      </c>
      <c r="CU81" s="450">
        <v>0</v>
      </c>
      <c r="CV81" s="450">
        <v>2</v>
      </c>
      <c r="CW81" s="447">
        <v>3705077.860892173</v>
      </c>
      <c r="CX81" s="452">
        <v>1.116137260555759</v>
      </c>
      <c r="CY81" s="452">
        <v>1.1433333333333333</v>
      </c>
      <c r="CZ81" s="447">
        <v>4135375.453801981</v>
      </c>
      <c r="DA81" s="454">
        <v>833.2410747132744</v>
      </c>
      <c r="DB81" s="449">
        <v>4963</v>
      </c>
      <c r="DC81" s="452">
        <v>0.9892000805964137</v>
      </c>
      <c r="DD81" s="454">
        <v>354.1</v>
      </c>
      <c r="DE81" s="447">
        <v>78909</v>
      </c>
      <c r="DF81" s="454">
        <v>68.3175769538945</v>
      </c>
      <c r="DG81" s="454">
        <v>71.25523276291196</v>
      </c>
      <c r="DH81" s="454">
        <v>72.82284788369601</v>
      </c>
      <c r="DI81" s="454">
        <v>74.4249505371373</v>
      </c>
      <c r="DJ81" s="454">
        <v>76.88097390486283</v>
      </c>
      <c r="DK81" s="454">
        <v>79.64868896543787</v>
      </c>
      <c r="DL81" s="454">
        <v>82.19744701233186</v>
      </c>
      <c r="DM81" s="454">
        <v>85.56754233983746</v>
      </c>
      <c r="DN81" s="454">
        <v>89.33251420279029</v>
      </c>
      <c r="DO81" s="454">
        <v>94.24580248394375</v>
      </c>
      <c r="DP81" s="454">
        <v>93.39759026158825</v>
      </c>
      <c r="DQ81" s="454">
        <v>98.16086736492925</v>
      </c>
      <c r="DR81" s="454">
        <v>104.14868027418993</v>
      </c>
      <c r="DS81" s="454">
        <v>56.25</v>
      </c>
      <c r="DT81" s="454">
        <v>59.02103478836959</v>
      </c>
      <c r="DU81" s="454">
        <v>61.886770107427445</v>
      </c>
      <c r="DV81" s="454">
        <v>65.54802606895883</v>
      </c>
      <c r="DW81" s="454">
        <v>69.58503128715513</v>
      </c>
      <c r="DX81" s="454">
        <v>73.54270140900871</v>
      </c>
      <c r="DY81" s="454">
        <v>78.35987020138994</v>
      </c>
      <c r="DZ81" s="454">
        <v>82.64379445831099</v>
      </c>
      <c r="EA81" s="454">
        <v>85.09768548067217</v>
      </c>
      <c r="EB81" s="454">
        <v>87.28483039937286</v>
      </c>
      <c r="EC81" s="454">
        <v>93.02125887277855</v>
      </c>
      <c r="ED81" s="454">
        <v>100.05883681656101</v>
      </c>
      <c r="EE81" s="454">
        <v>-0.47</v>
      </c>
      <c r="EF81" s="454">
        <v>99.58883681656101</v>
      </c>
      <c r="EG81" s="454">
        <v>5178.619514461173</v>
      </c>
      <c r="EH81" s="447">
        <v>25187458.877265386</v>
      </c>
      <c r="EI81" s="454">
        <v>71.24</v>
      </c>
      <c r="EJ81" s="454">
        <v>72.80883678836958</v>
      </c>
      <c r="EK81" s="454">
        <v>74.41222223542744</v>
      </c>
      <c r="EL81" s="454">
        <v>76.86946911115483</v>
      </c>
      <c r="EM81" s="454">
        <v>79.63847270862517</v>
      </c>
      <c r="EN81" s="454">
        <v>82.18866103147295</v>
      </c>
      <c r="EO81" s="454">
        <v>85.56022537497816</v>
      </c>
      <c r="EP81" s="454">
        <v>89.32572405940087</v>
      </c>
      <c r="EQ81" s="454">
        <v>91.47001901024488</v>
      </c>
      <c r="ER81" s="454">
        <v>91.54281536111866</v>
      </c>
      <c r="ES81" s="454">
        <v>96.60137262861441</v>
      </c>
      <c r="ET81" s="454">
        <v>102.90771233776739</v>
      </c>
      <c r="EU81" s="447">
        <v>50994480</v>
      </c>
      <c r="EV81" s="447">
        <v>0</v>
      </c>
      <c r="EW81" s="447">
        <v>0</v>
      </c>
      <c r="EX81" s="447">
        <v>0</v>
      </c>
      <c r="EY81" s="447">
        <v>0</v>
      </c>
      <c r="EZ81" s="447">
        <v>0</v>
      </c>
      <c r="FA81" s="447">
        <v>0</v>
      </c>
      <c r="FB81" s="447">
        <v>0</v>
      </c>
      <c r="FC81" s="447">
        <v>0</v>
      </c>
      <c r="FD81" s="447">
        <v>50994480</v>
      </c>
      <c r="FE81" s="447">
        <v>65450.31794672471</v>
      </c>
      <c r="FF81" s="447">
        <v>0</v>
      </c>
      <c r="FG81" s="447">
        <v>0</v>
      </c>
      <c r="FH81" s="447">
        <v>65943</v>
      </c>
      <c r="FI81" s="456">
        <v>0.0484</v>
      </c>
      <c r="FJ81" s="447">
        <v>3191.6412</v>
      </c>
      <c r="FK81" s="471">
        <v>3191.6412</v>
      </c>
      <c r="FL81" s="446">
        <v>98.09</v>
      </c>
      <c r="FM81" s="450">
        <v>96.14</v>
      </c>
      <c r="FN81" s="450">
        <v>95.61</v>
      </c>
      <c r="FO81" s="450">
        <v>-0.53</v>
      </c>
      <c r="FP81" s="472">
        <v>95.67</v>
      </c>
      <c r="FQ81" s="446">
        <v>505336</v>
      </c>
      <c r="FR81" s="450">
        <v>974079</v>
      </c>
      <c r="FS81" s="450">
        <v>0</v>
      </c>
      <c r="FT81" s="450">
        <v>0</v>
      </c>
      <c r="FU81" s="450">
        <v>0</v>
      </c>
      <c r="FV81" s="450">
        <v>0</v>
      </c>
      <c r="FW81" s="450">
        <v>0</v>
      </c>
      <c r="FX81" s="450">
        <v>0</v>
      </c>
      <c r="FY81" s="450">
        <v>0</v>
      </c>
      <c r="FZ81" s="450">
        <v>0</v>
      </c>
      <c r="GA81" s="450">
        <v>0</v>
      </c>
      <c r="GB81" s="450">
        <v>0</v>
      </c>
      <c r="GC81" s="450">
        <v>0</v>
      </c>
      <c r="GD81" s="450">
        <v>0</v>
      </c>
      <c r="GE81" s="450">
        <v>0</v>
      </c>
      <c r="GF81" s="450">
        <v>0</v>
      </c>
      <c r="GG81" s="450">
        <v>0</v>
      </c>
      <c r="GH81" s="450">
        <v>0</v>
      </c>
      <c r="GI81" s="450">
        <v>0</v>
      </c>
      <c r="GJ81" s="450">
        <v>0</v>
      </c>
      <c r="GK81" s="450">
        <v>0</v>
      </c>
      <c r="GL81" s="450">
        <v>0</v>
      </c>
      <c r="GM81" s="450">
        <v>0</v>
      </c>
      <c r="GN81" s="450">
        <v>0</v>
      </c>
      <c r="GO81" s="450">
        <v>0</v>
      </c>
      <c r="GP81" s="450">
        <v>0</v>
      </c>
      <c r="GQ81" s="450">
        <v>0</v>
      </c>
      <c r="GR81" s="450">
        <v>0</v>
      </c>
      <c r="GS81" s="450">
        <v>0</v>
      </c>
      <c r="GT81" s="450">
        <v>0</v>
      </c>
      <c r="GU81" s="450">
        <v>0</v>
      </c>
      <c r="GV81" s="450">
        <v>0</v>
      </c>
      <c r="GW81" s="450">
        <v>0</v>
      </c>
      <c r="GX81" s="450">
        <v>55197057</v>
      </c>
      <c r="GY81" s="450">
        <v>61001335</v>
      </c>
      <c r="GZ81" s="450">
        <v>0</v>
      </c>
      <c r="HA81" s="450" t="s">
        <v>888</v>
      </c>
      <c r="HB81" s="450" t="s">
        <v>888</v>
      </c>
      <c r="HC81" s="450">
        <v>0</v>
      </c>
      <c r="HD81" s="450">
        <v>0</v>
      </c>
      <c r="HE81" s="450">
        <v>0</v>
      </c>
      <c r="HF81" s="450">
        <v>0</v>
      </c>
      <c r="HG81" s="472">
        <v>0</v>
      </c>
    </row>
    <row r="82" spans="2:215" ht="12.75">
      <c r="B82" s="445" t="s">
        <v>760</v>
      </c>
      <c r="C82" s="446">
        <v>10019.5</v>
      </c>
      <c r="D82" s="447">
        <v>2365343.5</v>
      </c>
      <c r="E82" s="447">
        <v>2029464.723</v>
      </c>
      <c r="F82" s="447">
        <v>389791.78691466287</v>
      </c>
      <c r="G82" s="447">
        <v>335878.77700000006</v>
      </c>
      <c r="H82" s="448">
        <v>0.5716043714756225</v>
      </c>
      <c r="I82" s="449">
        <v>5181.58</v>
      </c>
      <c r="J82" s="449">
        <v>545.61</v>
      </c>
      <c r="K82" s="447">
        <v>2419256.5099146627</v>
      </c>
      <c r="L82" s="447">
        <v>1935405.2079317302</v>
      </c>
      <c r="M82" s="447">
        <v>699282.1162227707</v>
      </c>
      <c r="N82" s="447">
        <v>483851.30198293243</v>
      </c>
      <c r="O82" s="450">
        <v>1.4452417785318628</v>
      </c>
      <c r="P82" s="451">
        <v>0.6574180348320775</v>
      </c>
      <c r="Q82" s="452">
        <v>0.3425320624781676</v>
      </c>
      <c r="R82" s="447">
        <v>2634687.324154501</v>
      </c>
      <c r="S82" s="447">
        <v>1781048.6311284427</v>
      </c>
      <c r="T82" s="447">
        <v>132530.85282214996</v>
      </c>
      <c r="U82" s="447">
        <v>505243.59418809623</v>
      </c>
      <c r="V82" s="447">
        <v>600708.7099072263</v>
      </c>
      <c r="W82" s="450">
        <v>0.8410791883908697</v>
      </c>
      <c r="X82" s="452">
        <v>14.764725500000466</v>
      </c>
      <c r="Y82" s="447">
        <v>132530.85282214996</v>
      </c>
      <c r="Z82" s="447">
        <v>252929.98311883208</v>
      </c>
      <c r="AA82" s="448">
        <v>0.5239823732557798</v>
      </c>
      <c r="AB82" s="448">
        <v>0.04121962173761166</v>
      </c>
      <c r="AC82" s="449">
        <v>587</v>
      </c>
      <c r="AD82" s="449">
        <v>239</v>
      </c>
      <c r="AE82" s="447">
        <v>2418823.078138689</v>
      </c>
      <c r="AF82" s="447">
        <v>34905.192705837784</v>
      </c>
      <c r="AG82" s="451">
        <v>0.25</v>
      </c>
      <c r="AH82" s="450">
        <v>0.07104449698689011</v>
      </c>
      <c r="AI82" s="452">
        <v>0.059827275574207306</v>
      </c>
      <c r="AJ82" s="447">
        <v>2453728.270844527</v>
      </c>
      <c r="AK82" s="453">
        <v>1.0703</v>
      </c>
      <c r="AL82" s="447">
        <v>2626225.3682848974</v>
      </c>
      <c r="AM82" s="447">
        <v>6178095.214372867</v>
      </c>
      <c r="AN82" s="447">
        <v>6117116.191881096</v>
      </c>
      <c r="AO82" s="447">
        <v>6063618.2300487915</v>
      </c>
      <c r="AP82" s="447">
        <v>6117116.191881096</v>
      </c>
      <c r="AQ82" s="447">
        <v>40078</v>
      </c>
      <c r="AR82" s="447">
        <v>6157194.191881096</v>
      </c>
      <c r="AS82" s="454">
        <v>614.5211030371871</v>
      </c>
      <c r="AT82" s="450">
        <v>10017</v>
      </c>
      <c r="AU82" s="450">
        <v>126</v>
      </c>
      <c r="AV82" s="450">
        <v>212</v>
      </c>
      <c r="AW82" s="450">
        <v>89</v>
      </c>
      <c r="AX82" s="450">
        <v>634</v>
      </c>
      <c r="AY82" s="450">
        <v>1192</v>
      </c>
      <c r="AZ82" s="450">
        <v>480</v>
      </c>
      <c r="BA82" s="450">
        <v>244</v>
      </c>
      <c r="BB82" s="450">
        <v>785</v>
      </c>
      <c r="BC82" s="450">
        <v>75</v>
      </c>
      <c r="BD82" s="450">
        <v>2315</v>
      </c>
      <c r="BE82" s="450">
        <v>2822</v>
      </c>
      <c r="BF82" s="450">
        <v>610</v>
      </c>
      <c r="BG82" s="450">
        <v>393</v>
      </c>
      <c r="BH82" s="450">
        <v>0</v>
      </c>
      <c r="BI82" s="450">
        <v>40</v>
      </c>
      <c r="BJ82" s="452">
        <v>1.7325865473908704</v>
      </c>
      <c r="BK82" s="452">
        <v>13.734815237551064</v>
      </c>
      <c r="BL82" s="452">
        <v>4.988562252643971</v>
      </c>
      <c r="BM82" s="452">
        <v>17.49250596981419</v>
      </c>
      <c r="BN82" s="449">
        <v>6585</v>
      </c>
      <c r="BO82" s="449">
        <v>3432</v>
      </c>
      <c r="BP82" s="447">
        <v>3220680.8767332253</v>
      </c>
      <c r="BQ82" s="447">
        <v>11305927</v>
      </c>
      <c r="BR82" s="447">
        <v>13408611</v>
      </c>
      <c r="BS82" s="448">
        <v>0.04122990915443746</v>
      </c>
      <c r="BT82" s="449">
        <v>587</v>
      </c>
      <c r="BU82" s="449">
        <v>239</v>
      </c>
      <c r="BV82" s="447">
        <v>552835.8134171908</v>
      </c>
      <c r="BW82" s="448">
        <v>0.015505279137340337</v>
      </c>
      <c r="BX82" s="447">
        <v>33716.64308204641</v>
      </c>
      <c r="BY82" s="447">
        <v>15113160.333232462</v>
      </c>
      <c r="BZ82" s="455">
        <v>1.1433333333333333</v>
      </c>
      <c r="CA82" s="447">
        <v>17279379.98099578</v>
      </c>
      <c r="CB82" s="447">
        <v>12994562.119585244</v>
      </c>
      <c r="CC82" s="447">
        <v>12978657.808270814</v>
      </c>
      <c r="CD82" s="447">
        <v>12645336.422496988</v>
      </c>
      <c r="CE82" s="447">
        <v>12978657.808270814</v>
      </c>
      <c r="CF82" s="454">
        <v>1295.6631534661888</v>
      </c>
      <c r="CG82" s="450">
        <v>10017</v>
      </c>
      <c r="CH82" s="450">
        <v>126</v>
      </c>
      <c r="CI82" s="450">
        <v>212</v>
      </c>
      <c r="CJ82" s="450">
        <v>89</v>
      </c>
      <c r="CK82" s="450">
        <v>634</v>
      </c>
      <c r="CL82" s="450">
        <v>1192</v>
      </c>
      <c r="CM82" s="450">
        <v>480</v>
      </c>
      <c r="CN82" s="450">
        <v>244</v>
      </c>
      <c r="CO82" s="450">
        <v>785</v>
      </c>
      <c r="CP82" s="450">
        <v>75</v>
      </c>
      <c r="CQ82" s="450">
        <v>2315</v>
      </c>
      <c r="CR82" s="450">
        <v>2822</v>
      </c>
      <c r="CS82" s="450">
        <v>610</v>
      </c>
      <c r="CT82" s="450">
        <v>393</v>
      </c>
      <c r="CU82" s="450">
        <v>0</v>
      </c>
      <c r="CV82" s="450">
        <v>40</v>
      </c>
      <c r="CW82" s="447">
        <v>7954077.384227815</v>
      </c>
      <c r="CX82" s="452">
        <v>1.116137260555759</v>
      </c>
      <c r="CY82" s="452">
        <v>1.1433333333333333</v>
      </c>
      <c r="CZ82" s="447">
        <v>8877842.14188055</v>
      </c>
      <c r="DA82" s="454">
        <v>886.2775423660327</v>
      </c>
      <c r="DB82" s="449">
        <v>10019.5</v>
      </c>
      <c r="DC82" s="452">
        <v>0.9942562004092022</v>
      </c>
      <c r="DD82" s="454">
        <v>354.1</v>
      </c>
      <c r="DE82" s="447">
        <v>51781</v>
      </c>
      <c r="DF82" s="454">
        <v>59.59886329961418</v>
      </c>
      <c r="DG82" s="454">
        <v>62.16161442149759</v>
      </c>
      <c r="DH82" s="454">
        <v>63.52916993877052</v>
      </c>
      <c r="DI82" s="454">
        <v>64.92681167742346</v>
      </c>
      <c r="DJ82" s="454">
        <v>67.06939646277843</v>
      </c>
      <c r="DK82" s="454">
        <v>69.48389473543844</v>
      </c>
      <c r="DL82" s="454">
        <v>71.70737936697246</v>
      </c>
      <c r="DM82" s="454">
        <v>74.64738192101832</v>
      </c>
      <c r="DN82" s="454">
        <v>77.93186672554312</v>
      </c>
      <c r="DO82" s="454">
        <v>82.21811939544799</v>
      </c>
      <c r="DP82" s="454">
        <v>81.47815632088896</v>
      </c>
      <c r="DQ82" s="454">
        <v>85.6335422932543</v>
      </c>
      <c r="DR82" s="454">
        <v>90.8571883731428</v>
      </c>
      <c r="DS82" s="454">
        <v>49.63</v>
      </c>
      <c r="DT82" s="454">
        <v>52.00259099387704</v>
      </c>
      <c r="DU82" s="454">
        <v>54.455555071484675</v>
      </c>
      <c r="DV82" s="454">
        <v>57.60468939808551</v>
      </c>
      <c r="DW82" s="454">
        <v>61.07923486199113</v>
      </c>
      <c r="DX82" s="454">
        <v>64.47937187580777</v>
      </c>
      <c r="DY82" s="454">
        <v>68.62789728237637</v>
      </c>
      <c r="DZ82" s="454">
        <v>72.34578498088338</v>
      </c>
      <c r="EA82" s="454">
        <v>74.47497156979898</v>
      </c>
      <c r="EB82" s="454">
        <v>76.30419503258224</v>
      </c>
      <c r="EC82" s="454">
        <v>81.28327564204601</v>
      </c>
      <c r="ED82" s="454">
        <v>87.3954636854438</v>
      </c>
      <c r="EE82" s="454">
        <v>-4.71</v>
      </c>
      <c r="EF82" s="454">
        <v>82.6854636854438</v>
      </c>
      <c r="EG82" s="454">
        <v>4299.644111643078</v>
      </c>
      <c r="EH82" s="447">
        <v>42218678.49307566</v>
      </c>
      <c r="EI82" s="454">
        <v>49.63</v>
      </c>
      <c r="EJ82" s="454">
        <v>52.00259099387704</v>
      </c>
      <c r="EK82" s="454">
        <v>54.455555071484675</v>
      </c>
      <c r="EL82" s="454">
        <v>57.60468939808551</v>
      </c>
      <c r="EM82" s="454">
        <v>61.07923486199113</v>
      </c>
      <c r="EN82" s="454">
        <v>64.47937187580777</v>
      </c>
      <c r="EO82" s="454">
        <v>68.62789728237637</v>
      </c>
      <c r="EP82" s="454">
        <v>72.34578498088338</v>
      </c>
      <c r="EQ82" s="454">
        <v>74.47497156979898</v>
      </c>
      <c r="ER82" s="454">
        <v>76.30419503258224</v>
      </c>
      <c r="ES82" s="454">
        <v>81.28327564204601</v>
      </c>
      <c r="ET82" s="454">
        <v>87.3954636854438</v>
      </c>
      <c r="EU82" s="447">
        <v>43754770</v>
      </c>
      <c r="EV82" s="447">
        <v>0</v>
      </c>
      <c r="EW82" s="447">
        <v>0</v>
      </c>
      <c r="EX82" s="447">
        <v>0</v>
      </c>
      <c r="EY82" s="447">
        <v>0</v>
      </c>
      <c r="EZ82" s="447">
        <v>0</v>
      </c>
      <c r="FA82" s="447">
        <v>0</v>
      </c>
      <c r="FB82" s="447">
        <v>0</v>
      </c>
      <c r="FC82" s="447">
        <v>0</v>
      </c>
      <c r="FD82" s="447">
        <v>43754770</v>
      </c>
      <c r="FE82" s="447">
        <v>61911.29893538198</v>
      </c>
      <c r="FF82" s="447">
        <v>0</v>
      </c>
      <c r="FG82" s="447">
        <v>0</v>
      </c>
      <c r="FH82" s="447">
        <v>691109</v>
      </c>
      <c r="FI82" s="456">
        <v>0.05</v>
      </c>
      <c r="FJ82" s="447">
        <v>34555.45</v>
      </c>
      <c r="FK82" s="471">
        <v>34555.45</v>
      </c>
      <c r="FL82" s="446">
        <v>85.57</v>
      </c>
      <c r="FM82" s="450">
        <v>82.99</v>
      </c>
      <c r="FN82" s="450">
        <v>78.28</v>
      </c>
      <c r="FO82" s="450">
        <v>-4.71</v>
      </c>
      <c r="FP82" s="472">
        <v>74.98</v>
      </c>
      <c r="FQ82" s="446">
        <v>135</v>
      </c>
      <c r="FR82" s="450">
        <v>79</v>
      </c>
      <c r="FS82" s="450">
        <v>1494</v>
      </c>
      <c r="FT82" s="450">
        <v>1494</v>
      </c>
      <c r="FU82" s="450">
        <v>1494</v>
      </c>
      <c r="FV82" s="450">
        <v>1494</v>
      </c>
      <c r="FW82" s="450">
        <v>1494</v>
      </c>
      <c r="FX82" s="450">
        <v>1494</v>
      </c>
      <c r="FY82" s="450">
        <v>1494</v>
      </c>
      <c r="FZ82" s="450">
        <v>1494</v>
      </c>
      <c r="GA82" s="450">
        <v>1494</v>
      </c>
      <c r="GB82" s="450">
        <v>1450</v>
      </c>
      <c r="GC82" s="450">
        <v>1450</v>
      </c>
      <c r="GD82" s="450">
        <v>1450</v>
      </c>
      <c r="GE82" s="450">
        <v>1450</v>
      </c>
      <c r="GF82" s="450">
        <v>1450</v>
      </c>
      <c r="GG82" s="450">
        <v>1450</v>
      </c>
      <c r="GH82" s="450">
        <v>1450</v>
      </c>
      <c r="GI82" s="450">
        <v>1450</v>
      </c>
      <c r="GJ82" s="450">
        <v>1450</v>
      </c>
      <c r="GK82" s="450">
        <v>1450</v>
      </c>
      <c r="GL82" s="450">
        <v>1450</v>
      </c>
      <c r="GM82" s="450">
        <v>1447</v>
      </c>
      <c r="GN82" s="450">
        <v>1439</v>
      </c>
      <c r="GO82" s="450">
        <v>1439</v>
      </c>
      <c r="GP82" s="450">
        <v>1439</v>
      </c>
      <c r="GQ82" s="450">
        <v>1439</v>
      </c>
      <c r="GR82" s="450">
        <v>1439</v>
      </c>
      <c r="GS82" s="450">
        <v>1439</v>
      </c>
      <c r="GT82" s="450">
        <v>1439</v>
      </c>
      <c r="GU82" s="450">
        <v>1439</v>
      </c>
      <c r="GV82" s="450">
        <v>1439</v>
      </c>
      <c r="GW82" s="450">
        <v>0</v>
      </c>
      <c r="GX82" s="450">
        <v>13050341</v>
      </c>
      <c r="GY82" s="450">
        <v>15164341</v>
      </c>
      <c r="GZ82" s="450">
        <v>62</v>
      </c>
      <c r="HA82" s="450" t="s">
        <v>888</v>
      </c>
      <c r="HB82" s="450" t="s">
        <v>888</v>
      </c>
      <c r="HC82" s="450">
        <v>62</v>
      </c>
      <c r="HD82" s="450">
        <v>0</v>
      </c>
      <c r="HE82" s="450">
        <v>0</v>
      </c>
      <c r="HF82" s="450">
        <v>0</v>
      </c>
      <c r="HG82" s="472">
        <v>0</v>
      </c>
    </row>
    <row r="83" spans="2:215" ht="12.75">
      <c r="B83" s="445" t="s">
        <v>761</v>
      </c>
      <c r="C83" s="446">
        <v>4103</v>
      </c>
      <c r="D83" s="447">
        <v>986799</v>
      </c>
      <c r="E83" s="447">
        <v>846673.542</v>
      </c>
      <c r="F83" s="447">
        <v>99218.93625029018</v>
      </c>
      <c r="G83" s="447">
        <v>140125.458</v>
      </c>
      <c r="H83" s="448">
        <v>0.348757007067999</v>
      </c>
      <c r="I83" s="449">
        <v>1051.09</v>
      </c>
      <c r="J83" s="449">
        <v>379.86</v>
      </c>
      <c r="K83" s="447">
        <v>945892.4782502902</v>
      </c>
      <c r="L83" s="447">
        <v>756713.9826002321</v>
      </c>
      <c r="M83" s="447">
        <v>200207.37602039526</v>
      </c>
      <c r="N83" s="447">
        <v>189178.495650058</v>
      </c>
      <c r="O83" s="450">
        <v>1.0582988057518887</v>
      </c>
      <c r="P83" s="451">
        <v>0.9551547648062393</v>
      </c>
      <c r="Q83" s="452">
        <v>0.044845235193760664</v>
      </c>
      <c r="R83" s="447">
        <v>956921.3586206273</v>
      </c>
      <c r="S83" s="447">
        <v>646878.8384275441</v>
      </c>
      <c r="T83" s="447">
        <v>103600.06394324847</v>
      </c>
      <c r="U83" s="447">
        <v>159738.4995079575</v>
      </c>
      <c r="V83" s="447">
        <v>218178.06976550302</v>
      </c>
      <c r="W83" s="450">
        <v>0.7321473678800249</v>
      </c>
      <c r="X83" s="452">
        <v>12.852481741912726</v>
      </c>
      <c r="Y83" s="447">
        <v>103600.06394324847</v>
      </c>
      <c r="Z83" s="447">
        <v>91864.45042758022</v>
      </c>
      <c r="AA83" s="448">
        <v>1.1277492377197622</v>
      </c>
      <c r="AB83" s="448">
        <v>0.08871557397026567</v>
      </c>
      <c r="AC83" s="449">
        <v>360</v>
      </c>
      <c r="AD83" s="449">
        <v>368</v>
      </c>
      <c r="AE83" s="447">
        <v>910217.4018787501</v>
      </c>
      <c r="AF83" s="447">
        <v>0</v>
      </c>
      <c r="AG83" s="451">
        <v>0</v>
      </c>
      <c r="AH83" s="450">
        <v>0.0644311958797474</v>
      </c>
      <c r="AI83" s="452">
        <v>0.05425814911723137</v>
      </c>
      <c r="AJ83" s="447">
        <v>910217.4018787501</v>
      </c>
      <c r="AK83" s="453">
        <v>1</v>
      </c>
      <c r="AL83" s="447">
        <v>910217.4018787501</v>
      </c>
      <c r="AM83" s="447">
        <v>2141251.79144792</v>
      </c>
      <c r="AN83" s="447">
        <v>2120117.2124845716</v>
      </c>
      <c r="AO83" s="447">
        <v>2050742.8681400206</v>
      </c>
      <c r="AP83" s="447">
        <v>2120117.2124845716</v>
      </c>
      <c r="AQ83" s="447">
        <v>16412</v>
      </c>
      <c r="AR83" s="447">
        <v>2136529.2124845716</v>
      </c>
      <c r="AS83" s="454">
        <v>520.7236686533199</v>
      </c>
      <c r="AT83" s="450">
        <v>4103</v>
      </c>
      <c r="AU83" s="450">
        <v>57</v>
      </c>
      <c r="AV83" s="450">
        <v>185</v>
      </c>
      <c r="AW83" s="450">
        <v>170</v>
      </c>
      <c r="AX83" s="450">
        <v>50</v>
      </c>
      <c r="AY83" s="450">
        <v>805</v>
      </c>
      <c r="AZ83" s="450">
        <v>124</v>
      </c>
      <c r="BA83" s="450">
        <v>66</v>
      </c>
      <c r="BB83" s="450">
        <v>668</v>
      </c>
      <c r="BC83" s="450">
        <v>46</v>
      </c>
      <c r="BD83" s="450">
        <v>951</v>
      </c>
      <c r="BE83" s="450">
        <v>184</v>
      </c>
      <c r="BF83" s="450">
        <v>0</v>
      </c>
      <c r="BG83" s="450">
        <v>797</v>
      </c>
      <c r="BH83" s="450">
        <v>0</v>
      </c>
      <c r="BI83" s="450">
        <v>0</v>
      </c>
      <c r="BJ83" s="452">
        <v>1.3004277958370443</v>
      </c>
      <c r="BK83" s="452">
        <v>9.277863927322134</v>
      </c>
      <c r="BL83" s="452">
        <v>5.785721820659856</v>
      </c>
      <c r="BM83" s="452">
        <v>6.984284213324557</v>
      </c>
      <c r="BN83" s="449">
        <v>3919</v>
      </c>
      <c r="BO83" s="449">
        <v>184</v>
      </c>
      <c r="BP83" s="447">
        <v>1099921.3361359097</v>
      </c>
      <c r="BQ83" s="447">
        <v>4226704</v>
      </c>
      <c r="BR83" s="447">
        <v>5637440</v>
      </c>
      <c r="BS83" s="448">
        <v>0.08871557397026567</v>
      </c>
      <c r="BT83" s="449">
        <v>360</v>
      </c>
      <c r="BU83" s="449">
        <v>368</v>
      </c>
      <c r="BV83" s="447">
        <v>500128.72532293445</v>
      </c>
      <c r="BW83" s="448">
        <v>0.00847569183070616</v>
      </c>
      <c r="BX83" s="447">
        <v>5099.515515507971</v>
      </c>
      <c r="BY83" s="447">
        <v>5831853.576974352</v>
      </c>
      <c r="BZ83" s="455">
        <v>0.9133333333333334</v>
      </c>
      <c r="CA83" s="447">
        <v>5326426.266969909</v>
      </c>
      <c r="CB83" s="447">
        <v>4005616.9305643276</v>
      </c>
      <c r="CC83" s="447">
        <v>4000714.373780669</v>
      </c>
      <c r="CD83" s="447">
        <v>3977884.8086999794</v>
      </c>
      <c r="CE83" s="447">
        <v>4000714.373780669</v>
      </c>
      <c r="CF83" s="454">
        <v>975.0705273655055</v>
      </c>
      <c r="CG83" s="450">
        <v>4103</v>
      </c>
      <c r="CH83" s="450">
        <v>57</v>
      </c>
      <c r="CI83" s="450">
        <v>185</v>
      </c>
      <c r="CJ83" s="450">
        <v>170</v>
      </c>
      <c r="CK83" s="450">
        <v>50</v>
      </c>
      <c r="CL83" s="450">
        <v>805</v>
      </c>
      <c r="CM83" s="450">
        <v>124</v>
      </c>
      <c r="CN83" s="450">
        <v>66</v>
      </c>
      <c r="CO83" s="450">
        <v>668</v>
      </c>
      <c r="CP83" s="450">
        <v>46</v>
      </c>
      <c r="CQ83" s="450">
        <v>951</v>
      </c>
      <c r="CR83" s="450">
        <v>184</v>
      </c>
      <c r="CS83" s="450">
        <v>0</v>
      </c>
      <c r="CT83" s="450">
        <v>797</v>
      </c>
      <c r="CU83" s="450">
        <v>0</v>
      </c>
      <c r="CV83" s="450">
        <v>0</v>
      </c>
      <c r="CW83" s="447">
        <v>2954477.0885542817</v>
      </c>
      <c r="CX83" s="452">
        <v>0.8916081906480408</v>
      </c>
      <c r="CY83" s="452">
        <v>0.9133333333333334</v>
      </c>
      <c r="CZ83" s="447">
        <v>2634235.9712369745</v>
      </c>
      <c r="DA83" s="454">
        <v>642.0268026412319</v>
      </c>
      <c r="DB83" s="449">
        <v>4103</v>
      </c>
      <c r="DC83" s="452">
        <v>0.9968315866439191</v>
      </c>
      <c r="DD83" s="454">
        <v>321.1</v>
      </c>
      <c r="DE83" s="447">
        <v>19940</v>
      </c>
      <c r="DF83" s="454">
        <v>45.24658537997262</v>
      </c>
      <c r="DG83" s="454">
        <v>47.19218855131144</v>
      </c>
      <c r="DH83" s="454">
        <v>48.23041669944028</v>
      </c>
      <c r="DI83" s="454">
        <v>49.29148586682796</v>
      </c>
      <c r="DJ83" s="454">
        <v>50.91810490043328</v>
      </c>
      <c r="DK83" s="454">
        <v>52.751156676848865</v>
      </c>
      <c r="DL83" s="454">
        <v>54.43919369050802</v>
      </c>
      <c r="DM83" s="454">
        <v>56.67120063181884</v>
      </c>
      <c r="DN83" s="454">
        <v>59.16473345961886</v>
      </c>
      <c r="DO83" s="454">
        <v>62.41879379989789</v>
      </c>
      <c r="DP83" s="454">
        <v>61.85702465569881</v>
      </c>
      <c r="DQ83" s="454">
        <v>65.01173291313944</v>
      </c>
      <c r="DR83" s="454">
        <v>68.97744862084095</v>
      </c>
      <c r="DS83" s="454">
        <v>39.34</v>
      </c>
      <c r="DT83" s="454">
        <v>41.00797366994402</v>
      </c>
      <c r="DU83" s="454">
        <v>42.73029762136558</v>
      </c>
      <c r="DV83" s="454">
        <v>44.987610875065975</v>
      </c>
      <c r="DW83" s="454">
        <v>47.4848779823227</v>
      </c>
      <c r="DX83" s="454">
        <v>49.910194013215516</v>
      </c>
      <c r="DY83" s="454">
        <v>52.89944970056965</v>
      </c>
      <c r="DZ83" s="454">
        <v>55.66454859541961</v>
      </c>
      <c r="EA83" s="454">
        <v>57.246677430491694</v>
      </c>
      <c r="EB83" s="454">
        <v>58.401023236575426</v>
      </c>
      <c r="EC83" s="454">
        <v>62.1059269199405</v>
      </c>
      <c r="ED83" s="454">
        <v>66.66515350175288</v>
      </c>
      <c r="EE83" s="454">
        <v>-0.05</v>
      </c>
      <c r="EF83" s="454">
        <v>66.61515350175289</v>
      </c>
      <c r="EG83" s="454">
        <v>3463.98798209115</v>
      </c>
      <c r="EH83" s="447">
        <v>13928487.836709589</v>
      </c>
      <c r="EI83" s="454">
        <v>42.83</v>
      </c>
      <c r="EJ83" s="454">
        <v>44.21807566994402</v>
      </c>
      <c r="EK83" s="454">
        <v>45.64649694936558</v>
      </c>
      <c r="EL83" s="454">
        <v>47.62349054266197</v>
      </c>
      <c r="EM83" s="454">
        <v>49.82553912714794</v>
      </c>
      <c r="EN83" s="454">
        <v>51.92316259776523</v>
      </c>
      <c r="EO83" s="454">
        <v>54.57584993778265</v>
      </c>
      <c r="EP83" s="454">
        <v>57.220248015553274</v>
      </c>
      <c r="EQ83" s="454">
        <v>58.73029611082583</v>
      </c>
      <c r="ER83" s="454">
        <v>59.39237530572104</v>
      </c>
      <c r="ES83" s="454">
        <v>62.93945573967814</v>
      </c>
      <c r="ET83" s="454">
        <v>67.32843406005912</v>
      </c>
      <c r="EU83" s="447">
        <v>30750844</v>
      </c>
      <c r="EV83" s="447">
        <v>0</v>
      </c>
      <c r="EW83" s="447">
        <v>0</v>
      </c>
      <c r="EX83" s="447">
        <v>0</v>
      </c>
      <c r="EY83" s="447">
        <v>0</v>
      </c>
      <c r="EZ83" s="447">
        <v>0</v>
      </c>
      <c r="FA83" s="447">
        <v>0</v>
      </c>
      <c r="FB83" s="447">
        <v>0</v>
      </c>
      <c r="FC83" s="447">
        <v>0</v>
      </c>
      <c r="FD83" s="447">
        <v>30750844</v>
      </c>
      <c r="FE83" s="447">
        <v>55554.53307927806</v>
      </c>
      <c r="FF83" s="447">
        <v>0</v>
      </c>
      <c r="FG83" s="447">
        <v>0</v>
      </c>
      <c r="FH83" s="447">
        <v>19620</v>
      </c>
      <c r="FI83" s="456">
        <v>0.0729</v>
      </c>
      <c r="FJ83" s="447">
        <v>1430.2980000000002</v>
      </c>
      <c r="FK83" s="471">
        <v>1430.2980000000002</v>
      </c>
      <c r="FL83" s="446">
        <v>65.01</v>
      </c>
      <c r="FM83" s="450">
        <v>63.11</v>
      </c>
      <c r="FN83" s="450">
        <v>63.06</v>
      </c>
      <c r="FO83" s="450">
        <v>-0.05</v>
      </c>
      <c r="FP83" s="472">
        <v>63.06</v>
      </c>
      <c r="FQ83" s="446">
        <v>0</v>
      </c>
      <c r="FR83" s="450">
        <v>0</v>
      </c>
      <c r="FS83" s="450">
        <v>0</v>
      </c>
      <c r="FT83" s="450">
        <v>0</v>
      </c>
      <c r="FU83" s="450">
        <v>0</v>
      </c>
      <c r="FV83" s="450">
        <v>0</v>
      </c>
      <c r="FW83" s="450">
        <v>0</v>
      </c>
      <c r="FX83" s="450">
        <v>0</v>
      </c>
      <c r="FY83" s="450">
        <v>0</v>
      </c>
      <c r="FZ83" s="450">
        <v>0</v>
      </c>
      <c r="GA83" s="450">
        <v>0</v>
      </c>
      <c r="GB83" s="450">
        <v>0</v>
      </c>
      <c r="GC83" s="450">
        <v>0</v>
      </c>
      <c r="GD83" s="450">
        <v>0</v>
      </c>
      <c r="GE83" s="450">
        <v>0</v>
      </c>
      <c r="GF83" s="450">
        <v>0</v>
      </c>
      <c r="GG83" s="450">
        <v>0</v>
      </c>
      <c r="GH83" s="450">
        <v>0</v>
      </c>
      <c r="GI83" s="450">
        <v>0</v>
      </c>
      <c r="GJ83" s="450">
        <v>0</v>
      </c>
      <c r="GK83" s="450">
        <v>0</v>
      </c>
      <c r="GL83" s="450">
        <v>0</v>
      </c>
      <c r="GM83" s="450">
        <v>0</v>
      </c>
      <c r="GN83" s="450">
        <v>0</v>
      </c>
      <c r="GO83" s="450">
        <v>0</v>
      </c>
      <c r="GP83" s="450">
        <v>0</v>
      </c>
      <c r="GQ83" s="450">
        <v>0</v>
      </c>
      <c r="GR83" s="450">
        <v>0</v>
      </c>
      <c r="GS83" s="450">
        <v>0</v>
      </c>
      <c r="GT83" s="450">
        <v>0</v>
      </c>
      <c r="GU83" s="450">
        <v>0</v>
      </c>
      <c r="GV83" s="450">
        <v>0</v>
      </c>
      <c r="GW83" s="450">
        <v>0</v>
      </c>
      <c r="GX83" s="450">
        <v>24466365</v>
      </c>
      <c r="GY83" s="450">
        <v>25823449</v>
      </c>
      <c r="GZ83" s="450">
        <v>0</v>
      </c>
      <c r="HA83" s="450" t="s">
        <v>888</v>
      </c>
      <c r="HB83" s="450" t="s">
        <v>888</v>
      </c>
      <c r="HC83" s="450">
        <v>0</v>
      </c>
      <c r="HD83" s="450">
        <v>0</v>
      </c>
      <c r="HE83" s="450">
        <v>0</v>
      </c>
      <c r="HF83" s="450">
        <v>0</v>
      </c>
      <c r="HG83" s="472">
        <v>0</v>
      </c>
    </row>
    <row r="84" spans="2:215" ht="12.75">
      <c r="B84" s="445" t="s">
        <v>762</v>
      </c>
      <c r="C84" s="446">
        <v>10327.98</v>
      </c>
      <c r="D84" s="447">
        <v>2437219.34</v>
      </c>
      <c r="E84" s="447">
        <v>2091134.1937199999</v>
      </c>
      <c r="F84" s="447">
        <v>364297.0659379444</v>
      </c>
      <c r="G84" s="447">
        <v>346085.14628000004</v>
      </c>
      <c r="H84" s="448">
        <v>0.5184634362188928</v>
      </c>
      <c r="I84" s="449">
        <v>4698.31</v>
      </c>
      <c r="J84" s="449">
        <v>656.37</v>
      </c>
      <c r="K84" s="447">
        <v>2455431.259657944</v>
      </c>
      <c r="L84" s="447">
        <v>1964345.0077263555</v>
      </c>
      <c r="M84" s="447">
        <v>657613.6942039254</v>
      </c>
      <c r="N84" s="447">
        <v>491086.2519315887</v>
      </c>
      <c r="O84" s="450">
        <v>1.3391001919058712</v>
      </c>
      <c r="P84" s="451">
        <v>0.7391571246265001</v>
      </c>
      <c r="Q84" s="452">
        <v>0.26084481186059616</v>
      </c>
      <c r="R84" s="447">
        <v>2621958.701930281</v>
      </c>
      <c r="S84" s="447">
        <v>1772444.08250487</v>
      </c>
      <c r="T84" s="447">
        <v>158467.42657328185</v>
      </c>
      <c r="U84" s="447">
        <v>781688.4953079002</v>
      </c>
      <c r="V84" s="447">
        <v>597806.5840401041</v>
      </c>
      <c r="W84" s="450">
        <v>1.3075943226069595</v>
      </c>
      <c r="X84" s="452">
        <v>22.954165915800456</v>
      </c>
      <c r="Y84" s="447">
        <v>158467.42657328185</v>
      </c>
      <c r="Z84" s="447">
        <v>251708.03538530695</v>
      </c>
      <c r="AA84" s="448">
        <v>0.6295684058345804</v>
      </c>
      <c r="AB84" s="448">
        <v>0.049525657485781346</v>
      </c>
      <c r="AC84" s="449">
        <v>549</v>
      </c>
      <c r="AD84" s="449">
        <v>474</v>
      </c>
      <c r="AE84" s="447">
        <v>2712600.004386052</v>
      </c>
      <c r="AF84" s="447">
        <v>74842.95717813632</v>
      </c>
      <c r="AG84" s="451">
        <v>0.5</v>
      </c>
      <c r="AH84" s="450">
        <v>0.0783430337493789</v>
      </c>
      <c r="AI84" s="452">
        <v>0.0659734457731247</v>
      </c>
      <c r="AJ84" s="447">
        <v>2787442.9615641884</v>
      </c>
      <c r="AK84" s="453">
        <v>1.1108</v>
      </c>
      <c r="AL84" s="447">
        <v>3096291.6417055004</v>
      </c>
      <c r="AM84" s="447">
        <v>7283908.230014589</v>
      </c>
      <c r="AN84" s="447">
        <v>7212014.614203564</v>
      </c>
      <c r="AO84" s="447">
        <v>7100884.722748238</v>
      </c>
      <c r="AP84" s="447">
        <v>7212014.614203564</v>
      </c>
      <c r="AQ84" s="447">
        <v>41311.92</v>
      </c>
      <c r="AR84" s="447">
        <v>7253326.534203564</v>
      </c>
      <c r="AS84" s="454">
        <v>702.2986619071265</v>
      </c>
      <c r="AT84" s="450">
        <v>10277</v>
      </c>
      <c r="AU84" s="450">
        <v>382</v>
      </c>
      <c r="AV84" s="450">
        <v>966</v>
      </c>
      <c r="AW84" s="450">
        <v>469</v>
      </c>
      <c r="AX84" s="450">
        <v>145</v>
      </c>
      <c r="AY84" s="450">
        <v>1332</v>
      </c>
      <c r="AZ84" s="450">
        <v>675</v>
      </c>
      <c r="BA84" s="450">
        <v>351</v>
      </c>
      <c r="BB84" s="450">
        <v>166</v>
      </c>
      <c r="BC84" s="450">
        <v>81</v>
      </c>
      <c r="BD84" s="450">
        <v>2499</v>
      </c>
      <c r="BE84" s="450">
        <v>2151</v>
      </c>
      <c r="BF84" s="450">
        <v>543</v>
      </c>
      <c r="BG84" s="450">
        <v>517</v>
      </c>
      <c r="BH84" s="450">
        <v>0</v>
      </c>
      <c r="BI84" s="450">
        <v>0</v>
      </c>
      <c r="BJ84" s="452">
        <v>1.836601416015255</v>
      </c>
      <c r="BK84" s="452">
        <v>17.548399686492203</v>
      </c>
      <c r="BL84" s="452">
        <v>6.825423478257396</v>
      </c>
      <c r="BM84" s="452">
        <v>21.445952416469613</v>
      </c>
      <c r="BN84" s="449">
        <v>7583</v>
      </c>
      <c r="BO84" s="449">
        <v>2694</v>
      </c>
      <c r="BP84" s="447">
        <v>3697805.9445994506</v>
      </c>
      <c r="BQ84" s="447">
        <v>11317035</v>
      </c>
      <c r="BR84" s="447">
        <v>14024248</v>
      </c>
      <c r="BS84" s="448">
        <v>0.049771334046900845</v>
      </c>
      <c r="BT84" s="449">
        <v>549</v>
      </c>
      <c r="BU84" s="449">
        <v>474</v>
      </c>
      <c r="BV84" s="447">
        <v>698005.5319645811</v>
      </c>
      <c r="BW84" s="448">
        <v>0.008014769161572276</v>
      </c>
      <c r="BX84" s="447">
        <v>22845.419464018618</v>
      </c>
      <c r="BY84" s="447">
        <v>15735691.89602805</v>
      </c>
      <c r="BZ84" s="455">
        <v>1.1433333333333333</v>
      </c>
      <c r="CA84" s="447">
        <v>17991141.06779207</v>
      </c>
      <c r="CB84" s="447">
        <v>13529825.749810988</v>
      </c>
      <c r="CC84" s="447">
        <v>13513266.318352297</v>
      </c>
      <c r="CD84" s="447">
        <v>13413782.941325068</v>
      </c>
      <c r="CE84" s="447">
        <v>13513266.318352297</v>
      </c>
      <c r="CF84" s="454">
        <v>1314.903796667539</v>
      </c>
      <c r="CG84" s="450">
        <v>10277</v>
      </c>
      <c r="CH84" s="450">
        <v>382</v>
      </c>
      <c r="CI84" s="450">
        <v>966</v>
      </c>
      <c r="CJ84" s="450">
        <v>469</v>
      </c>
      <c r="CK84" s="450">
        <v>145</v>
      </c>
      <c r="CL84" s="450">
        <v>1332</v>
      </c>
      <c r="CM84" s="450">
        <v>675</v>
      </c>
      <c r="CN84" s="450">
        <v>351</v>
      </c>
      <c r="CO84" s="450">
        <v>166</v>
      </c>
      <c r="CP84" s="450">
        <v>81</v>
      </c>
      <c r="CQ84" s="450">
        <v>2499</v>
      </c>
      <c r="CR84" s="450">
        <v>2151</v>
      </c>
      <c r="CS84" s="450">
        <v>543</v>
      </c>
      <c r="CT84" s="450">
        <v>517</v>
      </c>
      <c r="CU84" s="450">
        <v>0</v>
      </c>
      <c r="CV84" s="450">
        <v>0</v>
      </c>
      <c r="CW84" s="447">
        <v>7782032.207036366</v>
      </c>
      <c r="CX84" s="452">
        <v>1.116137260555759</v>
      </c>
      <c r="CY84" s="452">
        <v>1.1433333333333333</v>
      </c>
      <c r="CZ84" s="447">
        <v>8685816.109118255</v>
      </c>
      <c r="DA84" s="454">
        <v>845.1703910789389</v>
      </c>
      <c r="DB84" s="449">
        <v>10327.98</v>
      </c>
      <c r="DC84" s="452">
        <v>0.9953866099663246</v>
      </c>
      <c r="DD84" s="454">
        <v>354.1</v>
      </c>
      <c r="DE84" s="447">
        <v>74691</v>
      </c>
      <c r="DF84" s="454">
        <v>67.19302735029268</v>
      </c>
      <c r="DG84" s="454">
        <v>70.08232752635526</v>
      </c>
      <c r="DH84" s="454">
        <v>71.62413873193506</v>
      </c>
      <c r="DI84" s="454">
        <v>73.19986978403762</v>
      </c>
      <c r="DJ84" s="454">
        <v>75.61546548691085</v>
      </c>
      <c r="DK84" s="454">
        <v>78.33762224443963</v>
      </c>
      <c r="DL84" s="454">
        <v>80.84442615626168</v>
      </c>
      <c r="DM84" s="454">
        <v>84.1590476286684</v>
      </c>
      <c r="DN84" s="454">
        <v>87.8620457243298</v>
      </c>
      <c r="DO84" s="454">
        <v>92.69445823916794</v>
      </c>
      <c r="DP84" s="454">
        <v>91.86020811501542</v>
      </c>
      <c r="DQ84" s="454">
        <v>96.54507872888121</v>
      </c>
      <c r="DR84" s="454">
        <v>102.43432853134296</v>
      </c>
      <c r="DS84" s="454">
        <v>53.25</v>
      </c>
      <c r="DT84" s="454">
        <v>56.1417638731935</v>
      </c>
      <c r="DU84" s="454">
        <v>59.13499235680751</v>
      </c>
      <c r="DV84" s="454">
        <v>62.90257440237323</v>
      </c>
      <c r="DW84" s="454">
        <v>67.04857496137022</v>
      </c>
      <c r="DX84" s="454">
        <v>71.135845492822</v>
      </c>
      <c r="DY84" s="454">
        <v>76.07374165215585</v>
      </c>
      <c r="DZ84" s="454">
        <v>80.35888177812615</v>
      </c>
      <c r="EA84" s="454">
        <v>82.81521747168418</v>
      </c>
      <c r="EB84" s="454">
        <v>85.25891230615773</v>
      </c>
      <c r="EC84" s="454">
        <v>90.99470921279365</v>
      </c>
      <c r="ED84" s="454">
        <v>98.01762198891629</v>
      </c>
      <c r="EE84" s="454">
        <v>0</v>
      </c>
      <c r="EF84" s="454">
        <v>98.01762198891629</v>
      </c>
      <c r="EG84" s="454">
        <v>5096.916343423647</v>
      </c>
      <c r="EH84" s="447">
        <v>51588033.05542151</v>
      </c>
      <c r="EI84" s="454">
        <v>71.12</v>
      </c>
      <c r="EJ84" s="454">
        <v>72.5785898731935</v>
      </c>
      <c r="EK84" s="454">
        <v>74.0669356208075</v>
      </c>
      <c r="EL84" s="454">
        <v>76.39918462012122</v>
      </c>
      <c r="EM84" s="454">
        <v>79.03356483473044</v>
      </c>
      <c r="EN84" s="454">
        <v>81.44293678391178</v>
      </c>
      <c r="EO84" s="454">
        <v>84.6574872793754</v>
      </c>
      <c r="EP84" s="454">
        <v>88.32459772018589</v>
      </c>
      <c r="EQ84" s="454">
        <v>90.4118552417618</v>
      </c>
      <c r="ER84" s="454">
        <v>90.3349757662242</v>
      </c>
      <c r="ES84" s="454">
        <v>95.26266337001755</v>
      </c>
      <c r="ET84" s="454">
        <v>101.4138465095272</v>
      </c>
      <c r="EU84" s="447">
        <v>105462689</v>
      </c>
      <c r="EV84" s="447">
        <v>0</v>
      </c>
      <c r="EW84" s="447">
        <v>0</v>
      </c>
      <c r="EX84" s="447">
        <v>389653</v>
      </c>
      <c r="EY84" s="447">
        <v>0</v>
      </c>
      <c r="EZ84" s="447">
        <v>0</v>
      </c>
      <c r="FA84" s="447">
        <v>0</v>
      </c>
      <c r="FB84" s="447">
        <v>0</v>
      </c>
      <c r="FC84" s="447">
        <v>0</v>
      </c>
      <c r="FD84" s="447">
        <v>105852342</v>
      </c>
      <c r="FE84" s="447">
        <v>92266.72586080086</v>
      </c>
      <c r="FF84" s="447">
        <v>0</v>
      </c>
      <c r="FG84" s="447">
        <v>0</v>
      </c>
      <c r="FH84" s="447">
        <v>126000</v>
      </c>
      <c r="FI84" s="456">
        <v>0.033</v>
      </c>
      <c r="FJ84" s="447">
        <v>4158</v>
      </c>
      <c r="FK84" s="471">
        <v>4158</v>
      </c>
      <c r="FL84" s="446">
        <v>96.52</v>
      </c>
      <c r="FM84" s="450">
        <v>94.79</v>
      </c>
      <c r="FN84" s="450">
        <v>94.71</v>
      </c>
      <c r="FO84" s="450">
        <v>-0.08</v>
      </c>
      <c r="FP84" s="472">
        <v>95.11</v>
      </c>
      <c r="FQ84" s="446">
        <v>366916</v>
      </c>
      <c r="FR84" s="450">
        <v>204163</v>
      </c>
      <c r="FS84" s="450">
        <v>0</v>
      </c>
      <c r="FT84" s="450">
        <v>0</v>
      </c>
      <c r="FU84" s="450">
        <v>0</v>
      </c>
      <c r="FV84" s="450">
        <v>0</v>
      </c>
      <c r="FW84" s="450">
        <v>0</v>
      </c>
      <c r="FX84" s="450">
        <v>0</v>
      </c>
      <c r="FY84" s="450">
        <v>0</v>
      </c>
      <c r="FZ84" s="450">
        <v>0</v>
      </c>
      <c r="GA84" s="450">
        <v>0</v>
      </c>
      <c r="GB84" s="450">
        <v>0</v>
      </c>
      <c r="GC84" s="450">
        <v>0</v>
      </c>
      <c r="GD84" s="450">
        <v>0</v>
      </c>
      <c r="GE84" s="450">
        <v>0</v>
      </c>
      <c r="GF84" s="450">
        <v>0</v>
      </c>
      <c r="GG84" s="450">
        <v>0</v>
      </c>
      <c r="GH84" s="450">
        <v>0</v>
      </c>
      <c r="GI84" s="450">
        <v>0</v>
      </c>
      <c r="GJ84" s="450">
        <v>0</v>
      </c>
      <c r="GK84" s="450">
        <v>0</v>
      </c>
      <c r="GL84" s="450">
        <v>0</v>
      </c>
      <c r="GM84" s="450">
        <v>0</v>
      </c>
      <c r="GN84" s="450">
        <v>0</v>
      </c>
      <c r="GO84" s="450">
        <v>0</v>
      </c>
      <c r="GP84" s="450">
        <v>0</v>
      </c>
      <c r="GQ84" s="450">
        <v>0</v>
      </c>
      <c r="GR84" s="450">
        <v>0</v>
      </c>
      <c r="GS84" s="450">
        <v>0</v>
      </c>
      <c r="GT84" s="450">
        <v>0</v>
      </c>
      <c r="GU84" s="450">
        <v>0</v>
      </c>
      <c r="GV84" s="450">
        <v>0</v>
      </c>
      <c r="GW84" s="450">
        <v>5823481</v>
      </c>
      <c r="GX84" s="450">
        <v>64271667</v>
      </c>
      <c r="GY84" s="450">
        <v>67751841</v>
      </c>
      <c r="GZ84" s="450">
        <v>0</v>
      </c>
      <c r="HA84" s="450" t="s">
        <v>888</v>
      </c>
      <c r="HB84" s="450" t="s">
        <v>888</v>
      </c>
      <c r="HC84" s="450">
        <v>0</v>
      </c>
      <c r="HD84" s="450">
        <v>0</v>
      </c>
      <c r="HE84" s="450">
        <v>0</v>
      </c>
      <c r="HF84" s="450">
        <v>0</v>
      </c>
      <c r="HG84" s="472">
        <v>0</v>
      </c>
    </row>
    <row r="85" spans="2:215" ht="12.75">
      <c r="B85" s="445" t="s">
        <v>763</v>
      </c>
      <c r="C85" s="446">
        <v>3393</v>
      </c>
      <c r="D85" s="447">
        <v>821369</v>
      </c>
      <c r="E85" s="447">
        <v>704734.602</v>
      </c>
      <c r="F85" s="447">
        <v>83718.79483782017</v>
      </c>
      <c r="G85" s="447">
        <v>116634.39800000002</v>
      </c>
      <c r="H85" s="448">
        <v>0.35354258768051877</v>
      </c>
      <c r="I85" s="449">
        <v>888.22</v>
      </c>
      <c r="J85" s="449">
        <v>311.35</v>
      </c>
      <c r="K85" s="447">
        <v>788453.3968378201</v>
      </c>
      <c r="L85" s="447">
        <v>630762.7174702561</v>
      </c>
      <c r="M85" s="447">
        <v>161980.34918944023</v>
      </c>
      <c r="N85" s="447">
        <v>157690.67936756398</v>
      </c>
      <c r="O85" s="450">
        <v>1.0272030651340995</v>
      </c>
      <c r="P85" s="451">
        <v>0.9790745652814619</v>
      </c>
      <c r="Q85" s="452">
        <v>0.020925434718538166</v>
      </c>
      <c r="R85" s="447">
        <v>792743.0666596964</v>
      </c>
      <c r="S85" s="447">
        <v>535894.3130619548</v>
      </c>
      <c r="T85" s="447">
        <v>74702.26889382215</v>
      </c>
      <c r="U85" s="447">
        <v>124369.20890557933</v>
      </c>
      <c r="V85" s="447">
        <v>180745.4191984108</v>
      </c>
      <c r="W85" s="450">
        <v>0.6880905168006208</v>
      </c>
      <c r="X85" s="452">
        <v>12.0790857031565</v>
      </c>
      <c r="Y85" s="447">
        <v>74702.26889382215</v>
      </c>
      <c r="Z85" s="447">
        <v>76103.33439933085</v>
      </c>
      <c r="AA85" s="448">
        <v>0.9815899590133988</v>
      </c>
      <c r="AB85" s="448">
        <v>0.07721780135573239</v>
      </c>
      <c r="AC85" s="449">
        <v>269</v>
      </c>
      <c r="AD85" s="449">
        <v>255</v>
      </c>
      <c r="AE85" s="447">
        <v>734965.7908613563</v>
      </c>
      <c r="AF85" s="447">
        <v>0</v>
      </c>
      <c r="AG85" s="451">
        <v>0</v>
      </c>
      <c r="AH85" s="450">
        <v>0.012044971169485838</v>
      </c>
      <c r="AI85" s="452">
        <v>0.010143189691007137</v>
      </c>
      <c r="AJ85" s="447">
        <v>734965.7908613563</v>
      </c>
      <c r="AK85" s="453">
        <v>1</v>
      </c>
      <c r="AL85" s="447">
        <v>734965.7908613563</v>
      </c>
      <c r="AM85" s="447">
        <v>1728979.0472984773</v>
      </c>
      <c r="AN85" s="447">
        <v>1711913.6819140564</v>
      </c>
      <c r="AO85" s="447">
        <v>1657437.3987494458</v>
      </c>
      <c r="AP85" s="447">
        <v>1711913.6819140564</v>
      </c>
      <c r="AQ85" s="447">
        <v>13572</v>
      </c>
      <c r="AR85" s="447">
        <v>1725485.6819140564</v>
      </c>
      <c r="AS85" s="454">
        <v>508.5427886572521</v>
      </c>
      <c r="AT85" s="450">
        <v>3393</v>
      </c>
      <c r="AU85" s="450">
        <v>85</v>
      </c>
      <c r="AV85" s="450">
        <v>473</v>
      </c>
      <c r="AW85" s="450">
        <v>131</v>
      </c>
      <c r="AX85" s="450">
        <v>13</v>
      </c>
      <c r="AY85" s="450">
        <v>587</v>
      </c>
      <c r="AZ85" s="450">
        <v>144</v>
      </c>
      <c r="BA85" s="450">
        <v>122</v>
      </c>
      <c r="BB85" s="450">
        <v>135</v>
      </c>
      <c r="BC85" s="450">
        <v>18</v>
      </c>
      <c r="BD85" s="450">
        <v>909</v>
      </c>
      <c r="BE85" s="450">
        <v>71</v>
      </c>
      <c r="BF85" s="450">
        <v>0</v>
      </c>
      <c r="BG85" s="450">
        <v>691</v>
      </c>
      <c r="BH85" s="450">
        <v>0</v>
      </c>
      <c r="BI85" s="450">
        <v>14</v>
      </c>
      <c r="BJ85" s="452">
        <v>1.2964026290649693</v>
      </c>
      <c r="BK85" s="452">
        <v>9.655532999025356</v>
      </c>
      <c r="BL85" s="452">
        <v>5.511071160241703</v>
      </c>
      <c r="BM85" s="452">
        <v>8.288923677567306</v>
      </c>
      <c r="BN85" s="449">
        <v>3322</v>
      </c>
      <c r="BO85" s="449">
        <v>71</v>
      </c>
      <c r="BP85" s="447">
        <v>930463.1697509132</v>
      </c>
      <c r="BQ85" s="447">
        <v>3402430</v>
      </c>
      <c r="BR85" s="447">
        <v>4621598</v>
      </c>
      <c r="BS85" s="448">
        <v>0.07721780135573239</v>
      </c>
      <c r="BT85" s="449">
        <v>269</v>
      </c>
      <c r="BU85" s="449">
        <v>255</v>
      </c>
      <c r="BV85" s="447">
        <v>356869.6363100501</v>
      </c>
      <c r="BW85" s="448">
        <v>0.02524999539567992</v>
      </c>
      <c r="BX85" s="447">
        <v>13074.517160946783</v>
      </c>
      <c r="BY85" s="447">
        <v>4702837.32322191</v>
      </c>
      <c r="BZ85" s="455">
        <v>0.91</v>
      </c>
      <c r="CA85" s="447">
        <v>4279581.964131938</v>
      </c>
      <c r="CB85" s="447">
        <v>3218361.639128924</v>
      </c>
      <c r="CC85" s="447">
        <v>3214422.620256254</v>
      </c>
      <c r="CD85" s="447">
        <v>3164449.10566455</v>
      </c>
      <c r="CE85" s="447">
        <v>3214422.620256254</v>
      </c>
      <c r="CF85" s="454">
        <v>947.3688830699245</v>
      </c>
      <c r="CG85" s="450">
        <v>3393</v>
      </c>
      <c r="CH85" s="450">
        <v>85</v>
      </c>
      <c r="CI85" s="450">
        <v>473</v>
      </c>
      <c r="CJ85" s="450">
        <v>131</v>
      </c>
      <c r="CK85" s="450">
        <v>13</v>
      </c>
      <c r="CL85" s="450">
        <v>587</v>
      </c>
      <c r="CM85" s="450">
        <v>144</v>
      </c>
      <c r="CN85" s="450">
        <v>122</v>
      </c>
      <c r="CO85" s="450">
        <v>135</v>
      </c>
      <c r="CP85" s="450">
        <v>18</v>
      </c>
      <c r="CQ85" s="450">
        <v>909</v>
      </c>
      <c r="CR85" s="450">
        <v>71</v>
      </c>
      <c r="CS85" s="450">
        <v>0</v>
      </c>
      <c r="CT85" s="450">
        <v>691</v>
      </c>
      <c r="CU85" s="450">
        <v>0</v>
      </c>
      <c r="CV85" s="450">
        <v>14</v>
      </c>
      <c r="CW85" s="447">
        <v>2387544.0560963755</v>
      </c>
      <c r="CX85" s="452">
        <v>0.8883541461566244</v>
      </c>
      <c r="CY85" s="452">
        <v>0.91</v>
      </c>
      <c r="CZ85" s="447">
        <v>2120984.6613648194</v>
      </c>
      <c r="DA85" s="454">
        <v>625.1060009916945</v>
      </c>
      <c r="DB85" s="449">
        <v>3393</v>
      </c>
      <c r="DC85" s="452">
        <v>1.0144120247568522</v>
      </c>
      <c r="DD85" s="454">
        <v>303.1</v>
      </c>
      <c r="DE85" s="447">
        <v>34924</v>
      </c>
      <c r="DF85" s="454">
        <v>48.65749251685207</v>
      </c>
      <c r="DG85" s="454">
        <v>50.749764695076706</v>
      </c>
      <c r="DH85" s="454">
        <v>51.86625951836838</v>
      </c>
      <c r="DI85" s="454">
        <v>53.007317227772475</v>
      </c>
      <c r="DJ85" s="454">
        <v>54.75655869628896</v>
      </c>
      <c r="DK85" s="454">
        <v>56.72779480935535</v>
      </c>
      <c r="DL85" s="454">
        <v>58.54308424325471</v>
      </c>
      <c r="DM85" s="454">
        <v>60.94335069722815</v>
      </c>
      <c r="DN85" s="454">
        <v>63.62485812790617</v>
      </c>
      <c r="DO85" s="454">
        <v>67.12422532494101</v>
      </c>
      <c r="DP85" s="454">
        <v>66.52010729701654</v>
      </c>
      <c r="DQ85" s="454">
        <v>69.91263276916438</v>
      </c>
      <c r="DR85" s="454">
        <v>74.1773033680834</v>
      </c>
      <c r="DS85" s="454">
        <v>38.21</v>
      </c>
      <c r="DT85" s="454">
        <v>40.33218395183683</v>
      </c>
      <c r="DU85" s="454">
        <v>42.52925035755449</v>
      </c>
      <c r="DV85" s="454">
        <v>45.285696003970685</v>
      </c>
      <c r="DW85" s="454">
        <v>48.31766873857673</v>
      </c>
      <c r="DX85" s="454">
        <v>51.3103758223851</v>
      </c>
      <c r="DY85" s="454">
        <v>54.91995112432794</v>
      </c>
      <c r="DZ85" s="454">
        <v>58.03514332425478</v>
      </c>
      <c r="EA85" s="454">
        <v>59.82113003856038</v>
      </c>
      <c r="EB85" s="454">
        <v>61.640188542090605</v>
      </c>
      <c r="EC85" s="454">
        <v>65.80959708002266</v>
      </c>
      <c r="ED85" s="454">
        <v>70.91231271844887</v>
      </c>
      <c r="EE85" s="454">
        <v>0</v>
      </c>
      <c r="EF85" s="454">
        <v>70.91231271844887</v>
      </c>
      <c r="EG85" s="454">
        <v>3687.4402613593415</v>
      </c>
      <c r="EH85" s="447">
        <v>12261255.110656401</v>
      </c>
      <c r="EI85" s="454">
        <v>39.49</v>
      </c>
      <c r="EJ85" s="454">
        <v>41.50952795183684</v>
      </c>
      <c r="EK85" s="454">
        <v>43.59880197355449</v>
      </c>
      <c r="EL85" s="454">
        <v>46.25243697088268</v>
      </c>
      <c r="EM85" s="454">
        <v>49.17613471719457</v>
      </c>
      <c r="EN85" s="454">
        <v>52.04865656399644</v>
      </c>
      <c r="EO85" s="454">
        <v>55.53479132594186</v>
      </c>
      <c r="EP85" s="454">
        <v>58.605715031352496</v>
      </c>
      <c r="EQ85" s="454">
        <v>60.365265256562566</v>
      </c>
      <c r="ER85" s="454">
        <v>62.00377898578869</v>
      </c>
      <c r="ES85" s="454">
        <v>66.115303925084</v>
      </c>
      <c r="ET85" s="454">
        <v>71.15557894040644</v>
      </c>
      <c r="EU85" s="447">
        <v>4262459</v>
      </c>
      <c r="EV85" s="447">
        <v>0</v>
      </c>
      <c r="EW85" s="447">
        <v>0</v>
      </c>
      <c r="EX85" s="447">
        <v>0</v>
      </c>
      <c r="EY85" s="447">
        <v>0</v>
      </c>
      <c r="EZ85" s="447">
        <v>0</v>
      </c>
      <c r="FA85" s="447">
        <v>0</v>
      </c>
      <c r="FB85" s="447">
        <v>0</v>
      </c>
      <c r="FC85" s="447">
        <v>0</v>
      </c>
      <c r="FD85" s="447">
        <v>4262459</v>
      </c>
      <c r="FE85" s="447">
        <v>42606.10032509789</v>
      </c>
      <c r="FF85" s="447">
        <v>0</v>
      </c>
      <c r="FG85" s="447">
        <v>0</v>
      </c>
      <c r="FH85" s="447">
        <v>4128</v>
      </c>
      <c r="FI85" s="456">
        <v>0.0313</v>
      </c>
      <c r="FJ85" s="447">
        <v>129.2064</v>
      </c>
      <c r="FK85" s="471">
        <v>129.2064</v>
      </c>
      <c r="FL85" s="446">
        <v>0</v>
      </c>
      <c r="FM85" s="450">
        <v>0</v>
      </c>
      <c r="FN85" s="450">
        <v>0</v>
      </c>
      <c r="FO85" s="450">
        <v>0</v>
      </c>
      <c r="FP85" s="472">
        <v>0</v>
      </c>
      <c r="FQ85" s="446">
        <v>0</v>
      </c>
      <c r="FR85" s="450">
        <v>0</v>
      </c>
      <c r="FS85" s="450">
        <v>0</v>
      </c>
      <c r="FT85" s="450">
        <v>0</v>
      </c>
      <c r="FU85" s="450">
        <v>0</v>
      </c>
      <c r="FV85" s="450">
        <v>0</v>
      </c>
      <c r="FW85" s="450">
        <v>0</v>
      </c>
      <c r="FX85" s="450">
        <v>0</v>
      </c>
      <c r="FY85" s="450">
        <v>0</v>
      </c>
      <c r="FZ85" s="450">
        <v>0</v>
      </c>
      <c r="GA85" s="450">
        <v>0</v>
      </c>
      <c r="GB85" s="450">
        <v>0</v>
      </c>
      <c r="GC85" s="450">
        <v>0</v>
      </c>
      <c r="GD85" s="450">
        <v>0</v>
      </c>
      <c r="GE85" s="450">
        <v>0</v>
      </c>
      <c r="GF85" s="450">
        <v>0</v>
      </c>
      <c r="GG85" s="450">
        <v>0</v>
      </c>
      <c r="GH85" s="450">
        <v>0</v>
      </c>
      <c r="GI85" s="450">
        <v>0</v>
      </c>
      <c r="GJ85" s="450">
        <v>0</v>
      </c>
      <c r="GK85" s="450">
        <v>0</v>
      </c>
      <c r="GL85" s="450">
        <v>0</v>
      </c>
      <c r="GM85" s="450">
        <v>0</v>
      </c>
      <c r="GN85" s="450">
        <v>0</v>
      </c>
      <c r="GO85" s="450">
        <v>0</v>
      </c>
      <c r="GP85" s="450">
        <v>0</v>
      </c>
      <c r="GQ85" s="450">
        <v>0</v>
      </c>
      <c r="GR85" s="450">
        <v>0</v>
      </c>
      <c r="GS85" s="450">
        <v>0</v>
      </c>
      <c r="GT85" s="450">
        <v>0</v>
      </c>
      <c r="GU85" s="450">
        <v>0</v>
      </c>
      <c r="GV85" s="450">
        <v>0</v>
      </c>
      <c r="GW85" s="450">
        <v>0</v>
      </c>
      <c r="GX85" s="450">
        <v>2004193</v>
      </c>
      <c r="GY85" s="450">
        <v>2544927</v>
      </c>
      <c r="GZ85" s="450">
        <v>0</v>
      </c>
      <c r="HA85" s="450" t="s">
        <v>888</v>
      </c>
      <c r="HB85" s="450" t="s">
        <v>888</v>
      </c>
      <c r="HC85" s="450">
        <v>0</v>
      </c>
      <c r="HD85" s="450">
        <v>0</v>
      </c>
      <c r="HE85" s="450">
        <v>0</v>
      </c>
      <c r="HF85" s="450">
        <v>0</v>
      </c>
      <c r="HG85" s="472">
        <v>0</v>
      </c>
    </row>
    <row r="86" spans="2:215" ht="12.75">
      <c r="B86" s="445" t="s">
        <v>764</v>
      </c>
      <c r="C86" s="446">
        <v>13384</v>
      </c>
      <c r="D86" s="447">
        <v>3149272</v>
      </c>
      <c r="E86" s="447">
        <v>2702075.376</v>
      </c>
      <c r="F86" s="447">
        <v>589821.7326512829</v>
      </c>
      <c r="G86" s="447">
        <v>447196.62400000007</v>
      </c>
      <c r="H86" s="448">
        <v>0.6496323968918112</v>
      </c>
      <c r="I86" s="449">
        <v>8144.39</v>
      </c>
      <c r="J86" s="449">
        <v>550.29</v>
      </c>
      <c r="K86" s="447">
        <v>3291897.108651283</v>
      </c>
      <c r="L86" s="447">
        <v>2633517.6869210266</v>
      </c>
      <c r="M86" s="447">
        <v>1147205.4819228675</v>
      </c>
      <c r="N86" s="447">
        <v>658379.4217302565</v>
      </c>
      <c r="O86" s="450">
        <v>1.742468619246862</v>
      </c>
      <c r="P86" s="451">
        <v>0.42887029288702927</v>
      </c>
      <c r="Q86" s="452">
        <v>0.5711297071129707</v>
      </c>
      <c r="R86" s="447">
        <v>3780723.1688438943</v>
      </c>
      <c r="S86" s="447">
        <v>2555768.8621384725</v>
      </c>
      <c r="T86" s="447">
        <v>258371.43454403657</v>
      </c>
      <c r="U86" s="447">
        <v>1207375.9120324622</v>
      </c>
      <c r="V86" s="447">
        <v>862004.882496408</v>
      </c>
      <c r="W86" s="450">
        <v>1.4006601778586718</v>
      </c>
      <c r="X86" s="452">
        <v>24.587890570007136</v>
      </c>
      <c r="Y86" s="447">
        <v>258371.43454403657</v>
      </c>
      <c r="Z86" s="447">
        <v>362949.4242090139</v>
      </c>
      <c r="AA86" s="448">
        <v>0.7118662196726524</v>
      </c>
      <c r="AB86" s="448">
        <v>0.0559997011356844</v>
      </c>
      <c r="AC86" s="449">
        <v>718</v>
      </c>
      <c r="AD86" s="449">
        <v>781</v>
      </c>
      <c r="AE86" s="447">
        <v>4021516.2087149713</v>
      </c>
      <c r="AF86" s="447">
        <v>135187.13424211476</v>
      </c>
      <c r="AG86" s="451">
        <v>0.5</v>
      </c>
      <c r="AH86" s="450">
        <v>0.1529582376032151</v>
      </c>
      <c r="AI86" s="452">
        <v>0.1288076490163803</v>
      </c>
      <c r="AJ86" s="447">
        <v>4156703.342957086</v>
      </c>
      <c r="AK86" s="453">
        <v>1.1108</v>
      </c>
      <c r="AL86" s="447">
        <v>4617266.073356731</v>
      </c>
      <c r="AM86" s="447">
        <v>10861942.686175773</v>
      </c>
      <c r="AN86" s="447">
        <v>10754733.162142584</v>
      </c>
      <c r="AO86" s="447">
        <v>10318836.515174564</v>
      </c>
      <c r="AP86" s="447">
        <v>10754733.162142584</v>
      </c>
      <c r="AQ86" s="447">
        <v>53536</v>
      </c>
      <c r="AR86" s="447">
        <v>10808269.162142584</v>
      </c>
      <c r="AS86" s="454">
        <v>807.5514914930203</v>
      </c>
      <c r="AT86" s="450">
        <v>13383</v>
      </c>
      <c r="AU86" s="450">
        <v>489</v>
      </c>
      <c r="AV86" s="450">
        <v>777</v>
      </c>
      <c r="AW86" s="450">
        <v>547</v>
      </c>
      <c r="AX86" s="450">
        <v>183</v>
      </c>
      <c r="AY86" s="450">
        <v>807</v>
      </c>
      <c r="AZ86" s="450">
        <v>203</v>
      </c>
      <c r="BA86" s="450">
        <v>646</v>
      </c>
      <c r="BB86" s="450">
        <v>240</v>
      </c>
      <c r="BC86" s="450">
        <v>589</v>
      </c>
      <c r="BD86" s="450">
        <v>918</v>
      </c>
      <c r="BE86" s="450">
        <v>5823</v>
      </c>
      <c r="BF86" s="450">
        <v>1821</v>
      </c>
      <c r="BG86" s="450">
        <v>312</v>
      </c>
      <c r="BH86" s="450">
        <v>19</v>
      </c>
      <c r="BI86" s="450">
        <v>9</v>
      </c>
      <c r="BJ86" s="452">
        <v>2.2338077374924974</v>
      </c>
      <c r="BK86" s="452">
        <v>17.77224649828033</v>
      </c>
      <c r="BL86" s="452">
        <v>7.670755170755171</v>
      </c>
      <c r="BM86" s="452">
        <v>20.202982655050324</v>
      </c>
      <c r="BN86" s="449">
        <v>5739</v>
      </c>
      <c r="BO86" s="449">
        <v>7644</v>
      </c>
      <c r="BP86" s="447">
        <v>5777100.376395946</v>
      </c>
      <c r="BQ86" s="447">
        <v>16127900</v>
      </c>
      <c r="BR86" s="447">
        <v>17815479</v>
      </c>
      <c r="BS86" s="448">
        <v>0.05600388552641411</v>
      </c>
      <c r="BT86" s="449">
        <v>718</v>
      </c>
      <c r="BU86" s="449">
        <v>781</v>
      </c>
      <c r="BV86" s="447">
        <v>997736.0465142345</v>
      </c>
      <c r="BW86" s="448">
        <v>0.013961216737061185</v>
      </c>
      <c r="BX86" s="447">
        <v>52483.56405923726</v>
      </c>
      <c r="BY86" s="447">
        <v>22955219.98696942</v>
      </c>
      <c r="BZ86" s="455">
        <v>1.1433333333333333</v>
      </c>
      <c r="CA86" s="447">
        <v>26245468.185101703</v>
      </c>
      <c r="CB86" s="447">
        <v>19737303.48334224</v>
      </c>
      <c r="CC86" s="447">
        <v>19713146.59246607</v>
      </c>
      <c r="CD86" s="447">
        <v>19018239.23246954</v>
      </c>
      <c r="CE86" s="447">
        <v>19713146.59246607</v>
      </c>
      <c r="CF86" s="454">
        <v>1472.9990728884459</v>
      </c>
      <c r="CG86" s="450">
        <v>13383</v>
      </c>
      <c r="CH86" s="450">
        <v>489</v>
      </c>
      <c r="CI86" s="450">
        <v>777</v>
      </c>
      <c r="CJ86" s="450">
        <v>547</v>
      </c>
      <c r="CK86" s="450">
        <v>183</v>
      </c>
      <c r="CL86" s="450">
        <v>807</v>
      </c>
      <c r="CM86" s="450">
        <v>203</v>
      </c>
      <c r="CN86" s="450">
        <v>646</v>
      </c>
      <c r="CO86" s="450">
        <v>240</v>
      </c>
      <c r="CP86" s="450">
        <v>589</v>
      </c>
      <c r="CQ86" s="450">
        <v>918</v>
      </c>
      <c r="CR86" s="450">
        <v>5823</v>
      </c>
      <c r="CS86" s="450">
        <v>1821</v>
      </c>
      <c r="CT86" s="450">
        <v>312</v>
      </c>
      <c r="CU86" s="450">
        <v>19</v>
      </c>
      <c r="CV86" s="450">
        <v>9</v>
      </c>
      <c r="CW86" s="447">
        <v>10507937.150548296</v>
      </c>
      <c r="CX86" s="452">
        <v>1.116137260555759</v>
      </c>
      <c r="CY86" s="452">
        <v>1.1433333333333333</v>
      </c>
      <c r="CZ86" s="447">
        <v>11728300.185305063</v>
      </c>
      <c r="DA86" s="454">
        <v>876.3580800496945</v>
      </c>
      <c r="DB86" s="449">
        <v>13384</v>
      </c>
      <c r="DC86" s="452">
        <v>0.9977435744172148</v>
      </c>
      <c r="DD86" s="454">
        <v>354.1</v>
      </c>
      <c r="DE86" s="447">
        <v>65410</v>
      </c>
      <c r="DF86" s="454">
        <v>64.2370275516024</v>
      </c>
      <c r="DG86" s="454">
        <v>66.9992197363213</v>
      </c>
      <c r="DH86" s="454">
        <v>68.47320257052034</v>
      </c>
      <c r="DI86" s="454">
        <v>69.97961302707178</v>
      </c>
      <c r="DJ86" s="454">
        <v>72.28894025696515</v>
      </c>
      <c r="DK86" s="454">
        <v>74.89134210621587</v>
      </c>
      <c r="DL86" s="454">
        <v>77.28786505361477</v>
      </c>
      <c r="DM86" s="454">
        <v>80.45666752081297</v>
      </c>
      <c r="DN86" s="454">
        <v>83.99676089172873</v>
      </c>
      <c r="DO86" s="454">
        <v>88.61658274077381</v>
      </c>
      <c r="DP86" s="454">
        <v>87.81903349610684</v>
      </c>
      <c r="DQ86" s="454">
        <v>92.29780420440828</v>
      </c>
      <c r="DR86" s="454">
        <v>97.92797026087717</v>
      </c>
      <c r="DS86" s="454">
        <v>50.77</v>
      </c>
      <c r="DT86" s="454">
        <v>53.54556625705203</v>
      </c>
      <c r="DU86" s="454">
        <v>56.41868474941434</v>
      </c>
      <c r="DV86" s="454">
        <v>60.031556209997525</v>
      </c>
      <c r="DW86" s="454">
        <v>64.00678507250863</v>
      </c>
      <c r="DX86" s="454">
        <v>67.92714600462655</v>
      </c>
      <c r="DY86" s="454">
        <v>72.66106069681558</v>
      </c>
      <c r="DZ86" s="454">
        <v>76.76243775905915</v>
      </c>
      <c r="EA86" s="454">
        <v>79.11355032560766</v>
      </c>
      <c r="EB86" s="454">
        <v>81.46911961809401</v>
      </c>
      <c r="EC86" s="454">
        <v>86.9587966157751</v>
      </c>
      <c r="ED86" s="454">
        <v>93.67945497222232</v>
      </c>
      <c r="EE86" s="454">
        <v>-3.73</v>
      </c>
      <c r="EF86" s="454">
        <v>89.94945497222231</v>
      </c>
      <c r="EG86" s="454">
        <v>4677.37165855556</v>
      </c>
      <c r="EH86" s="447">
        <v>61349903.43254547</v>
      </c>
      <c r="EI86" s="454">
        <v>57.93</v>
      </c>
      <c r="EJ86" s="454">
        <v>60.131334257052025</v>
      </c>
      <c r="EK86" s="454">
        <v>62.40148910141434</v>
      </c>
      <c r="EL86" s="454">
        <v>65.43926349366153</v>
      </c>
      <c r="EM86" s="454">
        <v>68.80882914040227</v>
      </c>
      <c r="EN86" s="454">
        <v>72.05690390301507</v>
      </c>
      <c r="EO86" s="454">
        <v>76.10032307459355</v>
      </c>
      <c r="EP86" s="454">
        <v>79.9540732456371</v>
      </c>
      <c r="EQ86" s="454">
        <v>82.1573067013075</v>
      </c>
      <c r="ER86" s="454">
        <v>83.5029536625303</v>
      </c>
      <c r="ES86" s="454">
        <v>88.66884428033713</v>
      </c>
      <c r="ET86" s="454">
        <v>95.04022540129756</v>
      </c>
      <c r="EU86" s="447">
        <v>264136906</v>
      </c>
      <c r="EV86" s="447">
        <v>0</v>
      </c>
      <c r="EW86" s="447">
        <v>0</v>
      </c>
      <c r="EX86" s="447">
        <v>0</v>
      </c>
      <c r="EY86" s="447">
        <v>0</v>
      </c>
      <c r="EZ86" s="447">
        <v>0</v>
      </c>
      <c r="FA86" s="447">
        <v>0</v>
      </c>
      <c r="FB86" s="447">
        <v>0</v>
      </c>
      <c r="FC86" s="447">
        <v>0</v>
      </c>
      <c r="FD86" s="447">
        <v>264136906</v>
      </c>
      <c r="FE86" s="447">
        <v>169641.65955263324</v>
      </c>
      <c r="FF86" s="447">
        <v>0</v>
      </c>
      <c r="FG86" s="447">
        <v>0</v>
      </c>
      <c r="FH86" s="447">
        <v>115307</v>
      </c>
      <c r="FI86" s="456">
        <v>0.0621</v>
      </c>
      <c r="FJ86" s="447">
        <v>7160.5647</v>
      </c>
      <c r="FK86" s="471">
        <v>7160.5647</v>
      </c>
      <c r="FL86" s="446">
        <v>92.29</v>
      </c>
      <c r="FM86" s="450">
        <v>88.08</v>
      </c>
      <c r="FN86" s="450">
        <v>81.23</v>
      </c>
      <c r="FO86" s="450">
        <v>-6.85</v>
      </c>
      <c r="FP86" s="472">
        <v>84.35</v>
      </c>
      <c r="FQ86" s="446">
        <v>52315</v>
      </c>
      <c r="FR86" s="450">
        <v>16529</v>
      </c>
      <c r="FS86" s="450">
        <v>0</v>
      </c>
      <c r="FT86" s="450">
        <v>0</v>
      </c>
      <c r="FU86" s="450">
        <v>0</v>
      </c>
      <c r="FV86" s="450">
        <v>0</v>
      </c>
      <c r="FW86" s="450">
        <v>0</v>
      </c>
      <c r="FX86" s="450">
        <v>0</v>
      </c>
      <c r="FY86" s="450">
        <v>0</v>
      </c>
      <c r="FZ86" s="450">
        <v>0</v>
      </c>
      <c r="GA86" s="450">
        <v>0</v>
      </c>
      <c r="GB86" s="450">
        <v>0</v>
      </c>
      <c r="GC86" s="450">
        <v>0</v>
      </c>
      <c r="GD86" s="450">
        <v>0</v>
      </c>
      <c r="GE86" s="450">
        <v>0</v>
      </c>
      <c r="GF86" s="450">
        <v>0</v>
      </c>
      <c r="GG86" s="450">
        <v>0</v>
      </c>
      <c r="GH86" s="450">
        <v>0</v>
      </c>
      <c r="GI86" s="450">
        <v>0</v>
      </c>
      <c r="GJ86" s="450">
        <v>0</v>
      </c>
      <c r="GK86" s="450">
        <v>0</v>
      </c>
      <c r="GL86" s="450">
        <v>0</v>
      </c>
      <c r="GM86" s="450">
        <v>0</v>
      </c>
      <c r="GN86" s="450">
        <v>0</v>
      </c>
      <c r="GO86" s="450">
        <v>0</v>
      </c>
      <c r="GP86" s="450">
        <v>0</v>
      </c>
      <c r="GQ86" s="450">
        <v>0</v>
      </c>
      <c r="GR86" s="450">
        <v>0</v>
      </c>
      <c r="GS86" s="450">
        <v>0</v>
      </c>
      <c r="GT86" s="450">
        <v>0</v>
      </c>
      <c r="GU86" s="450">
        <v>0</v>
      </c>
      <c r="GV86" s="450">
        <v>0</v>
      </c>
      <c r="GW86" s="450">
        <v>0</v>
      </c>
      <c r="GX86" s="450">
        <v>234518000</v>
      </c>
      <c r="GY86" s="450">
        <v>234518000</v>
      </c>
      <c r="GZ86" s="450">
        <v>17</v>
      </c>
      <c r="HA86" s="450" t="s">
        <v>888</v>
      </c>
      <c r="HB86" s="450" t="s">
        <v>888</v>
      </c>
      <c r="HC86" s="450">
        <v>0</v>
      </c>
      <c r="HD86" s="450">
        <v>0</v>
      </c>
      <c r="HE86" s="450">
        <v>0</v>
      </c>
      <c r="HF86" s="450">
        <v>0</v>
      </c>
      <c r="HG86" s="472">
        <v>0</v>
      </c>
    </row>
    <row r="87" spans="2:215" ht="12.75">
      <c r="B87" s="445" t="s">
        <v>765</v>
      </c>
      <c r="C87" s="446">
        <v>8175</v>
      </c>
      <c r="D87" s="447">
        <v>1935575</v>
      </c>
      <c r="E87" s="447">
        <v>1660723.35</v>
      </c>
      <c r="F87" s="447">
        <v>239017.91845266</v>
      </c>
      <c r="G87" s="447">
        <v>274851.65</v>
      </c>
      <c r="H87" s="448">
        <v>0.4283290519877676</v>
      </c>
      <c r="I87" s="449">
        <v>2856.01</v>
      </c>
      <c r="J87" s="449">
        <v>645.58</v>
      </c>
      <c r="K87" s="447">
        <v>1899741.26845266</v>
      </c>
      <c r="L87" s="447">
        <v>1519793.014762128</v>
      </c>
      <c r="M87" s="447">
        <v>475653.384455002</v>
      </c>
      <c r="N87" s="447">
        <v>379948.2536905319</v>
      </c>
      <c r="O87" s="450">
        <v>1.2518899082568806</v>
      </c>
      <c r="P87" s="451">
        <v>0.8062385321100918</v>
      </c>
      <c r="Q87" s="452">
        <v>0.19376146788990825</v>
      </c>
      <c r="R87" s="447">
        <v>1995446.39921713</v>
      </c>
      <c r="S87" s="447">
        <v>1348921.76587078</v>
      </c>
      <c r="T87" s="447">
        <v>166512.95252812604</v>
      </c>
      <c r="U87" s="447">
        <v>669851.8230335704</v>
      </c>
      <c r="V87" s="447">
        <v>454961.7790215056</v>
      </c>
      <c r="W87" s="450">
        <v>1.4723254873722198</v>
      </c>
      <c r="X87" s="452">
        <v>25.84593932147425</v>
      </c>
      <c r="Y87" s="447">
        <v>166512.95252812604</v>
      </c>
      <c r="Z87" s="447">
        <v>191562.85432484446</v>
      </c>
      <c r="AA87" s="448">
        <v>0.8692340334716467</v>
      </c>
      <c r="AB87" s="448">
        <v>0.06837920489296637</v>
      </c>
      <c r="AC87" s="449">
        <v>554</v>
      </c>
      <c r="AD87" s="449">
        <v>564</v>
      </c>
      <c r="AE87" s="447">
        <v>2185286.5414324766</v>
      </c>
      <c r="AF87" s="447">
        <v>62766.43719744814</v>
      </c>
      <c r="AG87" s="451">
        <v>0.25</v>
      </c>
      <c r="AH87" s="450">
        <v>0.2903451840495574</v>
      </c>
      <c r="AI87" s="452">
        <v>0.24450255930423737</v>
      </c>
      <c r="AJ87" s="447">
        <v>2248052.978629925</v>
      </c>
      <c r="AK87" s="453">
        <v>1</v>
      </c>
      <c r="AL87" s="447">
        <v>2248052.978629925</v>
      </c>
      <c r="AM87" s="447">
        <v>5288459.062445374</v>
      </c>
      <c r="AN87" s="447">
        <v>5236260.924843767</v>
      </c>
      <c r="AO87" s="447">
        <v>4810629.816926687</v>
      </c>
      <c r="AP87" s="447">
        <v>5236260.924843767</v>
      </c>
      <c r="AQ87" s="447">
        <v>32700</v>
      </c>
      <c r="AR87" s="447">
        <v>5268960.924843767</v>
      </c>
      <c r="AS87" s="454">
        <v>644.5212140481672</v>
      </c>
      <c r="AT87" s="450">
        <v>8175</v>
      </c>
      <c r="AU87" s="450">
        <v>399</v>
      </c>
      <c r="AV87" s="450">
        <v>1019</v>
      </c>
      <c r="AW87" s="450">
        <v>686</v>
      </c>
      <c r="AX87" s="450">
        <v>7</v>
      </c>
      <c r="AY87" s="450">
        <v>1582</v>
      </c>
      <c r="AZ87" s="450">
        <v>60</v>
      </c>
      <c r="BA87" s="450">
        <v>329</v>
      </c>
      <c r="BB87" s="450">
        <v>503</v>
      </c>
      <c r="BC87" s="450">
        <v>186</v>
      </c>
      <c r="BD87" s="450">
        <v>1439</v>
      </c>
      <c r="BE87" s="450">
        <v>1515</v>
      </c>
      <c r="BF87" s="450">
        <v>69</v>
      </c>
      <c r="BG87" s="450">
        <v>367</v>
      </c>
      <c r="BH87" s="450">
        <v>14</v>
      </c>
      <c r="BI87" s="450">
        <v>0</v>
      </c>
      <c r="BJ87" s="452">
        <v>1.733983226613686</v>
      </c>
      <c r="BK87" s="452">
        <v>17.12447498970781</v>
      </c>
      <c r="BL87" s="452">
        <v>12.40943275099636</v>
      </c>
      <c r="BM87" s="452">
        <v>9.4300844774229</v>
      </c>
      <c r="BN87" s="449">
        <v>6591</v>
      </c>
      <c r="BO87" s="449">
        <v>1584</v>
      </c>
      <c r="BP87" s="447">
        <v>3017595.521812546</v>
      </c>
      <c r="BQ87" s="447">
        <v>8951336</v>
      </c>
      <c r="BR87" s="447">
        <v>11553582</v>
      </c>
      <c r="BS87" s="448">
        <v>0.06837920489296637</v>
      </c>
      <c r="BT87" s="449">
        <v>554</v>
      </c>
      <c r="BU87" s="449">
        <v>564</v>
      </c>
      <c r="BV87" s="447">
        <v>790024.7508256881</v>
      </c>
      <c r="BW87" s="448">
        <v>0.005143043318622407</v>
      </c>
      <c r="BX87" s="447">
        <v>11379.664370988663</v>
      </c>
      <c r="BY87" s="447">
        <v>12770335.937009223</v>
      </c>
      <c r="BZ87" s="455">
        <v>0.9566666666666667</v>
      </c>
      <c r="CA87" s="447">
        <v>12216954.713072157</v>
      </c>
      <c r="CB87" s="447">
        <v>9187481.096299563</v>
      </c>
      <c r="CC87" s="447">
        <v>9176236.349596573</v>
      </c>
      <c r="CD87" s="447">
        <v>8721786.6354301</v>
      </c>
      <c r="CE87" s="447">
        <v>9176236.349596573</v>
      </c>
      <c r="CF87" s="454">
        <v>1122.475394446064</v>
      </c>
      <c r="CG87" s="450">
        <v>8175</v>
      </c>
      <c r="CH87" s="450">
        <v>399</v>
      </c>
      <c r="CI87" s="450">
        <v>1019</v>
      </c>
      <c r="CJ87" s="450">
        <v>686</v>
      </c>
      <c r="CK87" s="450">
        <v>7</v>
      </c>
      <c r="CL87" s="450">
        <v>1582</v>
      </c>
      <c r="CM87" s="450">
        <v>60</v>
      </c>
      <c r="CN87" s="450">
        <v>329</v>
      </c>
      <c r="CO87" s="450">
        <v>503</v>
      </c>
      <c r="CP87" s="450">
        <v>186</v>
      </c>
      <c r="CQ87" s="450">
        <v>1439</v>
      </c>
      <c r="CR87" s="450">
        <v>1515</v>
      </c>
      <c r="CS87" s="450">
        <v>69</v>
      </c>
      <c r="CT87" s="450">
        <v>367</v>
      </c>
      <c r="CU87" s="450">
        <v>14</v>
      </c>
      <c r="CV87" s="450">
        <v>0</v>
      </c>
      <c r="CW87" s="447">
        <v>5796901.698591943</v>
      </c>
      <c r="CX87" s="452">
        <v>0.9339107690364513</v>
      </c>
      <c r="CY87" s="452">
        <v>0.9566666666666667</v>
      </c>
      <c r="CZ87" s="447">
        <v>5413788.923360712</v>
      </c>
      <c r="DA87" s="454">
        <v>662.237177169506</v>
      </c>
      <c r="DB87" s="449">
        <v>8175</v>
      </c>
      <c r="DC87" s="452">
        <v>1.0230703363914375</v>
      </c>
      <c r="DD87" s="454">
        <v>304.3</v>
      </c>
      <c r="DE87" s="447">
        <v>40039</v>
      </c>
      <c r="DF87" s="454">
        <v>50.80768453561685</v>
      </c>
      <c r="DG87" s="454">
        <v>52.99241497064837</v>
      </c>
      <c r="DH87" s="454">
        <v>54.15824810000262</v>
      </c>
      <c r="DI87" s="454">
        <v>55.34972955820267</v>
      </c>
      <c r="DJ87" s="454">
        <v>57.17627063362335</v>
      </c>
      <c r="DK87" s="454">
        <v>59.234616376433785</v>
      </c>
      <c r="DL87" s="454">
        <v>61.130124100479655</v>
      </c>
      <c r="DM87" s="454">
        <v>63.63645918859932</v>
      </c>
      <c r="DN87" s="454">
        <v>66.43646339289768</v>
      </c>
      <c r="DO87" s="454">
        <v>70.09046887950704</v>
      </c>
      <c r="DP87" s="454">
        <v>69.45965465959148</v>
      </c>
      <c r="DQ87" s="454">
        <v>73.00209704723063</v>
      </c>
      <c r="DR87" s="454">
        <v>77.4552249671117</v>
      </c>
      <c r="DS87" s="454">
        <v>41.96</v>
      </c>
      <c r="DT87" s="454">
        <v>44.01063281000025</v>
      </c>
      <c r="DU87" s="454">
        <v>46.13118482364052</v>
      </c>
      <c r="DV87" s="454">
        <v>48.84385851167099</v>
      </c>
      <c r="DW87" s="454">
        <v>51.83543441214009</v>
      </c>
      <c r="DX87" s="454">
        <v>54.766827611187075</v>
      </c>
      <c r="DY87" s="454">
        <v>58.33710587231646</v>
      </c>
      <c r="DZ87" s="454">
        <v>61.51866351538718</v>
      </c>
      <c r="EA87" s="454">
        <v>63.34099669780805</v>
      </c>
      <c r="EB87" s="454">
        <v>64.94966614188077</v>
      </c>
      <c r="EC87" s="454">
        <v>69.21009870153948</v>
      </c>
      <c r="ED87" s="454">
        <v>74.43774228352797</v>
      </c>
      <c r="EE87" s="454">
        <v>-0.7</v>
      </c>
      <c r="EF87" s="454">
        <v>73.73774228352796</v>
      </c>
      <c r="EG87" s="454">
        <v>3834.3625987434543</v>
      </c>
      <c r="EH87" s="447">
        <v>30718995.959833182</v>
      </c>
      <c r="EI87" s="454">
        <v>42.16</v>
      </c>
      <c r="EJ87" s="454">
        <v>44.19459281000025</v>
      </c>
      <c r="EK87" s="454">
        <v>46.298302263640515</v>
      </c>
      <c r="EL87" s="454">
        <v>48.994911787750986</v>
      </c>
      <c r="EM87" s="454">
        <v>51.96956972129912</v>
      </c>
      <c r="EN87" s="454">
        <v>54.882183977063846</v>
      </c>
      <c r="EO87" s="454">
        <v>58.43317465381863</v>
      </c>
      <c r="EP87" s="454">
        <v>61.6078153446212</v>
      </c>
      <c r="EQ87" s="454">
        <v>63.42601782562089</v>
      </c>
      <c r="ER87" s="454">
        <v>65.0064771487086</v>
      </c>
      <c r="ES87" s="454">
        <v>69.2578653960803</v>
      </c>
      <c r="ET87" s="454">
        <v>74.47575263070883</v>
      </c>
      <c r="EU87" s="447">
        <v>45281922</v>
      </c>
      <c r="EV87" s="447">
        <v>0</v>
      </c>
      <c r="EW87" s="447">
        <v>0</v>
      </c>
      <c r="EX87" s="447">
        <v>0</v>
      </c>
      <c r="EY87" s="447">
        <v>0</v>
      </c>
      <c r="EZ87" s="447">
        <v>0</v>
      </c>
      <c r="FA87" s="447">
        <v>0</v>
      </c>
      <c r="FB87" s="447">
        <v>0</v>
      </c>
      <c r="FC87" s="447">
        <v>0</v>
      </c>
      <c r="FD87" s="447">
        <v>45281922</v>
      </c>
      <c r="FE87" s="447">
        <v>62657.823307381695</v>
      </c>
      <c r="FF87" s="447">
        <v>0</v>
      </c>
      <c r="FG87" s="447">
        <v>0</v>
      </c>
      <c r="FH87" s="447">
        <v>5186</v>
      </c>
      <c r="FI87" s="456">
        <v>0.0575</v>
      </c>
      <c r="FJ87" s="447">
        <v>298.195</v>
      </c>
      <c r="FK87" s="471">
        <v>298.195</v>
      </c>
      <c r="FL87" s="446">
        <v>73</v>
      </c>
      <c r="FM87" s="450">
        <v>70.45</v>
      </c>
      <c r="FN87" s="450">
        <v>69.37</v>
      </c>
      <c r="FO87" s="450">
        <v>-1.08</v>
      </c>
      <c r="FP87" s="472">
        <v>69.75</v>
      </c>
      <c r="FQ87" s="446">
        <v>218088</v>
      </c>
      <c r="FR87" s="450">
        <v>181609</v>
      </c>
      <c r="FS87" s="450">
        <v>0</v>
      </c>
      <c r="FT87" s="450">
        <v>0</v>
      </c>
      <c r="FU87" s="450">
        <v>0</v>
      </c>
      <c r="FV87" s="450">
        <v>0</v>
      </c>
      <c r="FW87" s="450">
        <v>0</v>
      </c>
      <c r="FX87" s="450">
        <v>0</v>
      </c>
      <c r="FY87" s="450">
        <v>0</v>
      </c>
      <c r="FZ87" s="450">
        <v>0</v>
      </c>
      <c r="GA87" s="450">
        <v>0</v>
      </c>
      <c r="GB87" s="450">
        <v>0</v>
      </c>
      <c r="GC87" s="450">
        <v>0</v>
      </c>
      <c r="GD87" s="450">
        <v>0</v>
      </c>
      <c r="GE87" s="450">
        <v>0</v>
      </c>
      <c r="GF87" s="450">
        <v>0</v>
      </c>
      <c r="GG87" s="450">
        <v>0</v>
      </c>
      <c r="GH87" s="450">
        <v>0</v>
      </c>
      <c r="GI87" s="450">
        <v>0</v>
      </c>
      <c r="GJ87" s="450">
        <v>0</v>
      </c>
      <c r="GK87" s="450">
        <v>0</v>
      </c>
      <c r="GL87" s="450">
        <v>0</v>
      </c>
      <c r="GM87" s="450">
        <v>0</v>
      </c>
      <c r="GN87" s="450">
        <v>0</v>
      </c>
      <c r="GO87" s="450">
        <v>0</v>
      </c>
      <c r="GP87" s="450">
        <v>0</v>
      </c>
      <c r="GQ87" s="450">
        <v>0</v>
      </c>
      <c r="GR87" s="450">
        <v>0</v>
      </c>
      <c r="GS87" s="450">
        <v>0</v>
      </c>
      <c r="GT87" s="450">
        <v>0</v>
      </c>
      <c r="GU87" s="450">
        <v>0</v>
      </c>
      <c r="GV87" s="450">
        <v>0</v>
      </c>
      <c r="GW87" s="450">
        <v>0</v>
      </c>
      <c r="GX87" s="450">
        <v>35295315</v>
      </c>
      <c r="GY87" s="450">
        <v>35150978</v>
      </c>
      <c r="GZ87" s="450">
        <v>0</v>
      </c>
      <c r="HA87" s="450" t="s">
        <v>888</v>
      </c>
      <c r="HB87" s="450" t="s">
        <v>888</v>
      </c>
      <c r="HC87" s="450">
        <v>0</v>
      </c>
      <c r="HD87" s="450">
        <v>0</v>
      </c>
      <c r="HE87" s="450">
        <v>0</v>
      </c>
      <c r="HF87" s="450">
        <v>0</v>
      </c>
      <c r="HG87" s="472">
        <v>0</v>
      </c>
    </row>
    <row r="88" spans="2:215" ht="12.75">
      <c r="B88" s="445" t="s">
        <v>767</v>
      </c>
      <c r="C88" s="446">
        <v>0</v>
      </c>
      <c r="D88" s="447">
        <v>0</v>
      </c>
      <c r="E88" s="447">
        <v>0</v>
      </c>
      <c r="F88" s="447">
        <v>0</v>
      </c>
      <c r="G88" s="447">
        <v>0</v>
      </c>
      <c r="H88" s="448">
        <v>0</v>
      </c>
      <c r="I88" s="449">
        <v>0</v>
      </c>
      <c r="J88" s="449">
        <v>0</v>
      </c>
      <c r="K88" s="447">
        <v>0</v>
      </c>
      <c r="L88" s="447">
        <v>0</v>
      </c>
      <c r="M88" s="447">
        <v>0</v>
      </c>
      <c r="N88" s="447">
        <v>0</v>
      </c>
      <c r="O88" s="450">
        <v>0</v>
      </c>
      <c r="P88" s="451">
        <v>0</v>
      </c>
      <c r="Q88" s="452">
        <v>0</v>
      </c>
      <c r="R88" s="447">
        <v>0</v>
      </c>
      <c r="S88" s="447">
        <v>0</v>
      </c>
      <c r="T88" s="447">
        <v>0</v>
      </c>
      <c r="U88" s="447">
        <v>0</v>
      </c>
      <c r="V88" s="447">
        <v>0</v>
      </c>
      <c r="W88" s="450">
        <v>0.26698558847168996</v>
      </c>
      <c r="X88" s="452">
        <v>4.686798794513346</v>
      </c>
      <c r="Y88" s="447">
        <v>0</v>
      </c>
      <c r="Z88" s="447">
        <v>0</v>
      </c>
      <c r="AA88" s="448">
        <v>0</v>
      </c>
      <c r="AB88" s="448">
        <v>0</v>
      </c>
      <c r="AC88" s="449">
        <v>0</v>
      </c>
      <c r="AD88" s="449">
        <v>0</v>
      </c>
      <c r="AE88" s="447">
        <v>0</v>
      </c>
      <c r="AF88" s="447">
        <v>0</v>
      </c>
      <c r="AG88" s="451">
        <v>0.25</v>
      </c>
      <c r="AH88" s="450">
        <v>0</v>
      </c>
      <c r="AI88" s="452">
        <v>0</v>
      </c>
      <c r="AJ88" s="447">
        <v>0</v>
      </c>
      <c r="AK88" s="453">
        <v>1.5</v>
      </c>
      <c r="AL88" s="447">
        <v>0</v>
      </c>
      <c r="AM88" s="447">
        <v>0</v>
      </c>
      <c r="AN88" s="447">
        <v>0</v>
      </c>
      <c r="AO88" s="447">
        <v>0</v>
      </c>
      <c r="AP88" s="447">
        <v>0</v>
      </c>
      <c r="AQ88" s="447">
        <v>0</v>
      </c>
      <c r="AR88" s="447">
        <v>0</v>
      </c>
      <c r="AS88" s="454">
        <v>0</v>
      </c>
      <c r="AT88" s="450">
        <v>0</v>
      </c>
      <c r="AU88" s="450">
        <v>0</v>
      </c>
      <c r="AV88" s="450">
        <v>0</v>
      </c>
      <c r="AW88" s="450">
        <v>0</v>
      </c>
      <c r="AX88" s="450">
        <v>0</v>
      </c>
      <c r="AY88" s="450">
        <v>0</v>
      </c>
      <c r="AZ88" s="450">
        <v>0</v>
      </c>
      <c r="BA88" s="450">
        <v>0</v>
      </c>
      <c r="BB88" s="450">
        <v>0</v>
      </c>
      <c r="BC88" s="450">
        <v>0</v>
      </c>
      <c r="BD88" s="450">
        <v>0</v>
      </c>
      <c r="BE88" s="450">
        <v>0</v>
      </c>
      <c r="BF88" s="450">
        <v>0</v>
      </c>
      <c r="BG88" s="450">
        <v>0</v>
      </c>
      <c r="BH88" s="450">
        <v>0</v>
      </c>
      <c r="BI88" s="450">
        <v>0</v>
      </c>
      <c r="BJ88" s="452">
        <v>1</v>
      </c>
      <c r="BK88" s="452">
        <v>0.3703703703703704</v>
      </c>
      <c r="BL88" s="452">
        <v>0.3703703703703704</v>
      </c>
      <c r="BM88" s="452">
        <v>0</v>
      </c>
      <c r="BN88" s="449">
        <v>0</v>
      </c>
      <c r="BO88" s="449">
        <v>0</v>
      </c>
      <c r="BP88" s="447">
        <v>0</v>
      </c>
      <c r="BQ88" s="447">
        <v>0</v>
      </c>
      <c r="BR88" s="447">
        <v>0</v>
      </c>
      <c r="BS88" s="448">
        <v>0</v>
      </c>
      <c r="BT88" s="449">
        <v>0</v>
      </c>
      <c r="BU88" s="449">
        <v>0</v>
      </c>
      <c r="BV88" s="447">
        <v>0</v>
      </c>
      <c r="BW88" s="448">
        <v>0</v>
      </c>
      <c r="BX88" s="447">
        <v>0</v>
      </c>
      <c r="BY88" s="447">
        <v>0</v>
      </c>
      <c r="BZ88" s="455">
        <v>1.02</v>
      </c>
      <c r="CA88" s="447">
        <v>0</v>
      </c>
      <c r="CB88" s="447">
        <v>0</v>
      </c>
      <c r="CC88" s="447">
        <v>0</v>
      </c>
      <c r="CD88" s="447">
        <v>0</v>
      </c>
      <c r="CE88" s="447">
        <v>0</v>
      </c>
      <c r="CF88" s="454">
        <v>0</v>
      </c>
      <c r="CG88" s="450">
        <v>0</v>
      </c>
      <c r="CH88" s="450">
        <v>0</v>
      </c>
      <c r="CI88" s="450">
        <v>0</v>
      </c>
      <c r="CJ88" s="450">
        <v>0</v>
      </c>
      <c r="CK88" s="450">
        <v>0</v>
      </c>
      <c r="CL88" s="450">
        <v>0</v>
      </c>
      <c r="CM88" s="450">
        <v>0</v>
      </c>
      <c r="CN88" s="450">
        <v>0</v>
      </c>
      <c r="CO88" s="450">
        <v>0</v>
      </c>
      <c r="CP88" s="450">
        <v>0</v>
      </c>
      <c r="CQ88" s="450">
        <v>0</v>
      </c>
      <c r="CR88" s="450">
        <v>0</v>
      </c>
      <c r="CS88" s="450">
        <v>0</v>
      </c>
      <c r="CT88" s="450">
        <v>0</v>
      </c>
      <c r="CU88" s="450">
        <v>0</v>
      </c>
      <c r="CV88" s="450">
        <v>0</v>
      </c>
      <c r="CW88" s="447">
        <v>0</v>
      </c>
      <c r="CX88" s="452">
        <v>0.9957376143733591</v>
      </c>
      <c r="CY88" s="452">
        <v>1.02</v>
      </c>
      <c r="CZ88" s="447">
        <v>0</v>
      </c>
      <c r="DA88" s="454">
        <v>0</v>
      </c>
      <c r="DB88" s="449">
        <v>0</v>
      </c>
      <c r="DC88" s="452">
        <v>0</v>
      </c>
      <c r="DD88" s="454">
        <v>255.5</v>
      </c>
      <c r="DE88" s="447">
        <v>0</v>
      </c>
      <c r="DF88" s="454">
        <v>0</v>
      </c>
      <c r="DG88" s="454">
        <v>0</v>
      </c>
      <c r="DH88" s="454">
        <v>0</v>
      </c>
      <c r="DI88" s="454">
        <v>0</v>
      </c>
      <c r="DJ88" s="454">
        <v>0</v>
      </c>
      <c r="DK88" s="454">
        <v>0</v>
      </c>
      <c r="DL88" s="454">
        <v>0</v>
      </c>
      <c r="DM88" s="454">
        <v>0</v>
      </c>
      <c r="DN88" s="454">
        <v>0</v>
      </c>
      <c r="DO88" s="454">
        <v>0</v>
      </c>
      <c r="DP88" s="454">
        <v>0</v>
      </c>
      <c r="DQ88" s="454">
        <v>0</v>
      </c>
      <c r="DR88" s="454">
        <v>0</v>
      </c>
      <c r="DS88" s="454">
        <v>0</v>
      </c>
      <c r="DT88" s="454">
        <v>0</v>
      </c>
      <c r="DU88" s="454">
        <v>0</v>
      </c>
      <c r="DV88" s="454">
        <v>0</v>
      </c>
      <c r="DW88" s="454">
        <v>0</v>
      </c>
      <c r="DX88" s="454">
        <v>0</v>
      </c>
      <c r="DY88" s="454">
        <v>0</v>
      </c>
      <c r="DZ88" s="454">
        <v>0</v>
      </c>
      <c r="EA88" s="454">
        <v>0</v>
      </c>
      <c r="EB88" s="454">
        <v>0</v>
      </c>
      <c r="EC88" s="454">
        <v>0</v>
      </c>
      <c r="ED88" s="454">
        <v>0</v>
      </c>
      <c r="EE88" s="454">
        <v>0</v>
      </c>
      <c r="EF88" s="454">
        <v>0</v>
      </c>
      <c r="EG88" s="454">
        <v>0</v>
      </c>
      <c r="EH88" s="447">
        <v>0</v>
      </c>
      <c r="EI88" s="454">
        <v>0</v>
      </c>
      <c r="EJ88" s="454">
        <v>0</v>
      </c>
      <c r="EK88" s="454">
        <v>0</v>
      </c>
      <c r="EL88" s="454">
        <v>0</v>
      </c>
      <c r="EM88" s="454">
        <v>0</v>
      </c>
      <c r="EN88" s="454">
        <v>0</v>
      </c>
      <c r="EO88" s="454">
        <v>0</v>
      </c>
      <c r="EP88" s="454">
        <v>0</v>
      </c>
      <c r="EQ88" s="454">
        <v>0</v>
      </c>
      <c r="ER88" s="454">
        <v>0</v>
      </c>
      <c r="ES88" s="454">
        <v>0</v>
      </c>
      <c r="ET88" s="454">
        <v>0</v>
      </c>
      <c r="EU88" s="447">
        <v>808604</v>
      </c>
      <c r="EV88" s="447">
        <v>0</v>
      </c>
      <c r="EW88" s="447">
        <v>0</v>
      </c>
      <c r="EX88" s="447">
        <v>0</v>
      </c>
      <c r="EY88" s="447">
        <v>0</v>
      </c>
      <c r="EZ88" s="447">
        <v>0</v>
      </c>
      <c r="FA88" s="447">
        <v>0</v>
      </c>
      <c r="FB88" s="447">
        <v>0</v>
      </c>
      <c r="FC88" s="447">
        <v>0</v>
      </c>
      <c r="FD88" s="447">
        <v>0</v>
      </c>
      <c r="FE88" s="447">
        <v>0</v>
      </c>
      <c r="FF88" s="447">
        <v>0</v>
      </c>
      <c r="FG88" s="447">
        <v>0</v>
      </c>
      <c r="FH88" s="447">
        <v>0</v>
      </c>
      <c r="FI88" s="456">
        <v>0</v>
      </c>
      <c r="FJ88" s="447">
        <v>0</v>
      </c>
      <c r="FK88" s="471">
        <v>0</v>
      </c>
      <c r="FL88" s="446">
        <v>0</v>
      </c>
      <c r="FM88" s="450">
        <v>0</v>
      </c>
      <c r="FN88" s="450">
        <v>0</v>
      </c>
      <c r="FO88" s="450">
        <v>0</v>
      </c>
      <c r="FP88" s="472">
        <v>0</v>
      </c>
      <c r="FQ88" s="446">
        <v>0</v>
      </c>
      <c r="FR88" s="450">
        <v>0</v>
      </c>
      <c r="FS88" s="450">
        <v>0</v>
      </c>
      <c r="FT88" s="450">
        <v>0</v>
      </c>
      <c r="FU88" s="450">
        <v>0</v>
      </c>
      <c r="FV88" s="450">
        <v>0</v>
      </c>
      <c r="FW88" s="450">
        <v>0</v>
      </c>
      <c r="FX88" s="450">
        <v>0</v>
      </c>
      <c r="FY88" s="450">
        <v>0</v>
      </c>
      <c r="FZ88" s="450">
        <v>0</v>
      </c>
      <c r="GA88" s="450">
        <v>0</v>
      </c>
      <c r="GB88" s="450">
        <v>0</v>
      </c>
      <c r="GC88" s="450">
        <v>0</v>
      </c>
      <c r="GD88" s="450">
        <v>0</v>
      </c>
      <c r="GE88" s="450">
        <v>0</v>
      </c>
      <c r="GF88" s="450">
        <v>0</v>
      </c>
      <c r="GG88" s="450">
        <v>0</v>
      </c>
      <c r="GH88" s="450">
        <v>0</v>
      </c>
      <c r="GI88" s="450">
        <v>0</v>
      </c>
      <c r="GJ88" s="450">
        <v>0</v>
      </c>
      <c r="GK88" s="450">
        <v>0</v>
      </c>
      <c r="GL88" s="450">
        <v>0</v>
      </c>
      <c r="GM88" s="450">
        <v>0</v>
      </c>
      <c r="GN88" s="450">
        <v>0</v>
      </c>
      <c r="GO88" s="450">
        <v>0</v>
      </c>
      <c r="GP88" s="450">
        <v>0</v>
      </c>
      <c r="GQ88" s="450">
        <v>0</v>
      </c>
      <c r="GR88" s="450">
        <v>0</v>
      </c>
      <c r="GS88" s="450">
        <v>0</v>
      </c>
      <c r="GT88" s="450">
        <v>0</v>
      </c>
      <c r="GU88" s="450">
        <v>0</v>
      </c>
      <c r="GV88" s="450">
        <v>0</v>
      </c>
      <c r="GW88" s="450">
        <v>0</v>
      </c>
      <c r="GX88" s="450">
        <v>0</v>
      </c>
      <c r="GY88" s="450">
        <v>0</v>
      </c>
      <c r="GZ88" s="450">
        <v>0</v>
      </c>
      <c r="HA88" s="450">
        <v>0</v>
      </c>
      <c r="HB88" s="450">
        <v>0</v>
      </c>
      <c r="HC88" s="450">
        <v>0</v>
      </c>
      <c r="HD88" s="450">
        <v>0</v>
      </c>
      <c r="HE88" s="450">
        <v>0</v>
      </c>
      <c r="HF88" s="450">
        <v>0</v>
      </c>
      <c r="HG88" s="472">
        <v>0</v>
      </c>
    </row>
    <row r="89" spans="2:215" ht="12.75">
      <c r="B89" s="445" t="s">
        <v>768</v>
      </c>
      <c r="C89" s="446">
        <v>25876.15</v>
      </c>
      <c r="D89" s="447">
        <v>6059942.95</v>
      </c>
      <c r="E89" s="447">
        <v>5199431.0511</v>
      </c>
      <c r="F89" s="447">
        <v>1429470.2478106897</v>
      </c>
      <c r="G89" s="447">
        <v>860511.8989000001</v>
      </c>
      <c r="H89" s="448">
        <v>0.8182078864127778</v>
      </c>
      <c r="I89" s="449">
        <v>20854.48</v>
      </c>
      <c r="J89" s="449">
        <v>317.59</v>
      </c>
      <c r="K89" s="447">
        <v>6628901.29891069</v>
      </c>
      <c r="L89" s="447">
        <v>5303121.039128552</v>
      </c>
      <c r="M89" s="447">
        <v>2856600.2964098305</v>
      </c>
      <c r="N89" s="447">
        <v>1325780.2597821376</v>
      </c>
      <c r="O89" s="450">
        <v>2.1546559283355515</v>
      </c>
      <c r="P89" s="451">
        <v>0.11172450306556422</v>
      </c>
      <c r="Q89" s="452">
        <v>0.8882310544652121</v>
      </c>
      <c r="R89" s="447">
        <v>8159721.335538383</v>
      </c>
      <c r="S89" s="447">
        <v>5515971.622823947</v>
      </c>
      <c r="T89" s="447">
        <v>364426.1684166041</v>
      </c>
      <c r="U89" s="447">
        <v>3267785.9588638996</v>
      </c>
      <c r="V89" s="447">
        <v>1860416.4645027514</v>
      </c>
      <c r="W89" s="450">
        <v>1.756480885443737</v>
      </c>
      <c r="X89" s="452">
        <v>30.834145556723026</v>
      </c>
      <c r="Y89" s="447">
        <v>364426.1684166041</v>
      </c>
      <c r="Z89" s="447">
        <v>783333.2482116848</v>
      </c>
      <c r="AA89" s="448">
        <v>0.4652249464050875</v>
      </c>
      <c r="AB89" s="448">
        <v>0.03659740726499112</v>
      </c>
      <c r="AC89" s="449">
        <v>1071</v>
      </c>
      <c r="AD89" s="449">
        <v>823</v>
      </c>
      <c r="AE89" s="447">
        <v>9148183.750104452</v>
      </c>
      <c r="AF89" s="447">
        <v>1680619.9202213758</v>
      </c>
      <c r="AG89" s="451">
        <v>1</v>
      </c>
      <c r="AH89" s="450">
        <v>0.7378902993008339</v>
      </c>
      <c r="AI89" s="452">
        <v>0.6213847398757935</v>
      </c>
      <c r="AJ89" s="447">
        <v>10828803.670325827</v>
      </c>
      <c r="AK89" s="453">
        <v>1.1982</v>
      </c>
      <c r="AL89" s="447">
        <v>12975072.557784405</v>
      </c>
      <c r="AM89" s="447">
        <v>30523364.30964386</v>
      </c>
      <c r="AN89" s="447">
        <v>30222092.662934348</v>
      </c>
      <c r="AO89" s="447">
        <v>30152534.947558757</v>
      </c>
      <c r="AP89" s="447">
        <v>30222092.662934348</v>
      </c>
      <c r="AQ89" s="447">
        <v>103504.6</v>
      </c>
      <c r="AR89" s="447">
        <v>30325597.26293435</v>
      </c>
      <c r="AS89" s="454">
        <v>1171.9516722129972</v>
      </c>
      <c r="AT89" s="450">
        <v>25875</v>
      </c>
      <c r="AU89" s="450">
        <v>45</v>
      </c>
      <c r="AV89" s="450">
        <v>19</v>
      </c>
      <c r="AW89" s="450">
        <v>677</v>
      </c>
      <c r="AX89" s="450">
        <v>6</v>
      </c>
      <c r="AY89" s="450">
        <v>29</v>
      </c>
      <c r="AZ89" s="450">
        <v>376</v>
      </c>
      <c r="BA89" s="450">
        <v>1275</v>
      </c>
      <c r="BB89" s="450">
        <v>0</v>
      </c>
      <c r="BC89" s="450">
        <v>140</v>
      </c>
      <c r="BD89" s="450">
        <v>308</v>
      </c>
      <c r="BE89" s="450">
        <v>17379</v>
      </c>
      <c r="BF89" s="450">
        <v>5605</v>
      </c>
      <c r="BG89" s="450">
        <v>16</v>
      </c>
      <c r="BH89" s="450">
        <v>0</v>
      </c>
      <c r="BI89" s="450">
        <v>0</v>
      </c>
      <c r="BJ89" s="452">
        <v>2.5670204930232523</v>
      </c>
      <c r="BK89" s="452">
        <v>17.08106757725696</v>
      </c>
      <c r="BL89" s="452">
        <v>7.9771084439070234</v>
      </c>
      <c r="BM89" s="452">
        <v>18.207918266699874</v>
      </c>
      <c r="BN89" s="449">
        <v>2891</v>
      </c>
      <c r="BO89" s="449">
        <v>22984</v>
      </c>
      <c r="BP89" s="447">
        <v>12230984.996329155</v>
      </c>
      <c r="BQ89" s="447">
        <v>34352526</v>
      </c>
      <c r="BR89" s="447">
        <v>33011835</v>
      </c>
      <c r="BS89" s="448">
        <v>0.03659903381642512</v>
      </c>
      <c r="BT89" s="449">
        <v>1071</v>
      </c>
      <c r="BU89" s="449">
        <v>823</v>
      </c>
      <c r="BV89" s="447">
        <v>1208201.2655072464</v>
      </c>
      <c r="BW89" s="448">
        <v>0.00917932911599134</v>
      </c>
      <c r="BX89" s="447">
        <v>64122.516025479235</v>
      </c>
      <c r="BY89" s="447">
        <v>47855834.77786188</v>
      </c>
      <c r="BZ89" s="455">
        <v>1.1933333333333331</v>
      </c>
      <c r="CA89" s="447">
        <v>57107962.83491517</v>
      </c>
      <c r="CB89" s="447">
        <v>42946736.01700059</v>
      </c>
      <c r="CC89" s="447">
        <v>42894172.625232</v>
      </c>
      <c r="CD89" s="447">
        <v>42579348.15143058</v>
      </c>
      <c r="CE89" s="447">
        <v>42894172.625232</v>
      </c>
      <c r="CF89" s="454">
        <v>1657.7458019413334</v>
      </c>
      <c r="CG89" s="450">
        <v>21301</v>
      </c>
      <c r="CH89" s="450">
        <v>9</v>
      </c>
      <c r="CI89" s="450">
        <v>2</v>
      </c>
      <c r="CJ89" s="450">
        <v>79</v>
      </c>
      <c r="CK89" s="450">
        <v>6</v>
      </c>
      <c r="CL89" s="450">
        <v>28</v>
      </c>
      <c r="CM89" s="450">
        <v>375</v>
      </c>
      <c r="CN89" s="450">
        <v>1275</v>
      </c>
      <c r="CO89" s="450">
        <v>0</v>
      </c>
      <c r="CP89" s="450">
        <v>45</v>
      </c>
      <c r="CQ89" s="450">
        <v>308</v>
      </c>
      <c r="CR89" s="450">
        <v>13553</v>
      </c>
      <c r="CS89" s="450">
        <v>5605</v>
      </c>
      <c r="CT89" s="450">
        <v>16</v>
      </c>
      <c r="CU89" s="450">
        <v>0</v>
      </c>
      <c r="CV89" s="450">
        <v>0</v>
      </c>
      <c r="CW89" s="447">
        <v>18719216.79057584</v>
      </c>
      <c r="CX89" s="452">
        <v>1.1649479279270019</v>
      </c>
      <c r="CY89" s="452">
        <v>1.1933333333333331</v>
      </c>
      <c r="CZ89" s="447">
        <v>21806912.812597666</v>
      </c>
      <c r="DA89" s="454">
        <v>1023.7506601848582</v>
      </c>
      <c r="DB89" s="449">
        <v>25876.15</v>
      </c>
      <c r="DC89" s="452">
        <v>0.9906259238719822</v>
      </c>
      <c r="DD89" s="454">
        <v>354.1</v>
      </c>
      <c r="DE89" s="447">
        <v>86856</v>
      </c>
      <c r="DF89" s="454">
        <v>70.99606658348802</v>
      </c>
      <c r="DG89" s="454">
        <v>74.048897446578</v>
      </c>
      <c r="DH89" s="454">
        <v>75.6779731904027</v>
      </c>
      <c r="DI89" s="454">
        <v>77.34288860059154</v>
      </c>
      <c r="DJ89" s="454">
        <v>79.89520392441105</v>
      </c>
      <c r="DK89" s="454">
        <v>82.77143126568983</v>
      </c>
      <c r="DL89" s="454">
        <v>85.42011706619189</v>
      </c>
      <c r="DM89" s="454">
        <v>88.92234186590575</v>
      </c>
      <c r="DN89" s="454">
        <v>92.83492490800559</v>
      </c>
      <c r="DO89" s="454">
        <v>97.9408457779459</v>
      </c>
      <c r="DP89" s="454">
        <v>97.05937816594438</v>
      </c>
      <c r="DQ89" s="454">
        <v>102.00940645240753</v>
      </c>
      <c r="DR89" s="454">
        <v>108.23198024600438</v>
      </c>
      <c r="DS89" s="454">
        <v>53.97</v>
      </c>
      <c r="DT89" s="454">
        <v>57.20940331904026</v>
      </c>
      <c r="DU89" s="454">
        <v>60.5652189041183</v>
      </c>
      <c r="DV89" s="454">
        <v>64.7302877275113</v>
      </c>
      <c r="DW89" s="454">
        <v>69.30498568284285</v>
      </c>
      <c r="DX89" s="454">
        <v>73.83897386494348</v>
      </c>
      <c r="DY89" s="454">
        <v>79.27756580790607</v>
      </c>
      <c r="DZ89" s="454">
        <v>83.88457272618189</v>
      </c>
      <c r="EA89" s="454">
        <v>86.52731057506519</v>
      </c>
      <c r="EB89" s="454">
        <v>89.43286881443514</v>
      </c>
      <c r="EC89" s="454">
        <v>95.59703738965857</v>
      </c>
      <c r="ED89" s="454">
        <v>103.1293375643219</v>
      </c>
      <c r="EE89" s="454">
        <v>-3.64</v>
      </c>
      <c r="EF89" s="454">
        <v>99.4893375643219</v>
      </c>
      <c r="EG89" s="454">
        <v>5173.445553344739</v>
      </c>
      <c r="EH89" s="447">
        <v>131191476.09207785</v>
      </c>
      <c r="EI89" s="454">
        <v>64.42</v>
      </c>
      <c r="EJ89" s="454">
        <v>66.82131331904026</v>
      </c>
      <c r="EK89" s="454">
        <v>69.29710514411829</v>
      </c>
      <c r="EL89" s="454">
        <v>72.62282140269129</v>
      </c>
      <c r="EM89" s="454">
        <v>76.31355558640269</v>
      </c>
      <c r="EN89" s="454">
        <v>79.86634398200493</v>
      </c>
      <c r="EO89" s="454">
        <v>84.29715964139486</v>
      </c>
      <c r="EP89" s="454">
        <v>88.54275580365949</v>
      </c>
      <c r="EQ89" s="454">
        <v>90.96966450328632</v>
      </c>
      <c r="ER89" s="454">
        <v>92.4012439211892</v>
      </c>
      <c r="ES89" s="454">
        <v>98.09284717941738</v>
      </c>
      <c r="ET89" s="454">
        <v>105.11537820452247</v>
      </c>
      <c r="EU89" s="447">
        <v>859618451</v>
      </c>
      <c r="EV89" s="447">
        <v>0</v>
      </c>
      <c r="EW89" s="447">
        <v>0</v>
      </c>
      <c r="EX89" s="447">
        <v>0</v>
      </c>
      <c r="EY89" s="447">
        <v>0</v>
      </c>
      <c r="EZ89" s="447">
        <v>0</v>
      </c>
      <c r="FA89" s="447">
        <v>0</v>
      </c>
      <c r="FB89" s="447">
        <v>0</v>
      </c>
      <c r="FC89" s="447">
        <v>0</v>
      </c>
      <c r="FD89" s="447">
        <v>859618451</v>
      </c>
      <c r="FE89" s="447">
        <v>460733.500062646</v>
      </c>
      <c r="FF89" s="447">
        <v>0</v>
      </c>
      <c r="FG89" s="447">
        <v>0</v>
      </c>
      <c r="FH89" s="447">
        <v>27190</v>
      </c>
      <c r="FI89" s="456">
        <v>0.0917</v>
      </c>
      <c r="FJ89" s="447">
        <v>2493.3230000000003</v>
      </c>
      <c r="FK89" s="471">
        <v>2493.3230000000003</v>
      </c>
      <c r="FL89" s="446">
        <v>101.9</v>
      </c>
      <c r="FM89" s="450">
        <v>97.46</v>
      </c>
      <c r="FN89" s="450">
        <v>93.82</v>
      </c>
      <c r="FO89" s="450">
        <v>-3.64</v>
      </c>
      <c r="FP89" s="472">
        <v>92.35</v>
      </c>
      <c r="FQ89" s="446">
        <v>0</v>
      </c>
      <c r="FR89" s="450">
        <v>440445</v>
      </c>
      <c r="FS89" s="450">
        <v>0</v>
      </c>
      <c r="FT89" s="450">
        <v>0</v>
      </c>
      <c r="FU89" s="450">
        <v>0</v>
      </c>
      <c r="FV89" s="450">
        <v>0</v>
      </c>
      <c r="FW89" s="450">
        <v>0</v>
      </c>
      <c r="FX89" s="450">
        <v>0</v>
      </c>
      <c r="FY89" s="450">
        <v>0</v>
      </c>
      <c r="FZ89" s="450">
        <v>0</v>
      </c>
      <c r="GA89" s="450">
        <v>0</v>
      </c>
      <c r="GB89" s="450">
        <v>0</v>
      </c>
      <c r="GC89" s="450">
        <v>0</v>
      </c>
      <c r="GD89" s="450">
        <v>0</v>
      </c>
      <c r="GE89" s="450">
        <v>0</v>
      </c>
      <c r="GF89" s="450">
        <v>0</v>
      </c>
      <c r="GG89" s="450">
        <v>0</v>
      </c>
      <c r="GH89" s="450">
        <v>0</v>
      </c>
      <c r="GI89" s="450">
        <v>0</v>
      </c>
      <c r="GJ89" s="450">
        <v>0</v>
      </c>
      <c r="GK89" s="450">
        <v>0</v>
      </c>
      <c r="GL89" s="450">
        <v>0</v>
      </c>
      <c r="GM89" s="450">
        <v>0</v>
      </c>
      <c r="GN89" s="450">
        <v>0</v>
      </c>
      <c r="GO89" s="450">
        <v>0</v>
      </c>
      <c r="GP89" s="450">
        <v>0</v>
      </c>
      <c r="GQ89" s="450">
        <v>0</v>
      </c>
      <c r="GR89" s="450">
        <v>0</v>
      </c>
      <c r="GS89" s="450">
        <v>0</v>
      </c>
      <c r="GT89" s="450">
        <v>0</v>
      </c>
      <c r="GU89" s="450">
        <v>0</v>
      </c>
      <c r="GV89" s="450">
        <v>0</v>
      </c>
      <c r="GW89" s="450">
        <v>7022200</v>
      </c>
      <c r="GX89" s="450">
        <v>785823000</v>
      </c>
      <c r="GY89" s="450">
        <v>799332000</v>
      </c>
      <c r="GZ89" s="450">
        <v>8</v>
      </c>
      <c r="HA89" s="450" t="s">
        <v>888</v>
      </c>
      <c r="HB89" s="450" t="s">
        <v>888</v>
      </c>
      <c r="HC89" s="450">
        <v>0</v>
      </c>
      <c r="HD89" s="450">
        <v>0</v>
      </c>
      <c r="HE89" s="450">
        <v>0</v>
      </c>
      <c r="HF89" s="450">
        <v>0</v>
      </c>
      <c r="HG89" s="472">
        <v>0</v>
      </c>
    </row>
    <row r="90" spans="2:215" ht="12.75">
      <c r="B90" s="445" t="s">
        <v>769</v>
      </c>
      <c r="C90" s="446">
        <v>6921</v>
      </c>
      <c r="D90" s="447">
        <v>1643393</v>
      </c>
      <c r="E90" s="447">
        <v>1410031.194</v>
      </c>
      <c r="F90" s="447">
        <v>411370.257587355</v>
      </c>
      <c r="G90" s="447">
        <v>233361.806</v>
      </c>
      <c r="H90" s="448">
        <v>0.8682574772431729</v>
      </c>
      <c r="I90" s="449">
        <v>5983.47</v>
      </c>
      <c r="J90" s="449">
        <v>25.74</v>
      </c>
      <c r="K90" s="447">
        <v>1821401.4515873548</v>
      </c>
      <c r="L90" s="447">
        <v>1457121.1612698839</v>
      </c>
      <c r="M90" s="447">
        <v>796242.7111535423</v>
      </c>
      <c r="N90" s="447">
        <v>364280.29031747085</v>
      </c>
      <c r="O90" s="450">
        <v>2.1857968501661604</v>
      </c>
      <c r="P90" s="451">
        <v>0.0878485767952608</v>
      </c>
      <c r="Q90" s="452">
        <v>0.9121514232047392</v>
      </c>
      <c r="R90" s="447">
        <v>2253363.8724234262</v>
      </c>
      <c r="S90" s="447">
        <v>1523273.9777582362</v>
      </c>
      <c r="T90" s="447">
        <v>118601.64751037057</v>
      </c>
      <c r="U90" s="447">
        <v>511455.72012680455</v>
      </c>
      <c r="V90" s="447">
        <v>513766.96291254123</v>
      </c>
      <c r="W90" s="450">
        <v>0.995501379122094</v>
      </c>
      <c r="X90" s="452">
        <v>17.475530010117144</v>
      </c>
      <c r="Y90" s="447">
        <v>118601.64751037057</v>
      </c>
      <c r="Z90" s="447">
        <v>216322.93175264893</v>
      </c>
      <c r="AA90" s="448">
        <v>0.548262019886009</v>
      </c>
      <c r="AB90" s="448">
        <v>0.04312960554833117</v>
      </c>
      <c r="AC90" s="449">
        <v>312</v>
      </c>
      <c r="AD90" s="449">
        <v>285</v>
      </c>
      <c r="AE90" s="447">
        <v>2153331.3453954114</v>
      </c>
      <c r="AF90" s="447">
        <v>49247.42212155372</v>
      </c>
      <c r="AG90" s="451">
        <v>0.25</v>
      </c>
      <c r="AH90" s="450">
        <v>0.26094908360972974</v>
      </c>
      <c r="AI90" s="452">
        <v>0.21974781155586243</v>
      </c>
      <c r="AJ90" s="447">
        <v>2202578.767516965</v>
      </c>
      <c r="AK90" s="453">
        <v>1.1982</v>
      </c>
      <c r="AL90" s="447">
        <v>2639129.879238827</v>
      </c>
      <c r="AM90" s="447">
        <v>6208452.5851952955</v>
      </c>
      <c r="AN90" s="447">
        <v>6147173.929445386</v>
      </c>
      <c r="AO90" s="447">
        <v>7653894.6304600835</v>
      </c>
      <c r="AP90" s="447">
        <v>7653894.6304600835</v>
      </c>
      <c r="AQ90" s="447">
        <v>27684</v>
      </c>
      <c r="AR90" s="447">
        <v>7681578.6304600835</v>
      </c>
      <c r="AS90" s="454">
        <v>1109.8943260309325</v>
      </c>
      <c r="AT90" s="450">
        <v>6921</v>
      </c>
      <c r="AU90" s="450">
        <v>0</v>
      </c>
      <c r="AV90" s="450">
        <v>1</v>
      </c>
      <c r="AW90" s="450">
        <v>57</v>
      </c>
      <c r="AX90" s="450">
        <v>0</v>
      </c>
      <c r="AY90" s="450">
        <v>7</v>
      </c>
      <c r="AZ90" s="450">
        <v>10</v>
      </c>
      <c r="BA90" s="450">
        <v>67</v>
      </c>
      <c r="BB90" s="450">
        <v>0</v>
      </c>
      <c r="BC90" s="450">
        <v>210</v>
      </c>
      <c r="BD90" s="450">
        <v>200</v>
      </c>
      <c r="BE90" s="450">
        <v>3663</v>
      </c>
      <c r="BF90" s="450">
        <v>2650</v>
      </c>
      <c r="BG90" s="450">
        <v>12</v>
      </c>
      <c r="BH90" s="450">
        <v>44</v>
      </c>
      <c r="BI90" s="450">
        <v>0</v>
      </c>
      <c r="BJ90" s="452">
        <v>1.8422889960345168</v>
      </c>
      <c r="BK90" s="452">
        <v>9.016066041752222</v>
      </c>
      <c r="BL90" s="452">
        <v>3.4150158416857472</v>
      </c>
      <c r="BM90" s="452">
        <v>11.202100400132949</v>
      </c>
      <c r="BN90" s="449">
        <v>608</v>
      </c>
      <c r="BO90" s="449">
        <v>6313</v>
      </c>
      <c r="BP90" s="447">
        <v>2163532.6128510474</v>
      </c>
      <c r="BQ90" s="447">
        <v>9053974</v>
      </c>
      <c r="BR90" s="447">
        <v>8847794</v>
      </c>
      <c r="BS90" s="448">
        <v>0.04312960554833117</v>
      </c>
      <c r="BT90" s="449">
        <v>312</v>
      </c>
      <c r="BU90" s="449">
        <v>285</v>
      </c>
      <c r="BV90" s="447">
        <v>381601.8651928912</v>
      </c>
      <c r="BW90" s="448">
        <v>0.007287745444341615</v>
      </c>
      <c r="BX90" s="447">
        <v>7187.591264260637</v>
      </c>
      <c r="BY90" s="447">
        <v>11606296.069308199</v>
      </c>
      <c r="BZ90" s="455">
        <v>1.1933333333333331</v>
      </c>
      <c r="CA90" s="447">
        <v>13850179.976041116</v>
      </c>
      <c r="CB90" s="447">
        <v>10415710.764161931</v>
      </c>
      <c r="CC90" s="447">
        <v>10402962.761956869</v>
      </c>
      <c r="CD90" s="447">
        <v>10236635.072778553</v>
      </c>
      <c r="CE90" s="447">
        <v>10402962.761956869</v>
      </c>
      <c r="CF90" s="454">
        <v>1503.101107059221</v>
      </c>
      <c r="CG90" s="450">
        <v>6921</v>
      </c>
      <c r="CH90" s="450">
        <v>0</v>
      </c>
      <c r="CI90" s="450">
        <v>1</v>
      </c>
      <c r="CJ90" s="450">
        <v>57</v>
      </c>
      <c r="CK90" s="450">
        <v>0</v>
      </c>
      <c r="CL90" s="450">
        <v>7</v>
      </c>
      <c r="CM90" s="450">
        <v>10</v>
      </c>
      <c r="CN90" s="450">
        <v>67</v>
      </c>
      <c r="CO90" s="450">
        <v>0</v>
      </c>
      <c r="CP90" s="450">
        <v>210</v>
      </c>
      <c r="CQ90" s="450">
        <v>200</v>
      </c>
      <c r="CR90" s="450">
        <v>3663</v>
      </c>
      <c r="CS90" s="450">
        <v>2650</v>
      </c>
      <c r="CT90" s="450">
        <v>12</v>
      </c>
      <c r="CU90" s="450">
        <v>44</v>
      </c>
      <c r="CV90" s="450">
        <v>0</v>
      </c>
      <c r="CW90" s="447">
        <v>6240822.816899748</v>
      </c>
      <c r="CX90" s="452">
        <v>1.1649479279270019</v>
      </c>
      <c r="CY90" s="452">
        <v>1.1933333333333331</v>
      </c>
      <c r="CZ90" s="447">
        <v>7270233.609106916</v>
      </c>
      <c r="DA90" s="454">
        <v>1050.4599926465708</v>
      </c>
      <c r="DB90" s="449">
        <v>6921</v>
      </c>
      <c r="DC90" s="452">
        <v>0.9742089293454704</v>
      </c>
      <c r="DD90" s="454">
        <v>354.1</v>
      </c>
      <c r="DE90" s="447">
        <v>113380</v>
      </c>
      <c r="DF90" s="454">
        <v>79.02971430951456</v>
      </c>
      <c r="DG90" s="454">
        <v>82.42799202482368</v>
      </c>
      <c r="DH90" s="454">
        <v>84.24140784936978</v>
      </c>
      <c r="DI90" s="454">
        <v>86.0947188220559</v>
      </c>
      <c r="DJ90" s="454">
        <v>88.93584454318373</v>
      </c>
      <c r="DK90" s="454">
        <v>92.13753494673833</v>
      </c>
      <c r="DL90" s="454">
        <v>95.08593606503393</v>
      </c>
      <c r="DM90" s="454">
        <v>98.98445944370032</v>
      </c>
      <c r="DN90" s="454">
        <v>103.33977565922311</v>
      </c>
      <c r="DO90" s="454">
        <v>109.02346332048037</v>
      </c>
      <c r="DP90" s="454">
        <v>108.04225215059606</v>
      </c>
      <c r="DQ90" s="454">
        <v>113.55240701027645</v>
      </c>
      <c r="DR90" s="454">
        <v>120.47910383790331</v>
      </c>
      <c r="DS90" s="454">
        <v>64.13</v>
      </c>
      <c r="DT90" s="454">
        <v>67.41091478493696</v>
      </c>
      <c r="DU90" s="454">
        <v>70.80515090041116</v>
      </c>
      <c r="DV90" s="454">
        <v>75.1159863380071</v>
      </c>
      <c r="DW90" s="454">
        <v>79.86550086054149</v>
      </c>
      <c r="DX90" s="454">
        <v>84.53198675090465</v>
      </c>
      <c r="DY90" s="454">
        <v>90.19513045489344</v>
      </c>
      <c r="DZ90" s="454">
        <v>95.18327835761033</v>
      </c>
      <c r="EA90" s="454">
        <v>98.04135068173976</v>
      </c>
      <c r="EB90" s="454">
        <v>100.70401879433112</v>
      </c>
      <c r="EC90" s="454">
        <v>107.38242040432888</v>
      </c>
      <c r="ED90" s="454">
        <v>115.56933699622053</v>
      </c>
      <c r="EE90" s="454">
        <v>-8.26</v>
      </c>
      <c r="EF90" s="454">
        <v>107.30933699622052</v>
      </c>
      <c r="EG90" s="454">
        <v>5580.085523803467</v>
      </c>
      <c r="EH90" s="447">
        <v>37847376.47203892</v>
      </c>
      <c r="EI90" s="454">
        <v>71.04</v>
      </c>
      <c r="EJ90" s="454">
        <v>73.76673278493698</v>
      </c>
      <c r="EK90" s="454">
        <v>76.57905845241116</v>
      </c>
      <c r="EL90" s="454">
        <v>80.3348770265711</v>
      </c>
      <c r="EM90" s="454">
        <v>84.49987579198633</v>
      </c>
      <c r="EN90" s="454">
        <v>88.51754919194721</v>
      </c>
      <c r="EO90" s="454">
        <v>93.51430685579369</v>
      </c>
      <c r="EP90" s="454">
        <v>98.26347405764577</v>
      </c>
      <c r="EQ90" s="454">
        <v>100.97883064767353</v>
      </c>
      <c r="ER90" s="454">
        <v>102.6668390802326</v>
      </c>
      <c r="ES90" s="454">
        <v>109.03275970071486</v>
      </c>
      <c r="ET90" s="454">
        <v>116.88259449131968</v>
      </c>
      <c r="EU90" s="447">
        <v>196626763</v>
      </c>
      <c r="EV90" s="447">
        <v>0</v>
      </c>
      <c r="EW90" s="447">
        <v>0</v>
      </c>
      <c r="EX90" s="447">
        <v>0</v>
      </c>
      <c r="EY90" s="447">
        <v>0</v>
      </c>
      <c r="EZ90" s="447">
        <v>0</v>
      </c>
      <c r="FA90" s="447">
        <v>0</v>
      </c>
      <c r="FB90" s="447">
        <v>0</v>
      </c>
      <c r="FC90" s="447">
        <v>0</v>
      </c>
      <c r="FD90" s="447">
        <v>196626763</v>
      </c>
      <c r="FE90" s="447">
        <v>136640.3819413109</v>
      </c>
      <c r="FF90" s="447">
        <v>0</v>
      </c>
      <c r="FG90" s="447">
        <v>0</v>
      </c>
      <c r="FH90" s="447">
        <v>34095</v>
      </c>
      <c r="FI90" s="456">
        <v>0.0509</v>
      </c>
      <c r="FJ90" s="447">
        <v>1735.4355</v>
      </c>
      <c r="FK90" s="471">
        <v>1735.4355</v>
      </c>
      <c r="FL90" s="446">
        <v>113.54</v>
      </c>
      <c r="FM90" s="450">
        <v>108.28</v>
      </c>
      <c r="FN90" s="450">
        <v>100.02</v>
      </c>
      <c r="FO90" s="450">
        <v>-8.26</v>
      </c>
      <c r="FP90" s="472">
        <v>98.84</v>
      </c>
      <c r="FQ90" s="446">
        <v>0</v>
      </c>
      <c r="FR90" s="450">
        <v>0</v>
      </c>
      <c r="FS90" s="450">
        <v>0</v>
      </c>
      <c r="FT90" s="450">
        <v>0</v>
      </c>
      <c r="FU90" s="450">
        <v>0</v>
      </c>
      <c r="FV90" s="450">
        <v>0</v>
      </c>
      <c r="FW90" s="450">
        <v>0</v>
      </c>
      <c r="FX90" s="450">
        <v>0</v>
      </c>
      <c r="FY90" s="450">
        <v>0</v>
      </c>
      <c r="FZ90" s="450">
        <v>0</v>
      </c>
      <c r="GA90" s="450">
        <v>0</v>
      </c>
      <c r="GB90" s="450">
        <v>0</v>
      </c>
      <c r="GC90" s="450">
        <v>0</v>
      </c>
      <c r="GD90" s="450">
        <v>0</v>
      </c>
      <c r="GE90" s="450">
        <v>0</v>
      </c>
      <c r="GF90" s="450">
        <v>0</v>
      </c>
      <c r="GG90" s="450">
        <v>0</v>
      </c>
      <c r="GH90" s="450">
        <v>0</v>
      </c>
      <c r="GI90" s="450">
        <v>0</v>
      </c>
      <c r="GJ90" s="450">
        <v>0</v>
      </c>
      <c r="GK90" s="450">
        <v>0</v>
      </c>
      <c r="GL90" s="450">
        <v>0</v>
      </c>
      <c r="GM90" s="450">
        <v>0</v>
      </c>
      <c r="GN90" s="450">
        <v>0</v>
      </c>
      <c r="GO90" s="450">
        <v>0</v>
      </c>
      <c r="GP90" s="450">
        <v>0</v>
      </c>
      <c r="GQ90" s="450">
        <v>0</v>
      </c>
      <c r="GR90" s="450">
        <v>0</v>
      </c>
      <c r="GS90" s="450">
        <v>0</v>
      </c>
      <c r="GT90" s="450">
        <v>0</v>
      </c>
      <c r="GU90" s="450">
        <v>0</v>
      </c>
      <c r="GV90" s="450">
        <v>0</v>
      </c>
      <c r="GW90" s="450">
        <v>0</v>
      </c>
      <c r="GX90" s="450">
        <v>185204110</v>
      </c>
      <c r="GY90" s="450">
        <v>185204110</v>
      </c>
      <c r="GZ90" s="450">
        <v>0</v>
      </c>
      <c r="HA90" s="450" t="s">
        <v>888</v>
      </c>
      <c r="HB90" s="450" t="s">
        <v>888</v>
      </c>
      <c r="HC90" s="450">
        <v>0</v>
      </c>
      <c r="HD90" s="450">
        <v>0</v>
      </c>
      <c r="HE90" s="450">
        <v>11</v>
      </c>
      <c r="HF90" s="450">
        <v>0</v>
      </c>
      <c r="HG90" s="472">
        <v>0</v>
      </c>
    </row>
    <row r="91" spans="2:215" ht="12.75">
      <c r="B91" s="445" t="s">
        <v>770</v>
      </c>
      <c r="C91" s="446">
        <v>3804</v>
      </c>
      <c r="D91" s="447">
        <v>917132</v>
      </c>
      <c r="E91" s="447">
        <v>786899.2559999999</v>
      </c>
      <c r="F91" s="447">
        <v>117098.59452363764</v>
      </c>
      <c r="G91" s="447">
        <v>130232.74400000002</v>
      </c>
      <c r="H91" s="448">
        <v>0.44287066246056783</v>
      </c>
      <c r="I91" s="449">
        <v>1393.74</v>
      </c>
      <c r="J91" s="449">
        <v>290.94</v>
      </c>
      <c r="K91" s="447">
        <v>903997.8505236376</v>
      </c>
      <c r="L91" s="447">
        <v>723198.2804189101</v>
      </c>
      <c r="M91" s="447">
        <v>203043.05033843216</v>
      </c>
      <c r="N91" s="447">
        <v>180799.5701047275</v>
      </c>
      <c r="O91" s="450">
        <v>1.1230283911671926</v>
      </c>
      <c r="P91" s="451">
        <v>0.9053627760252366</v>
      </c>
      <c r="Q91" s="452">
        <v>0.0946372239747634</v>
      </c>
      <c r="R91" s="447">
        <v>926241.3307573423</v>
      </c>
      <c r="S91" s="447">
        <v>626139.1395919634</v>
      </c>
      <c r="T91" s="447">
        <v>64480.33577429599</v>
      </c>
      <c r="U91" s="447">
        <v>169493.74852411204</v>
      </c>
      <c r="V91" s="447">
        <v>211183.02341267405</v>
      </c>
      <c r="W91" s="450">
        <v>0.8025917319731865</v>
      </c>
      <c r="X91" s="452">
        <v>14.08909740570949</v>
      </c>
      <c r="Y91" s="447">
        <v>64480.33577429599</v>
      </c>
      <c r="Z91" s="447">
        <v>88919.16775270486</v>
      </c>
      <c r="AA91" s="448">
        <v>0.7251567620788325</v>
      </c>
      <c r="AB91" s="448">
        <v>0.05704521556256572</v>
      </c>
      <c r="AC91" s="449">
        <v>317</v>
      </c>
      <c r="AD91" s="449">
        <v>117</v>
      </c>
      <c r="AE91" s="447">
        <v>860113.2238903714</v>
      </c>
      <c r="AF91" s="447">
        <v>0</v>
      </c>
      <c r="AG91" s="451">
        <v>0</v>
      </c>
      <c r="AH91" s="450">
        <v>0.0961055802342256</v>
      </c>
      <c r="AI91" s="452">
        <v>0.08093146234750748</v>
      </c>
      <c r="AJ91" s="447">
        <v>860113.2238903714</v>
      </c>
      <c r="AK91" s="453">
        <v>1.0093</v>
      </c>
      <c r="AL91" s="447">
        <v>868112.2768725519</v>
      </c>
      <c r="AM91" s="447">
        <v>2042201.0875583119</v>
      </c>
      <c r="AN91" s="447">
        <v>2022044.158645785</v>
      </c>
      <c r="AO91" s="447">
        <v>1960999.3369656254</v>
      </c>
      <c r="AP91" s="447">
        <v>2022044.158645785</v>
      </c>
      <c r="AQ91" s="447">
        <v>15216</v>
      </c>
      <c r="AR91" s="447">
        <v>2037260.158645785</v>
      </c>
      <c r="AS91" s="454">
        <v>535.5573498017311</v>
      </c>
      <c r="AT91" s="450">
        <v>3804</v>
      </c>
      <c r="AU91" s="450">
        <v>164</v>
      </c>
      <c r="AV91" s="450">
        <v>469</v>
      </c>
      <c r="AW91" s="450">
        <v>360</v>
      </c>
      <c r="AX91" s="450">
        <v>0</v>
      </c>
      <c r="AY91" s="450">
        <v>542</v>
      </c>
      <c r="AZ91" s="450">
        <v>41</v>
      </c>
      <c r="BA91" s="450">
        <v>159</v>
      </c>
      <c r="BB91" s="450">
        <v>28</v>
      </c>
      <c r="BC91" s="450">
        <v>30</v>
      </c>
      <c r="BD91" s="450">
        <v>1176</v>
      </c>
      <c r="BE91" s="450">
        <v>360</v>
      </c>
      <c r="BF91" s="450">
        <v>0</v>
      </c>
      <c r="BG91" s="450">
        <v>475</v>
      </c>
      <c r="BH91" s="450">
        <v>0</v>
      </c>
      <c r="BI91" s="450">
        <v>0</v>
      </c>
      <c r="BJ91" s="452">
        <v>1.4434927245915232</v>
      </c>
      <c r="BK91" s="452">
        <v>12.35857458736636</v>
      </c>
      <c r="BL91" s="452">
        <v>7.822931424473841</v>
      </c>
      <c r="BM91" s="452">
        <v>9.07128632578504</v>
      </c>
      <c r="BN91" s="449">
        <v>3444</v>
      </c>
      <c r="BO91" s="449">
        <v>360</v>
      </c>
      <c r="BP91" s="447">
        <v>1128495.1857238857</v>
      </c>
      <c r="BQ91" s="447">
        <v>3988369</v>
      </c>
      <c r="BR91" s="447">
        <v>5151926</v>
      </c>
      <c r="BS91" s="448">
        <v>0.05704521556256572</v>
      </c>
      <c r="BT91" s="449">
        <v>317</v>
      </c>
      <c r="BU91" s="449">
        <v>117</v>
      </c>
      <c r="BV91" s="447">
        <v>293892.729232387</v>
      </c>
      <c r="BW91" s="448">
        <v>0.009196477395129465</v>
      </c>
      <c r="BX91" s="447">
        <v>6833.365379716495</v>
      </c>
      <c r="BY91" s="447">
        <v>5417590.28033599</v>
      </c>
      <c r="BZ91" s="455">
        <v>0.96</v>
      </c>
      <c r="CA91" s="447">
        <v>5200886.66912255</v>
      </c>
      <c r="CB91" s="447">
        <v>3911207.7501140204</v>
      </c>
      <c r="CC91" s="447">
        <v>3906420.7426642296</v>
      </c>
      <c r="CD91" s="447">
        <v>3870426.5962768425</v>
      </c>
      <c r="CE91" s="447">
        <v>3906420.7426642296</v>
      </c>
      <c r="CF91" s="454">
        <v>1026.9244854532676</v>
      </c>
      <c r="CG91" s="450">
        <v>3804</v>
      </c>
      <c r="CH91" s="450">
        <v>164</v>
      </c>
      <c r="CI91" s="450">
        <v>469</v>
      </c>
      <c r="CJ91" s="450">
        <v>360</v>
      </c>
      <c r="CK91" s="450">
        <v>0</v>
      </c>
      <c r="CL91" s="450">
        <v>542</v>
      </c>
      <c r="CM91" s="450">
        <v>41</v>
      </c>
      <c r="CN91" s="450">
        <v>159</v>
      </c>
      <c r="CO91" s="450">
        <v>28</v>
      </c>
      <c r="CP91" s="450">
        <v>30</v>
      </c>
      <c r="CQ91" s="450">
        <v>1176</v>
      </c>
      <c r="CR91" s="450">
        <v>360</v>
      </c>
      <c r="CS91" s="450">
        <v>0</v>
      </c>
      <c r="CT91" s="450">
        <v>475</v>
      </c>
      <c r="CU91" s="450">
        <v>0</v>
      </c>
      <c r="CV91" s="450">
        <v>0</v>
      </c>
      <c r="CW91" s="447">
        <v>2687260.260902675</v>
      </c>
      <c r="CX91" s="452">
        <v>0.9371648135278675</v>
      </c>
      <c r="CY91" s="452">
        <v>0.96</v>
      </c>
      <c r="CZ91" s="447">
        <v>2518405.761309704</v>
      </c>
      <c r="DA91" s="454">
        <v>662.0414724788916</v>
      </c>
      <c r="DB91" s="449">
        <v>3804</v>
      </c>
      <c r="DC91" s="452">
        <v>1.002707676130389</v>
      </c>
      <c r="DD91" s="454">
        <v>328.5</v>
      </c>
      <c r="DE91" s="447">
        <v>32246</v>
      </c>
      <c r="DF91" s="454">
        <v>50.42441987997081</v>
      </c>
      <c r="DG91" s="454">
        <v>52.59266993480956</v>
      </c>
      <c r="DH91" s="454">
        <v>53.74970867337536</v>
      </c>
      <c r="DI91" s="454">
        <v>54.932202264189606</v>
      </c>
      <c r="DJ91" s="454">
        <v>56.744964938907856</v>
      </c>
      <c r="DK91" s="454">
        <v>58.78778367670853</v>
      </c>
      <c r="DL91" s="454">
        <v>60.66899275436319</v>
      </c>
      <c r="DM91" s="454">
        <v>63.156421457292076</v>
      </c>
      <c r="DN91" s="454">
        <v>65.93530400141292</v>
      </c>
      <c r="DO91" s="454">
        <v>69.56174572149062</v>
      </c>
      <c r="DP91" s="454">
        <v>68.9356900099972</v>
      </c>
      <c r="DQ91" s="454">
        <v>72.45141020050706</v>
      </c>
      <c r="DR91" s="454">
        <v>76.87094622273798</v>
      </c>
      <c r="DS91" s="454">
        <v>36.93</v>
      </c>
      <c r="DT91" s="454">
        <v>39.34318486733753</v>
      </c>
      <c r="DU91" s="454">
        <v>41.84467574883791</v>
      </c>
      <c r="DV91" s="454">
        <v>44.915476909844344</v>
      </c>
      <c r="DW91" s="454">
        <v>48.28319830690013</v>
      </c>
      <c r="DX91" s="454">
        <v>51.635049336327974</v>
      </c>
      <c r="DY91" s="454">
        <v>55.632953378752354</v>
      </c>
      <c r="DZ91" s="454">
        <v>58.953525624528055</v>
      </c>
      <c r="EA91" s="454">
        <v>60.859461985357626</v>
      </c>
      <c r="EB91" s="454">
        <v>63.12083535599358</v>
      </c>
      <c r="EC91" s="454">
        <v>67.5622804074208</v>
      </c>
      <c r="ED91" s="454">
        <v>72.9804211898896</v>
      </c>
      <c r="EE91" s="454">
        <v>-1.24</v>
      </c>
      <c r="EF91" s="454">
        <v>71.7404211898896</v>
      </c>
      <c r="EG91" s="454">
        <v>3730.501901874259</v>
      </c>
      <c r="EH91" s="447">
        <v>13907012.650035087</v>
      </c>
      <c r="EI91" s="454">
        <v>41.77</v>
      </c>
      <c r="EJ91" s="454">
        <v>43.79501686733753</v>
      </c>
      <c r="EK91" s="454">
        <v>45.88891779683791</v>
      </c>
      <c r="EL91" s="454">
        <v>48.57096619098034</v>
      </c>
      <c r="EM91" s="454">
        <v>51.529272788548894</v>
      </c>
      <c r="EN91" s="454">
        <v>54.42667339054591</v>
      </c>
      <c r="EO91" s="454">
        <v>57.957817891105044</v>
      </c>
      <c r="EP91" s="454">
        <v>61.110999891991355</v>
      </c>
      <c r="EQ91" s="454">
        <v>62.916973278428465</v>
      </c>
      <c r="ER91" s="454">
        <v>64.49566172122704</v>
      </c>
      <c r="ES91" s="454">
        <v>68.7182344153091</v>
      </c>
      <c r="ET91" s="454">
        <v>73.90027159166671</v>
      </c>
      <c r="EU91" s="447">
        <v>6225700</v>
      </c>
      <c r="EV91" s="447">
        <v>0</v>
      </c>
      <c r="EW91" s="447">
        <v>0</v>
      </c>
      <c r="EX91" s="447">
        <v>17500</v>
      </c>
      <c r="EY91" s="447">
        <v>0</v>
      </c>
      <c r="EZ91" s="447">
        <v>0</v>
      </c>
      <c r="FA91" s="447">
        <v>0</v>
      </c>
      <c r="FB91" s="447">
        <v>0</v>
      </c>
      <c r="FC91" s="447">
        <v>0</v>
      </c>
      <c r="FD91" s="447">
        <v>6243200</v>
      </c>
      <c r="FE91" s="447">
        <v>43574.3545860484</v>
      </c>
      <c r="FF91" s="447">
        <v>0</v>
      </c>
      <c r="FG91" s="447">
        <v>0</v>
      </c>
      <c r="FH91" s="447">
        <v>6900</v>
      </c>
      <c r="FI91" s="456">
        <v>0.0313</v>
      </c>
      <c r="FJ91" s="447">
        <v>215.97</v>
      </c>
      <c r="FK91" s="471">
        <v>215.97</v>
      </c>
      <c r="FL91" s="446">
        <v>72.46</v>
      </c>
      <c r="FM91" s="450">
        <v>68.02</v>
      </c>
      <c r="FN91" s="450">
        <v>66.42</v>
      </c>
      <c r="FO91" s="450">
        <v>-1.6</v>
      </c>
      <c r="FP91" s="472">
        <v>66.78</v>
      </c>
      <c r="FQ91" s="446">
        <v>43048</v>
      </c>
      <c r="FR91" s="450">
        <v>0</v>
      </c>
      <c r="FS91" s="450">
        <v>0</v>
      </c>
      <c r="FT91" s="450">
        <v>0</v>
      </c>
      <c r="FU91" s="450">
        <v>0</v>
      </c>
      <c r="FV91" s="450">
        <v>0</v>
      </c>
      <c r="FW91" s="450">
        <v>0</v>
      </c>
      <c r="FX91" s="450">
        <v>0</v>
      </c>
      <c r="FY91" s="450">
        <v>0</v>
      </c>
      <c r="FZ91" s="450">
        <v>0</v>
      </c>
      <c r="GA91" s="450">
        <v>0</v>
      </c>
      <c r="GB91" s="450">
        <v>0</v>
      </c>
      <c r="GC91" s="450">
        <v>0</v>
      </c>
      <c r="GD91" s="450">
        <v>0</v>
      </c>
      <c r="GE91" s="450">
        <v>0</v>
      </c>
      <c r="GF91" s="450">
        <v>0</v>
      </c>
      <c r="GG91" s="450">
        <v>0</v>
      </c>
      <c r="GH91" s="450">
        <v>0</v>
      </c>
      <c r="GI91" s="450">
        <v>0</v>
      </c>
      <c r="GJ91" s="450">
        <v>0</v>
      </c>
      <c r="GK91" s="450">
        <v>0</v>
      </c>
      <c r="GL91" s="450">
        <v>0</v>
      </c>
      <c r="GM91" s="450">
        <v>0</v>
      </c>
      <c r="GN91" s="450">
        <v>0</v>
      </c>
      <c r="GO91" s="450">
        <v>0</v>
      </c>
      <c r="GP91" s="450">
        <v>0</v>
      </c>
      <c r="GQ91" s="450">
        <v>0</v>
      </c>
      <c r="GR91" s="450">
        <v>0</v>
      </c>
      <c r="GS91" s="450">
        <v>0</v>
      </c>
      <c r="GT91" s="450">
        <v>0</v>
      </c>
      <c r="GU91" s="450">
        <v>0</v>
      </c>
      <c r="GV91" s="450">
        <v>0</v>
      </c>
      <c r="GW91" s="450">
        <v>0</v>
      </c>
      <c r="GX91" s="450">
        <v>4819000</v>
      </c>
      <c r="GY91" s="450">
        <v>4819000</v>
      </c>
      <c r="GZ91" s="450">
        <v>0</v>
      </c>
      <c r="HA91" s="450" t="s">
        <v>888</v>
      </c>
      <c r="HB91" s="450" t="s">
        <v>888</v>
      </c>
      <c r="HC91" s="450">
        <v>0</v>
      </c>
      <c r="HD91" s="450">
        <v>0</v>
      </c>
      <c r="HE91" s="450">
        <v>0</v>
      </c>
      <c r="HF91" s="450">
        <v>0</v>
      </c>
      <c r="HG91" s="472">
        <v>0</v>
      </c>
    </row>
    <row r="92" spans="2:215" ht="12.75">
      <c r="B92" s="445" t="s">
        <v>771</v>
      </c>
      <c r="C92" s="446">
        <v>25635</v>
      </c>
      <c r="D92" s="447">
        <v>6003755</v>
      </c>
      <c r="E92" s="447">
        <v>5151221.79</v>
      </c>
      <c r="F92" s="447">
        <v>526849.9398126034</v>
      </c>
      <c r="G92" s="447">
        <v>852533.21</v>
      </c>
      <c r="H92" s="448">
        <v>0.3043834601131266</v>
      </c>
      <c r="I92" s="449">
        <v>5234.98</v>
      </c>
      <c r="J92" s="449">
        <v>2567.89</v>
      </c>
      <c r="K92" s="447">
        <v>5678071.729812603</v>
      </c>
      <c r="L92" s="447">
        <v>4542457.383850083</v>
      </c>
      <c r="M92" s="447">
        <v>1309706.4395142314</v>
      </c>
      <c r="N92" s="447">
        <v>1135614.3459625205</v>
      </c>
      <c r="O92" s="450">
        <v>1.15330212599961</v>
      </c>
      <c r="P92" s="451">
        <v>0.8820752876926078</v>
      </c>
      <c r="Q92" s="452">
        <v>0.11792471230739224</v>
      </c>
      <c r="R92" s="447">
        <v>5852163.823364314</v>
      </c>
      <c r="S92" s="447">
        <v>3956062.7445942764</v>
      </c>
      <c r="T92" s="447">
        <v>639087.724063805</v>
      </c>
      <c r="U92" s="447">
        <v>1944589.3139986298</v>
      </c>
      <c r="V92" s="447">
        <v>1334293.3517270635</v>
      </c>
      <c r="W92" s="450">
        <v>1.4573926426910695</v>
      </c>
      <c r="X92" s="452">
        <v>25.583800683763883</v>
      </c>
      <c r="Y92" s="447">
        <v>639087.724063805</v>
      </c>
      <c r="Z92" s="447">
        <v>561807.7270429741</v>
      </c>
      <c r="AA92" s="448">
        <v>1.1375559525099226</v>
      </c>
      <c r="AB92" s="448">
        <v>0.0894870294519212</v>
      </c>
      <c r="AC92" s="449">
        <v>2198</v>
      </c>
      <c r="AD92" s="449">
        <v>2390</v>
      </c>
      <c r="AE92" s="447">
        <v>6539739.7826567115</v>
      </c>
      <c r="AF92" s="447">
        <v>1434189.4336537195</v>
      </c>
      <c r="AG92" s="451">
        <v>1</v>
      </c>
      <c r="AH92" s="450">
        <v>0.6202161483438159</v>
      </c>
      <c r="AI92" s="452">
        <v>0.5222901701927185</v>
      </c>
      <c r="AJ92" s="447">
        <v>7973929.216310431</v>
      </c>
      <c r="AK92" s="453">
        <v>1</v>
      </c>
      <c r="AL92" s="447">
        <v>7973929.216310431</v>
      </c>
      <c r="AM92" s="447">
        <v>18758364.96210833</v>
      </c>
      <c r="AN92" s="447">
        <v>18573216.187406357</v>
      </c>
      <c r="AO92" s="447">
        <v>18283534.00819328</v>
      </c>
      <c r="AP92" s="447">
        <v>18573216.187406357</v>
      </c>
      <c r="AQ92" s="447">
        <v>102540</v>
      </c>
      <c r="AR92" s="447">
        <v>18675756.187406357</v>
      </c>
      <c r="AS92" s="454">
        <v>728.5256948471371</v>
      </c>
      <c r="AT92" s="450">
        <v>25635</v>
      </c>
      <c r="AU92" s="450">
        <v>549</v>
      </c>
      <c r="AV92" s="450">
        <v>898</v>
      </c>
      <c r="AW92" s="450">
        <v>3085</v>
      </c>
      <c r="AX92" s="450">
        <v>2107</v>
      </c>
      <c r="AY92" s="450">
        <v>2250</v>
      </c>
      <c r="AZ92" s="450">
        <v>1842</v>
      </c>
      <c r="BA92" s="450">
        <v>2013</v>
      </c>
      <c r="BB92" s="450">
        <v>4183</v>
      </c>
      <c r="BC92" s="450">
        <v>285</v>
      </c>
      <c r="BD92" s="450">
        <v>2573</v>
      </c>
      <c r="BE92" s="450">
        <v>1079</v>
      </c>
      <c r="BF92" s="450">
        <v>1945</v>
      </c>
      <c r="BG92" s="450">
        <v>2820</v>
      </c>
      <c r="BH92" s="450">
        <v>1</v>
      </c>
      <c r="BI92" s="450">
        <v>5</v>
      </c>
      <c r="BJ92" s="452">
        <v>1.9772983217722735</v>
      </c>
      <c r="BK92" s="452">
        <v>26.042460105068507</v>
      </c>
      <c r="BL92" s="452">
        <v>17.461876443115496</v>
      </c>
      <c r="BM92" s="452">
        <v>17.161167323906017</v>
      </c>
      <c r="BN92" s="449">
        <v>22611</v>
      </c>
      <c r="BO92" s="449">
        <v>3024</v>
      </c>
      <c r="BP92" s="447">
        <v>10539092.98806734</v>
      </c>
      <c r="BQ92" s="447">
        <v>27572099</v>
      </c>
      <c r="BR92" s="447">
        <v>37582692</v>
      </c>
      <c r="BS92" s="448">
        <v>0.0894870294519212</v>
      </c>
      <c r="BT92" s="449">
        <v>2198</v>
      </c>
      <c r="BU92" s="449">
        <v>2390</v>
      </c>
      <c r="BV92" s="447">
        <v>3363163.4658864834</v>
      </c>
      <c r="BW92" s="448">
        <v>0.016917586231484386</v>
      </c>
      <c r="BX92" s="447">
        <v>178508.11838738574</v>
      </c>
      <c r="BY92" s="447">
        <v>41652863.5723412</v>
      </c>
      <c r="BZ92" s="455">
        <v>0.9266666666666666</v>
      </c>
      <c r="CA92" s="447">
        <v>38598320.24370285</v>
      </c>
      <c r="CB92" s="447">
        <v>29026983.06710521</v>
      </c>
      <c r="CC92" s="447">
        <v>28991456.34669944</v>
      </c>
      <c r="CD92" s="447">
        <v>28406849.757950246</v>
      </c>
      <c r="CE92" s="447">
        <v>28991456.34669944</v>
      </c>
      <c r="CF92" s="454">
        <v>1130.9325666744467</v>
      </c>
      <c r="CG92" s="450">
        <v>25635</v>
      </c>
      <c r="CH92" s="450">
        <v>549</v>
      </c>
      <c r="CI92" s="450">
        <v>898</v>
      </c>
      <c r="CJ92" s="450">
        <v>3085</v>
      </c>
      <c r="CK92" s="450">
        <v>2107</v>
      </c>
      <c r="CL92" s="450">
        <v>2250</v>
      </c>
      <c r="CM92" s="450">
        <v>1842</v>
      </c>
      <c r="CN92" s="450">
        <v>2013</v>
      </c>
      <c r="CO92" s="450">
        <v>4183</v>
      </c>
      <c r="CP92" s="450">
        <v>285</v>
      </c>
      <c r="CQ92" s="450">
        <v>2573</v>
      </c>
      <c r="CR92" s="450">
        <v>1079</v>
      </c>
      <c r="CS92" s="450">
        <v>1945</v>
      </c>
      <c r="CT92" s="450">
        <v>2820</v>
      </c>
      <c r="CU92" s="450">
        <v>1</v>
      </c>
      <c r="CV92" s="450">
        <v>5</v>
      </c>
      <c r="CW92" s="447">
        <v>17976968.466432348</v>
      </c>
      <c r="CX92" s="452">
        <v>0.9046243686137054</v>
      </c>
      <c r="CY92" s="452">
        <v>0.9266666666666666</v>
      </c>
      <c r="CZ92" s="447">
        <v>16262403.748534855</v>
      </c>
      <c r="DA92" s="454">
        <v>634.3828261570062</v>
      </c>
      <c r="DB92" s="449">
        <v>25635</v>
      </c>
      <c r="DC92" s="452">
        <v>1.0225238931148821</v>
      </c>
      <c r="DD92" s="454">
        <v>318.4</v>
      </c>
      <c r="DE92" s="447">
        <v>21424</v>
      </c>
      <c r="DF92" s="454">
        <v>46.398658606940224</v>
      </c>
      <c r="DG92" s="454">
        <v>48.39380092703865</v>
      </c>
      <c r="DH92" s="454">
        <v>49.458464547433486</v>
      </c>
      <c r="DI92" s="454">
        <v>50.546550767477015</v>
      </c>
      <c r="DJ92" s="454">
        <v>52.214586942803756</v>
      </c>
      <c r="DK92" s="454">
        <v>54.09431207274468</v>
      </c>
      <c r="DL92" s="454">
        <v>55.8253300590725</v>
      </c>
      <c r="DM92" s="454">
        <v>58.11416859149447</v>
      </c>
      <c r="DN92" s="454">
        <v>60.67119200952021</v>
      </c>
      <c r="DO92" s="454">
        <v>64.00810757004382</v>
      </c>
      <c r="DP92" s="454">
        <v>63.43203460191342</v>
      </c>
      <c r="DQ92" s="454">
        <v>66.667068366611</v>
      </c>
      <c r="DR92" s="454">
        <v>70.73375953697428</v>
      </c>
      <c r="DS92" s="454">
        <v>35.7</v>
      </c>
      <c r="DT92" s="454">
        <v>37.78270645474335</v>
      </c>
      <c r="DU92" s="454">
        <v>39.9397731934954</v>
      </c>
      <c r="DV92" s="454">
        <v>42.62738586312112</v>
      </c>
      <c r="DW92" s="454">
        <v>45.5808775139865</v>
      </c>
      <c r="DX92" s="454">
        <v>48.50377633854047</v>
      </c>
      <c r="DY92" s="454">
        <v>52.016778653035395</v>
      </c>
      <c r="DZ92" s="454">
        <v>55.01281414663019</v>
      </c>
      <c r="EA92" s="454">
        <v>56.73109426250592</v>
      </c>
      <c r="EB92" s="454">
        <v>58.569543791267165</v>
      </c>
      <c r="EC92" s="454">
        <v>62.578686093019634</v>
      </c>
      <c r="ED92" s="454">
        <v>67.48042934276394</v>
      </c>
      <c r="EE92" s="454">
        <v>-0.45</v>
      </c>
      <c r="EF92" s="454">
        <v>67.03042934276394</v>
      </c>
      <c r="EG92" s="454">
        <v>3485.5823258237247</v>
      </c>
      <c r="EH92" s="447">
        <v>87565844.86404136</v>
      </c>
      <c r="EI92" s="454">
        <v>38.33</v>
      </c>
      <c r="EJ92" s="454">
        <v>40.20178045474334</v>
      </c>
      <c r="EK92" s="454">
        <v>42.13736752949539</v>
      </c>
      <c r="EL92" s="454">
        <v>44.61373644357312</v>
      </c>
      <c r="EM92" s="454">
        <v>47.34475682942787</v>
      </c>
      <c r="EN92" s="454">
        <v>50.02071254982005</v>
      </c>
      <c r="EO92" s="454">
        <v>53.28008312978903</v>
      </c>
      <c r="EP92" s="454">
        <v>56.18516070105757</v>
      </c>
      <c r="EQ92" s="454">
        <v>57.84912209324482</v>
      </c>
      <c r="ER92" s="454">
        <v>59.31660853105311</v>
      </c>
      <c r="ES92" s="454">
        <v>63.20681812623165</v>
      </c>
      <c r="ET92" s="454">
        <v>67.98026540819241</v>
      </c>
      <c r="EU92" s="447">
        <v>239411397</v>
      </c>
      <c r="EV92" s="447">
        <v>0</v>
      </c>
      <c r="EW92" s="447">
        <v>0</v>
      </c>
      <c r="EX92" s="447">
        <v>0</v>
      </c>
      <c r="EY92" s="447">
        <v>0</v>
      </c>
      <c r="EZ92" s="447">
        <v>0</v>
      </c>
      <c r="FA92" s="447">
        <v>10818650</v>
      </c>
      <c r="FB92" s="447">
        <v>0</v>
      </c>
      <c r="FC92" s="447">
        <v>0</v>
      </c>
      <c r="FD92" s="447">
        <v>228592747</v>
      </c>
      <c r="FE92" s="447">
        <v>152266.45330221867</v>
      </c>
      <c r="FF92" s="447">
        <v>0</v>
      </c>
      <c r="FG92" s="447">
        <v>0</v>
      </c>
      <c r="FH92" s="447">
        <v>156721</v>
      </c>
      <c r="FI92" s="456">
        <v>0.042300000000000004</v>
      </c>
      <c r="FJ92" s="447">
        <v>6629.2983</v>
      </c>
      <c r="FK92" s="471">
        <v>6629.2983</v>
      </c>
      <c r="FL92" s="446">
        <v>60.9</v>
      </c>
      <c r="FM92" s="450">
        <v>60.68</v>
      </c>
      <c r="FN92" s="450">
        <v>58.92</v>
      </c>
      <c r="FO92" s="450">
        <v>-1.76</v>
      </c>
      <c r="FP92" s="472">
        <v>60.23</v>
      </c>
      <c r="FQ92" s="446">
        <v>0</v>
      </c>
      <c r="FR92" s="450">
        <v>0</v>
      </c>
      <c r="FS92" s="450">
        <v>0</v>
      </c>
      <c r="FT92" s="450">
        <v>0</v>
      </c>
      <c r="FU92" s="450">
        <v>0</v>
      </c>
      <c r="FV92" s="450">
        <v>0</v>
      </c>
      <c r="FW92" s="450">
        <v>0</v>
      </c>
      <c r="FX92" s="450">
        <v>0</v>
      </c>
      <c r="FY92" s="450">
        <v>0</v>
      </c>
      <c r="FZ92" s="450">
        <v>0</v>
      </c>
      <c r="GA92" s="450">
        <v>0</v>
      </c>
      <c r="GB92" s="450">
        <v>0</v>
      </c>
      <c r="GC92" s="450">
        <v>0</v>
      </c>
      <c r="GD92" s="450">
        <v>0</v>
      </c>
      <c r="GE92" s="450">
        <v>0</v>
      </c>
      <c r="GF92" s="450">
        <v>0</v>
      </c>
      <c r="GG92" s="450">
        <v>0</v>
      </c>
      <c r="GH92" s="450">
        <v>0</v>
      </c>
      <c r="GI92" s="450">
        <v>0</v>
      </c>
      <c r="GJ92" s="450">
        <v>0</v>
      </c>
      <c r="GK92" s="450">
        <v>0</v>
      </c>
      <c r="GL92" s="450">
        <v>0</v>
      </c>
      <c r="GM92" s="450">
        <v>0</v>
      </c>
      <c r="GN92" s="450">
        <v>0</v>
      </c>
      <c r="GO92" s="450">
        <v>0</v>
      </c>
      <c r="GP92" s="450">
        <v>0</v>
      </c>
      <c r="GQ92" s="450">
        <v>0</v>
      </c>
      <c r="GR92" s="450">
        <v>0</v>
      </c>
      <c r="GS92" s="450">
        <v>0</v>
      </c>
      <c r="GT92" s="450">
        <v>0</v>
      </c>
      <c r="GU92" s="450">
        <v>0</v>
      </c>
      <c r="GV92" s="450">
        <v>0</v>
      </c>
      <c r="GW92" s="450">
        <v>0</v>
      </c>
      <c r="GX92" s="450">
        <v>271957861</v>
      </c>
      <c r="GY92" s="450">
        <v>280530861</v>
      </c>
      <c r="GZ92" s="450">
        <v>192</v>
      </c>
      <c r="HA92" s="450" t="s">
        <v>889</v>
      </c>
      <c r="HB92" s="450" t="s">
        <v>888</v>
      </c>
      <c r="HC92" s="450">
        <v>0</v>
      </c>
      <c r="HD92" s="450">
        <v>150</v>
      </c>
      <c r="HE92" s="450">
        <v>439</v>
      </c>
      <c r="HF92" s="450">
        <v>210</v>
      </c>
      <c r="HG92" s="472">
        <v>0</v>
      </c>
    </row>
    <row r="93" spans="2:215" ht="12.75">
      <c r="B93" s="445" t="s">
        <v>772</v>
      </c>
      <c r="C93" s="446">
        <v>4841.38</v>
      </c>
      <c r="D93" s="447">
        <v>1158841.54</v>
      </c>
      <c r="E93" s="447">
        <v>994286.04132</v>
      </c>
      <c r="F93" s="447">
        <v>230660.44231682626</v>
      </c>
      <c r="G93" s="447">
        <v>164555.49868000002</v>
      </c>
      <c r="H93" s="448">
        <v>0.6904085198848262</v>
      </c>
      <c r="I93" s="449">
        <v>3177.3</v>
      </c>
      <c r="J93" s="449">
        <v>165.23</v>
      </c>
      <c r="K93" s="447">
        <v>1224946.4836368263</v>
      </c>
      <c r="L93" s="447">
        <v>979957.186909461</v>
      </c>
      <c r="M93" s="447">
        <v>414430.0472877104</v>
      </c>
      <c r="N93" s="447">
        <v>244989.2967273652</v>
      </c>
      <c r="O93" s="450">
        <v>1.6916251151531174</v>
      </c>
      <c r="P93" s="451">
        <v>0.4678418136977473</v>
      </c>
      <c r="Q93" s="452">
        <v>0.5320796962849436</v>
      </c>
      <c r="R93" s="447">
        <v>1394387.2341971714</v>
      </c>
      <c r="S93" s="447">
        <v>942605.7703172879</v>
      </c>
      <c r="T93" s="447">
        <v>85057.67373215871</v>
      </c>
      <c r="U93" s="447">
        <v>247767.23081420062</v>
      </c>
      <c r="V93" s="447">
        <v>317920.2893969551</v>
      </c>
      <c r="W93" s="450">
        <v>0.7793375857960376</v>
      </c>
      <c r="X93" s="452">
        <v>13.680882472108102</v>
      </c>
      <c r="Y93" s="447">
        <v>85057.67373215871</v>
      </c>
      <c r="Z93" s="447">
        <v>133861.17448292844</v>
      </c>
      <c r="AA93" s="448">
        <v>0.63541705846161</v>
      </c>
      <c r="AB93" s="448">
        <v>0.04998574786527808</v>
      </c>
      <c r="AC93" s="449">
        <v>232</v>
      </c>
      <c r="AD93" s="449">
        <v>252</v>
      </c>
      <c r="AE93" s="447">
        <v>1275430.6748636472</v>
      </c>
      <c r="AF93" s="447">
        <v>0</v>
      </c>
      <c r="AG93" s="451">
        <v>0</v>
      </c>
      <c r="AH93" s="450">
        <v>0.013920766118757723</v>
      </c>
      <c r="AI93" s="452">
        <v>0.011722815223038197</v>
      </c>
      <c r="AJ93" s="447">
        <v>1275430.6748636472</v>
      </c>
      <c r="AK93" s="453">
        <v>1.1108</v>
      </c>
      <c r="AL93" s="447">
        <v>1416748.3936385394</v>
      </c>
      <c r="AM93" s="447">
        <v>3332846.6689912756</v>
      </c>
      <c r="AN93" s="447">
        <v>3299950.8127543507</v>
      </c>
      <c r="AO93" s="447">
        <v>3447773.3245232124</v>
      </c>
      <c r="AP93" s="447">
        <v>3447773.3245232124</v>
      </c>
      <c r="AQ93" s="447">
        <v>19365.52</v>
      </c>
      <c r="AR93" s="447">
        <v>3467138.8445232124</v>
      </c>
      <c r="AS93" s="454">
        <v>716.146810315078</v>
      </c>
      <c r="AT93" s="450">
        <v>4818</v>
      </c>
      <c r="AU93" s="450">
        <v>18</v>
      </c>
      <c r="AV93" s="450">
        <v>208</v>
      </c>
      <c r="AW93" s="450">
        <v>255</v>
      </c>
      <c r="AX93" s="450">
        <v>0</v>
      </c>
      <c r="AY93" s="450">
        <v>407</v>
      </c>
      <c r="AZ93" s="450">
        <v>127</v>
      </c>
      <c r="BA93" s="450">
        <v>86</v>
      </c>
      <c r="BB93" s="450">
        <v>3</v>
      </c>
      <c r="BC93" s="450">
        <v>77</v>
      </c>
      <c r="BD93" s="450">
        <v>896</v>
      </c>
      <c r="BE93" s="450">
        <v>2101</v>
      </c>
      <c r="BF93" s="450">
        <v>451</v>
      </c>
      <c r="BG93" s="450">
        <v>156</v>
      </c>
      <c r="BH93" s="450">
        <v>13</v>
      </c>
      <c r="BI93" s="450">
        <v>20</v>
      </c>
      <c r="BJ93" s="452">
        <v>1.5679001659591307</v>
      </c>
      <c r="BK93" s="452">
        <v>8.539449320059509</v>
      </c>
      <c r="BL93" s="452">
        <v>3.9074655114027776</v>
      </c>
      <c r="BM93" s="452">
        <v>9.263967617313462</v>
      </c>
      <c r="BN93" s="449">
        <v>2266</v>
      </c>
      <c r="BO93" s="449">
        <v>2552</v>
      </c>
      <c r="BP93" s="447">
        <v>1414887.2208630133</v>
      </c>
      <c r="BQ93" s="447">
        <v>5778561</v>
      </c>
      <c r="BR93" s="447">
        <v>6227796</v>
      </c>
      <c r="BS93" s="448">
        <v>0.0502283105022831</v>
      </c>
      <c r="BT93" s="449">
        <v>232</v>
      </c>
      <c r="BU93" s="449">
        <v>252</v>
      </c>
      <c r="BV93" s="447">
        <v>312811.6712328767</v>
      </c>
      <c r="BW93" s="448">
        <v>0.024085120971244302</v>
      </c>
      <c r="BX93" s="447">
        <v>15662.090789290407</v>
      </c>
      <c r="BY93" s="447">
        <v>7521921.982885181</v>
      </c>
      <c r="BZ93" s="455">
        <v>1.1433333333333333</v>
      </c>
      <c r="CA93" s="447">
        <v>8600064.13376539</v>
      </c>
      <c r="CB93" s="447">
        <v>6467481.341433596</v>
      </c>
      <c r="CC93" s="447">
        <v>6459565.658263372</v>
      </c>
      <c r="CD93" s="447">
        <v>6419366.049976</v>
      </c>
      <c r="CE93" s="447">
        <v>6459565.658263372</v>
      </c>
      <c r="CF93" s="454">
        <v>1340.715163608006</v>
      </c>
      <c r="CG93" s="450">
        <v>4818</v>
      </c>
      <c r="CH93" s="450">
        <v>18</v>
      </c>
      <c r="CI93" s="450">
        <v>208</v>
      </c>
      <c r="CJ93" s="450">
        <v>255</v>
      </c>
      <c r="CK93" s="450">
        <v>0</v>
      </c>
      <c r="CL93" s="450">
        <v>407</v>
      </c>
      <c r="CM93" s="450">
        <v>127</v>
      </c>
      <c r="CN93" s="450">
        <v>86</v>
      </c>
      <c r="CO93" s="450">
        <v>3</v>
      </c>
      <c r="CP93" s="450">
        <v>77</v>
      </c>
      <c r="CQ93" s="450">
        <v>896</v>
      </c>
      <c r="CR93" s="450">
        <v>2101</v>
      </c>
      <c r="CS93" s="450">
        <v>451</v>
      </c>
      <c r="CT93" s="450">
        <v>156</v>
      </c>
      <c r="CU93" s="450">
        <v>13</v>
      </c>
      <c r="CV93" s="450">
        <v>20</v>
      </c>
      <c r="CW93" s="447">
        <v>3897790.7030147873</v>
      </c>
      <c r="CX93" s="452">
        <v>1.116137260555759</v>
      </c>
      <c r="CY93" s="452">
        <v>1.1433333333333333</v>
      </c>
      <c r="CZ93" s="447">
        <v>4350469.43748263</v>
      </c>
      <c r="DA93" s="454">
        <v>902.9616931263242</v>
      </c>
      <c r="DB93" s="449">
        <v>4841.38</v>
      </c>
      <c r="DC93" s="452">
        <v>0.9829982360401374</v>
      </c>
      <c r="DD93" s="454">
        <v>354.1</v>
      </c>
      <c r="DE93" s="447">
        <v>82921</v>
      </c>
      <c r="DF93" s="454">
        <v>69.37362165750841</v>
      </c>
      <c r="DG93" s="454">
        <v>72.35668738878127</v>
      </c>
      <c r="DH93" s="454">
        <v>73.94853451133444</v>
      </c>
      <c r="DI93" s="454">
        <v>75.57540227058378</v>
      </c>
      <c r="DJ93" s="454">
        <v>78.06939054551304</v>
      </c>
      <c r="DK93" s="454">
        <v>80.87988860515149</v>
      </c>
      <c r="DL93" s="454">
        <v>83.46804504051633</v>
      </c>
      <c r="DM93" s="454">
        <v>86.8902348871775</v>
      </c>
      <c r="DN93" s="454">
        <v>90.7134052222133</v>
      </c>
      <c r="DO93" s="454">
        <v>95.70264250943502</v>
      </c>
      <c r="DP93" s="454">
        <v>94.8413187268501</v>
      </c>
      <c r="DQ93" s="454">
        <v>99.67822598191945</v>
      </c>
      <c r="DR93" s="454">
        <v>105.75859776681654</v>
      </c>
      <c r="DS93" s="454">
        <v>55.9</v>
      </c>
      <c r="DT93" s="454">
        <v>58.81167345113344</v>
      </c>
      <c r="DU93" s="454">
        <v>61.82440493411674</v>
      </c>
      <c r="DV93" s="454">
        <v>65.6402078280139</v>
      </c>
      <c r="DW93" s="454">
        <v>69.84277435201227</v>
      </c>
      <c r="DX93" s="454">
        <v>73.97612678281659</v>
      </c>
      <c r="DY93" s="454">
        <v>78.98536536216515</v>
      </c>
      <c r="DZ93" s="454">
        <v>83.37768630300184</v>
      </c>
      <c r="EA93" s="454">
        <v>85.89469633825843</v>
      </c>
      <c r="EB93" s="454">
        <v>88.28766187435286</v>
      </c>
      <c r="EC93" s="454">
        <v>94.16791130033978</v>
      </c>
      <c r="ED93" s="454">
        <v>101.37376485894951</v>
      </c>
      <c r="EE93" s="454">
        <v>0</v>
      </c>
      <c r="EF93" s="454">
        <v>101.37376485894951</v>
      </c>
      <c r="EG93" s="454">
        <v>5271.435772665374</v>
      </c>
      <c r="EH93" s="447">
        <v>25010603.246645357</v>
      </c>
      <c r="EI93" s="454">
        <v>67.93</v>
      </c>
      <c r="EJ93" s="454">
        <v>69.87686745113344</v>
      </c>
      <c r="EK93" s="454">
        <v>71.87651895011675</v>
      </c>
      <c r="EL93" s="454">
        <v>74.7260623842259</v>
      </c>
      <c r="EM93" s="454">
        <v>77.91101319792851</v>
      </c>
      <c r="EN93" s="454">
        <v>80.91481219030456</v>
      </c>
      <c r="EO93" s="454">
        <v>84.76390256952114</v>
      </c>
      <c r="EP93" s="454">
        <v>88.74016883142819</v>
      </c>
      <c r="EQ93" s="454">
        <v>91.00871717620103</v>
      </c>
      <c r="ER93" s="454">
        <v>91.70484393504678</v>
      </c>
      <c r="ES93" s="454">
        <v>97.04107797697122</v>
      </c>
      <c r="ET93" s="454">
        <v>103.66008724187898</v>
      </c>
      <c r="EU93" s="447">
        <v>33766448</v>
      </c>
      <c r="EV93" s="447">
        <v>0</v>
      </c>
      <c r="EW93" s="447">
        <v>0</v>
      </c>
      <c r="EX93" s="447">
        <v>0</v>
      </c>
      <c r="EY93" s="447">
        <v>0</v>
      </c>
      <c r="EZ93" s="447">
        <v>0</v>
      </c>
      <c r="FA93" s="447">
        <v>0</v>
      </c>
      <c r="FB93" s="447">
        <v>0</v>
      </c>
      <c r="FC93" s="447">
        <v>0</v>
      </c>
      <c r="FD93" s="447">
        <v>33766448</v>
      </c>
      <c r="FE93" s="447">
        <v>57028.66393350858</v>
      </c>
      <c r="FF93" s="447">
        <v>0</v>
      </c>
      <c r="FG93" s="447">
        <v>0</v>
      </c>
      <c r="FH93" s="447">
        <v>18762</v>
      </c>
      <c r="FI93" s="456">
        <v>0.0493</v>
      </c>
      <c r="FJ93" s="447">
        <v>924.9666</v>
      </c>
      <c r="FK93" s="471">
        <v>924.9666</v>
      </c>
      <c r="FL93" s="446">
        <v>0</v>
      </c>
      <c r="FM93" s="450">
        <v>0</v>
      </c>
      <c r="FN93" s="450">
        <v>0</v>
      </c>
      <c r="FO93" s="450">
        <v>0</v>
      </c>
      <c r="FP93" s="472">
        <v>0</v>
      </c>
      <c r="FQ93" s="446">
        <v>0</v>
      </c>
      <c r="FR93" s="450">
        <v>52726</v>
      </c>
      <c r="FS93" s="450">
        <v>0</v>
      </c>
      <c r="FT93" s="450">
        <v>0</v>
      </c>
      <c r="FU93" s="450">
        <v>0</v>
      </c>
      <c r="FV93" s="450">
        <v>0</v>
      </c>
      <c r="FW93" s="450">
        <v>0</v>
      </c>
      <c r="FX93" s="450">
        <v>0</v>
      </c>
      <c r="FY93" s="450">
        <v>0</v>
      </c>
      <c r="FZ93" s="450">
        <v>0</v>
      </c>
      <c r="GA93" s="450">
        <v>0</v>
      </c>
      <c r="GB93" s="450">
        <v>0</v>
      </c>
      <c r="GC93" s="450">
        <v>0</v>
      </c>
      <c r="GD93" s="450">
        <v>0</v>
      </c>
      <c r="GE93" s="450">
        <v>0</v>
      </c>
      <c r="GF93" s="450">
        <v>0</v>
      </c>
      <c r="GG93" s="450">
        <v>0</v>
      </c>
      <c r="GH93" s="450">
        <v>0</v>
      </c>
      <c r="GI93" s="450">
        <v>0</v>
      </c>
      <c r="GJ93" s="450">
        <v>0</v>
      </c>
      <c r="GK93" s="450">
        <v>0</v>
      </c>
      <c r="GL93" s="450">
        <v>0</v>
      </c>
      <c r="GM93" s="450">
        <v>0</v>
      </c>
      <c r="GN93" s="450">
        <v>0</v>
      </c>
      <c r="GO93" s="450">
        <v>0</v>
      </c>
      <c r="GP93" s="450">
        <v>0</v>
      </c>
      <c r="GQ93" s="450">
        <v>0</v>
      </c>
      <c r="GR93" s="450">
        <v>0</v>
      </c>
      <c r="GS93" s="450">
        <v>0</v>
      </c>
      <c r="GT93" s="450">
        <v>0</v>
      </c>
      <c r="GU93" s="450">
        <v>0</v>
      </c>
      <c r="GV93" s="450">
        <v>0</v>
      </c>
      <c r="GW93" s="450">
        <v>0</v>
      </c>
      <c r="GX93" s="450">
        <v>14356806</v>
      </c>
      <c r="GY93" s="450">
        <v>14356806</v>
      </c>
      <c r="GZ93" s="450">
        <v>0</v>
      </c>
      <c r="HA93" s="450" t="s">
        <v>888</v>
      </c>
      <c r="HB93" s="450" t="s">
        <v>888</v>
      </c>
      <c r="HC93" s="450">
        <v>0</v>
      </c>
      <c r="HD93" s="450">
        <v>0</v>
      </c>
      <c r="HE93" s="450">
        <v>0</v>
      </c>
      <c r="HF93" s="450">
        <v>0</v>
      </c>
      <c r="HG93" s="472">
        <v>0</v>
      </c>
    </row>
    <row r="94" spans="2:215" ht="12.75">
      <c r="B94" s="445" t="s">
        <v>773</v>
      </c>
      <c r="C94" s="446">
        <v>23034</v>
      </c>
      <c r="D94" s="447">
        <v>5397722</v>
      </c>
      <c r="E94" s="447">
        <v>4631245.476</v>
      </c>
      <c r="F94" s="447">
        <v>677395.1697855685</v>
      </c>
      <c r="G94" s="447">
        <v>766476.5240000001</v>
      </c>
      <c r="H94" s="448">
        <v>0.43529999131718333</v>
      </c>
      <c r="I94" s="449">
        <v>8235.17</v>
      </c>
      <c r="J94" s="449">
        <v>1791.53</v>
      </c>
      <c r="K94" s="447">
        <v>5308640.645785568</v>
      </c>
      <c r="L94" s="447">
        <v>4246912.516628454</v>
      </c>
      <c r="M94" s="447">
        <v>1194455.6687901737</v>
      </c>
      <c r="N94" s="447">
        <v>1061728.1291571134</v>
      </c>
      <c r="O94" s="450">
        <v>1.1250108535208823</v>
      </c>
      <c r="P94" s="451">
        <v>0.9038378049839368</v>
      </c>
      <c r="Q94" s="452">
        <v>0.09616219501606321</v>
      </c>
      <c r="R94" s="447">
        <v>5441368.185418628</v>
      </c>
      <c r="S94" s="447">
        <v>3678364.8933429928</v>
      </c>
      <c r="T94" s="447">
        <v>875666.92408659</v>
      </c>
      <c r="U94" s="447">
        <v>933298.3309361024</v>
      </c>
      <c r="V94" s="447">
        <v>1240631.9462754473</v>
      </c>
      <c r="W94" s="450">
        <v>0.7522765585216439</v>
      </c>
      <c r="X94" s="452">
        <v>13.205839640268623</v>
      </c>
      <c r="Y94" s="447">
        <v>875666.92408659</v>
      </c>
      <c r="Z94" s="447">
        <v>522371.3458001883</v>
      </c>
      <c r="AA94" s="448">
        <v>1.6763303177459132</v>
      </c>
      <c r="AB94" s="448">
        <v>0.13187027871841625</v>
      </c>
      <c r="AC94" s="449">
        <v>2706</v>
      </c>
      <c r="AD94" s="449">
        <v>3369</v>
      </c>
      <c r="AE94" s="447">
        <v>5487330.148365686</v>
      </c>
      <c r="AF94" s="447">
        <v>755304.9521812666</v>
      </c>
      <c r="AG94" s="451">
        <v>1</v>
      </c>
      <c r="AH94" s="450">
        <v>0.3175277422697487</v>
      </c>
      <c r="AI94" s="452">
        <v>0.2673932611942291</v>
      </c>
      <c r="AJ94" s="447">
        <v>6242635.100546952</v>
      </c>
      <c r="AK94" s="453">
        <v>1.0009</v>
      </c>
      <c r="AL94" s="447">
        <v>6248253.472137444</v>
      </c>
      <c r="AM94" s="447">
        <v>14698778.459980723</v>
      </c>
      <c r="AN94" s="447">
        <v>14553698.607500058</v>
      </c>
      <c r="AO94" s="447">
        <v>13977168.073092949</v>
      </c>
      <c r="AP94" s="447">
        <v>14553698.607500058</v>
      </c>
      <c r="AQ94" s="447">
        <v>92136</v>
      </c>
      <c r="AR94" s="447">
        <v>14645834.607500058</v>
      </c>
      <c r="AS94" s="454">
        <v>635.8354869974845</v>
      </c>
      <c r="AT94" s="450">
        <v>23034</v>
      </c>
      <c r="AU94" s="450">
        <v>320</v>
      </c>
      <c r="AV94" s="450">
        <v>1351</v>
      </c>
      <c r="AW94" s="450">
        <v>3991</v>
      </c>
      <c r="AX94" s="450">
        <v>0</v>
      </c>
      <c r="AY94" s="450">
        <v>2979</v>
      </c>
      <c r="AZ94" s="450">
        <v>490</v>
      </c>
      <c r="BA94" s="450">
        <v>348</v>
      </c>
      <c r="BB94" s="450">
        <v>1047</v>
      </c>
      <c r="BC94" s="450">
        <v>161</v>
      </c>
      <c r="BD94" s="450">
        <v>6877</v>
      </c>
      <c r="BE94" s="450">
        <v>1438</v>
      </c>
      <c r="BF94" s="450">
        <v>777</v>
      </c>
      <c r="BG94" s="450">
        <v>3255</v>
      </c>
      <c r="BH94" s="450">
        <v>0</v>
      </c>
      <c r="BI94" s="450">
        <v>0</v>
      </c>
      <c r="BJ94" s="452">
        <v>1.8156855960376497</v>
      </c>
      <c r="BK94" s="452">
        <v>22.66249585242083</v>
      </c>
      <c r="BL94" s="452">
        <v>12.496285801660875</v>
      </c>
      <c r="BM94" s="452">
        <v>20.332420101519908</v>
      </c>
      <c r="BN94" s="449">
        <v>20819</v>
      </c>
      <c r="BO94" s="449">
        <v>2215</v>
      </c>
      <c r="BP94" s="447">
        <v>8387650.395175724</v>
      </c>
      <c r="BQ94" s="447">
        <v>24622283</v>
      </c>
      <c r="BR94" s="447">
        <v>31401927</v>
      </c>
      <c r="BS94" s="448">
        <v>0.13187027871841625</v>
      </c>
      <c r="BT94" s="449">
        <v>2706</v>
      </c>
      <c r="BU94" s="449">
        <v>3369</v>
      </c>
      <c r="BV94" s="447">
        <v>4140980.865785361</v>
      </c>
      <c r="BW94" s="448">
        <v>0.015349744068353105</v>
      </c>
      <c r="BX94" s="447">
        <v>126643.37708139926</v>
      </c>
      <c r="BY94" s="447">
        <v>37277557.63804249</v>
      </c>
      <c r="BZ94" s="455">
        <v>0.93</v>
      </c>
      <c r="CA94" s="447">
        <v>34668128.60337952</v>
      </c>
      <c r="CB94" s="447">
        <v>26071372.42203431</v>
      </c>
      <c r="CC94" s="447">
        <v>26039463.13416615</v>
      </c>
      <c r="CD94" s="447">
        <v>25083091.771526106</v>
      </c>
      <c r="CE94" s="447">
        <v>26039463.13416615</v>
      </c>
      <c r="CF94" s="454">
        <v>1130.4794275491079</v>
      </c>
      <c r="CG94" s="450">
        <v>23034</v>
      </c>
      <c r="CH94" s="450">
        <v>320</v>
      </c>
      <c r="CI94" s="450">
        <v>1351</v>
      </c>
      <c r="CJ94" s="450">
        <v>3991</v>
      </c>
      <c r="CK94" s="450">
        <v>0</v>
      </c>
      <c r="CL94" s="450">
        <v>2979</v>
      </c>
      <c r="CM94" s="450">
        <v>490</v>
      </c>
      <c r="CN94" s="450">
        <v>348</v>
      </c>
      <c r="CO94" s="450">
        <v>1047</v>
      </c>
      <c r="CP94" s="450">
        <v>161</v>
      </c>
      <c r="CQ94" s="450">
        <v>6877</v>
      </c>
      <c r="CR94" s="450">
        <v>1438</v>
      </c>
      <c r="CS94" s="450">
        <v>777</v>
      </c>
      <c r="CT94" s="450">
        <v>3255</v>
      </c>
      <c r="CU94" s="450">
        <v>0</v>
      </c>
      <c r="CV94" s="450">
        <v>0</v>
      </c>
      <c r="CW94" s="447">
        <v>16508209.705507668</v>
      </c>
      <c r="CX94" s="452">
        <v>0.9078784131051217</v>
      </c>
      <c r="CY94" s="452">
        <v>0.93</v>
      </c>
      <c r="CZ94" s="447">
        <v>14987447.23064287</v>
      </c>
      <c r="DA94" s="454">
        <v>650.6662859530637</v>
      </c>
      <c r="DB94" s="449">
        <v>23034</v>
      </c>
      <c r="DC94" s="452">
        <v>0.9800425458018582</v>
      </c>
      <c r="DD94" s="454">
        <v>302.7</v>
      </c>
      <c r="DE94" s="447">
        <v>21676</v>
      </c>
      <c r="DF94" s="454">
        <v>42.98782441321494</v>
      </c>
      <c r="DG94" s="454">
        <v>44.83630086298318</v>
      </c>
      <c r="DH94" s="454">
        <v>45.8226994819688</v>
      </c>
      <c r="DI94" s="454">
        <v>46.8307988705721</v>
      </c>
      <c r="DJ94" s="454">
        <v>48.376215233300975</v>
      </c>
      <c r="DK94" s="454">
        <v>50.1177589816998</v>
      </c>
      <c r="DL94" s="454">
        <v>51.72152726911418</v>
      </c>
      <c r="DM94" s="454">
        <v>53.84210988714786</v>
      </c>
      <c r="DN94" s="454">
        <v>56.21116272218236</v>
      </c>
      <c r="DO94" s="454">
        <v>59.302776671902386</v>
      </c>
      <c r="DP94" s="454">
        <v>58.76905168185527</v>
      </c>
      <c r="DQ94" s="454">
        <v>61.76627331762988</v>
      </c>
      <c r="DR94" s="454">
        <v>65.5340159900053</v>
      </c>
      <c r="DS94" s="454">
        <v>35.65</v>
      </c>
      <c r="DT94" s="454">
        <v>37.37313994819687</v>
      </c>
      <c r="DU94" s="454">
        <v>39.154843454114406</v>
      </c>
      <c r="DV94" s="454">
        <v>41.43811103125027</v>
      </c>
      <c r="DW94" s="454">
        <v>43.956722450278775</v>
      </c>
      <c r="DX94" s="454">
        <v>46.423035852092106</v>
      </c>
      <c r="DY94" s="454">
        <v>49.429526235051874</v>
      </c>
      <c r="DZ94" s="454">
        <v>52.11628509303728</v>
      </c>
      <c r="EA94" s="454">
        <v>53.655082328520045</v>
      </c>
      <c r="EB94" s="454">
        <v>54.995269680166594</v>
      </c>
      <c r="EC94" s="454">
        <v>58.59327741061005</v>
      </c>
      <c r="ED94" s="454">
        <v>63.00910449699427</v>
      </c>
      <c r="EE94" s="454">
        <v>0</v>
      </c>
      <c r="EF94" s="454">
        <v>63.00910449699427</v>
      </c>
      <c r="EG94" s="454">
        <v>3276.473433843702</v>
      </c>
      <c r="EH94" s="447">
        <v>73960883.29365271</v>
      </c>
      <c r="EI94" s="454">
        <v>43.19</v>
      </c>
      <c r="EJ94" s="454">
        <v>44.30843194819687</v>
      </c>
      <c r="EK94" s="454">
        <v>45.4551709421144</v>
      </c>
      <c r="EL94" s="454">
        <v>47.13281953946627</v>
      </c>
      <c r="EM94" s="454">
        <v>49.01362360557458</v>
      </c>
      <c r="EN94" s="454">
        <v>50.77197084564649</v>
      </c>
      <c r="EO94" s="454">
        <v>53.05131929768397</v>
      </c>
      <c r="EP94" s="454">
        <v>55.477309055159864</v>
      </c>
      <c r="EQ94" s="454">
        <v>56.86037884706428</v>
      </c>
      <c r="ER94" s="454">
        <v>57.13704463757574</v>
      </c>
      <c r="ES94" s="454">
        <v>60.39408179479966</v>
      </c>
      <c r="ET94" s="454">
        <v>64.44209458571315</v>
      </c>
      <c r="EU94" s="447">
        <v>276968814</v>
      </c>
      <c r="EV94" s="447">
        <v>0</v>
      </c>
      <c r="EW94" s="447">
        <v>0</v>
      </c>
      <c r="EX94" s="447">
        <v>0</v>
      </c>
      <c r="EY94" s="447">
        <v>0</v>
      </c>
      <c r="EZ94" s="447">
        <v>0</v>
      </c>
      <c r="FA94" s="447">
        <v>0</v>
      </c>
      <c r="FB94" s="447">
        <v>0</v>
      </c>
      <c r="FC94" s="447">
        <v>0</v>
      </c>
      <c r="FD94" s="447">
        <v>276968814</v>
      </c>
      <c r="FE94" s="447">
        <v>175914.33709963458</v>
      </c>
      <c r="FF94" s="447">
        <v>0</v>
      </c>
      <c r="FG94" s="447">
        <v>0</v>
      </c>
      <c r="FH94" s="447">
        <v>66587</v>
      </c>
      <c r="FI94" s="456">
        <v>0.048499999999999995</v>
      </c>
      <c r="FJ94" s="447">
        <v>3229.4694999999997</v>
      </c>
      <c r="FK94" s="471">
        <v>3229.4694999999997</v>
      </c>
      <c r="FL94" s="446">
        <v>0</v>
      </c>
      <c r="FM94" s="450">
        <v>0</v>
      </c>
      <c r="FN94" s="450">
        <v>0</v>
      </c>
      <c r="FO94" s="450">
        <v>0</v>
      </c>
      <c r="FP94" s="472">
        <v>0</v>
      </c>
      <c r="FQ94" s="446">
        <v>64977</v>
      </c>
      <c r="FR94" s="450">
        <v>62312</v>
      </c>
      <c r="FS94" s="450">
        <v>0</v>
      </c>
      <c r="FT94" s="450">
        <v>0</v>
      </c>
      <c r="FU94" s="450">
        <v>0</v>
      </c>
      <c r="FV94" s="450">
        <v>0</v>
      </c>
      <c r="FW94" s="450">
        <v>0</v>
      </c>
      <c r="FX94" s="450">
        <v>0</v>
      </c>
      <c r="FY94" s="450">
        <v>0</v>
      </c>
      <c r="FZ94" s="450">
        <v>0</v>
      </c>
      <c r="GA94" s="450">
        <v>0</v>
      </c>
      <c r="GB94" s="450">
        <v>0</v>
      </c>
      <c r="GC94" s="450">
        <v>0</v>
      </c>
      <c r="GD94" s="450">
        <v>0</v>
      </c>
      <c r="GE94" s="450">
        <v>0</v>
      </c>
      <c r="GF94" s="450">
        <v>0</v>
      </c>
      <c r="GG94" s="450">
        <v>0</v>
      </c>
      <c r="GH94" s="450">
        <v>0</v>
      </c>
      <c r="GI94" s="450">
        <v>0</v>
      </c>
      <c r="GJ94" s="450">
        <v>0</v>
      </c>
      <c r="GK94" s="450">
        <v>0</v>
      </c>
      <c r="GL94" s="450">
        <v>0</v>
      </c>
      <c r="GM94" s="450">
        <v>0</v>
      </c>
      <c r="GN94" s="450">
        <v>0</v>
      </c>
      <c r="GO94" s="450">
        <v>0</v>
      </c>
      <c r="GP94" s="450">
        <v>0</v>
      </c>
      <c r="GQ94" s="450">
        <v>0</v>
      </c>
      <c r="GR94" s="450">
        <v>0</v>
      </c>
      <c r="GS94" s="450">
        <v>0</v>
      </c>
      <c r="GT94" s="450">
        <v>0</v>
      </c>
      <c r="GU94" s="450">
        <v>0</v>
      </c>
      <c r="GV94" s="450">
        <v>0</v>
      </c>
      <c r="GW94" s="450">
        <v>2000000</v>
      </c>
      <c r="GX94" s="450">
        <v>242418540</v>
      </c>
      <c r="GY94" s="450">
        <v>243294000</v>
      </c>
      <c r="GZ94" s="450">
        <v>0</v>
      </c>
      <c r="HA94" s="450" t="s">
        <v>888</v>
      </c>
      <c r="HB94" s="450" t="s">
        <v>888</v>
      </c>
      <c r="HC94" s="450">
        <v>11</v>
      </c>
      <c r="HD94" s="450">
        <v>0</v>
      </c>
      <c r="HE94" s="450">
        <v>86</v>
      </c>
      <c r="HF94" s="450">
        <v>0</v>
      </c>
      <c r="HG94" s="472">
        <v>0</v>
      </c>
    </row>
    <row r="95" spans="2:215" ht="12.75">
      <c r="B95" s="445" t="s">
        <v>774</v>
      </c>
      <c r="C95" s="446">
        <v>25814</v>
      </c>
      <c r="D95" s="447">
        <v>6045462</v>
      </c>
      <c r="E95" s="447">
        <v>5187006.396</v>
      </c>
      <c r="F95" s="447">
        <v>1336793.477030057</v>
      </c>
      <c r="G95" s="447">
        <v>858455.604</v>
      </c>
      <c r="H95" s="448">
        <v>0.7669938792903076</v>
      </c>
      <c r="I95" s="449">
        <v>19256.04</v>
      </c>
      <c r="J95" s="449">
        <v>543.14</v>
      </c>
      <c r="K95" s="447">
        <v>6523799.873030057</v>
      </c>
      <c r="L95" s="447">
        <v>5219039.898424046</v>
      </c>
      <c r="M95" s="447">
        <v>2505509.1381891565</v>
      </c>
      <c r="N95" s="447">
        <v>1304759.974606011</v>
      </c>
      <c r="O95" s="450">
        <v>1.9202835670566358</v>
      </c>
      <c r="P95" s="451">
        <v>0.29208956380258777</v>
      </c>
      <c r="Q95" s="452">
        <v>0.7079104361974122</v>
      </c>
      <c r="R95" s="447">
        <v>7724549.036613203</v>
      </c>
      <c r="S95" s="447">
        <v>5221795.148750525</v>
      </c>
      <c r="T95" s="447">
        <v>592314.803887715</v>
      </c>
      <c r="U95" s="447">
        <v>2793026.9197078682</v>
      </c>
      <c r="V95" s="447">
        <v>1761197.1803478103</v>
      </c>
      <c r="W95" s="450">
        <v>1.5858683802550075</v>
      </c>
      <c r="X95" s="452">
        <v>27.839128154380244</v>
      </c>
      <c r="Y95" s="447">
        <v>592314.803887715</v>
      </c>
      <c r="Z95" s="447">
        <v>741556.7075148674</v>
      </c>
      <c r="AA95" s="448">
        <v>0.7987451234480807</v>
      </c>
      <c r="AB95" s="448">
        <v>0.06283412101960177</v>
      </c>
      <c r="AC95" s="449">
        <v>1772</v>
      </c>
      <c r="AD95" s="449">
        <v>1472</v>
      </c>
      <c r="AE95" s="447">
        <v>8607136.872346109</v>
      </c>
      <c r="AF95" s="447">
        <v>1399863.3268856888</v>
      </c>
      <c r="AG95" s="451">
        <v>1</v>
      </c>
      <c r="AH95" s="450">
        <v>0.5977626402685114</v>
      </c>
      <c r="AI95" s="452">
        <v>0.5033818483352661</v>
      </c>
      <c r="AJ95" s="447">
        <v>10007000.199231798</v>
      </c>
      <c r="AK95" s="453">
        <v>1.1982</v>
      </c>
      <c r="AL95" s="447">
        <v>11990387.63871954</v>
      </c>
      <c r="AM95" s="447">
        <v>28206930.518543635</v>
      </c>
      <c r="AN95" s="447">
        <v>27928522.53180485</v>
      </c>
      <c r="AO95" s="447">
        <v>27153208.482267298</v>
      </c>
      <c r="AP95" s="447">
        <v>27928522.53180485</v>
      </c>
      <c r="AQ95" s="447">
        <v>103256</v>
      </c>
      <c r="AR95" s="447">
        <v>28031778.53180485</v>
      </c>
      <c r="AS95" s="454">
        <v>1085.913788324353</v>
      </c>
      <c r="AT95" s="450">
        <v>25813</v>
      </c>
      <c r="AU95" s="450">
        <v>75</v>
      </c>
      <c r="AV95" s="450">
        <v>220</v>
      </c>
      <c r="AW95" s="450">
        <v>909</v>
      </c>
      <c r="AX95" s="450">
        <v>13</v>
      </c>
      <c r="AY95" s="450">
        <v>220</v>
      </c>
      <c r="AZ95" s="450">
        <v>458</v>
      </c>
      <c r="BA95" s="450">
        <v>1907</v>
      </c>
      <c r="BB95" s="450">
        <v>131</v>
      </c>
      <c r="BC95" s="450">
        <v>1042</v>
      </c>
      <c r="BD95" s="450">
        <v>2319</v>
      </c>
      <c r="BE95" s="450">
        <v>13973</v>
      </c>
      <c r="BF95" s="450">
        <v>4301</v>
      </c>
      <c r="BG95" s="450">
        <v>103</v>
      </c>
      <c r="BH95" s="450">
        <v>117</v>
      </c>
      <c r="BI95" s="450">
        <v>25</v>
      </c>
      <c r="BJ95" s="452">
        <v>2.5279480647263073</v>
      </c>
      <c r="BK95" s="452">
        <v>19.329213178632465</v>
      </c>
      <c r="BL95" s="452">
        <v>8.602415767180464</v>
      </c>
      <c r="BM95" s="452">
        <v>21.453594822904005</v>
      </c>
      <c r="BN95" s="449">
        <v>7539</v>
      </c>
      <c r="BO95" s="449">
        <v>18274</v>
      </c>
      <c r="BP95" s="447">
        <v>11891988.453773882</v>
      </c>
      <c r="BQ95" s="447">
        <v>32351989</v>
      </c>
      <c r="BR95" s="447">
        <v>33104585</v>
      </c>
      <c r="BS95" s="448">
        <v>0.06283655522411188</v>
      </c>
      <c r="BT95" s="449">
        <v>1772</v>
      </c>
      <c r="BU95" s="449">
        <v>1472</v>
      </c>
      <c r="BV95" s="447">
        <v>2080178.083523806</v>
      </c>
      <c r="BW95" s="448">
        <v>0.05309220899558816</v>
      </c>
      <c r="BX95" s="447">
        <v>418685.2841202411</v>
      </c>
      <c r="BY95" s="447">
        <v>46742840.82141793</v>
      </c>
      <c r="BZ95" s="455">
        <v>1.1933333333333331</v>
      </c>
      <c r="CA95" s="447">
        <v>55779790.046892054</v>
      </c>
      <c r="CB95" s="447">
        <v>41947914.07903228</v>
      </c>
      <c r="CC95" s="447">
        <v>41896573.16593615</v>
      </c>
      <c r="CD95" s="447">
        <v>40715525.65460739</v>
      </c>
      <c r="CE95" s="447">
        <v>41896573.16593615</v>
      </c>
      <c r="CF95" s="454">
        <v>1623.080353540315</v>
      </c>
      <c r="CG95" s="450">
        <v>25813</v>
      </c>
      <c r="CH95" s="450">
        <v>75</v>
      </c>
      <c r="CI95" s="450">
        <v>220</v>
      </c>
      <c r="CJ95" s="450">
        <v>909</v>
      </c>
      <c r="CK95" s="450">
        <v>13</v>
      </c>
      <c r="CL95" s="450">
        <v>220</v>
      </c>
      <c r="CM95" s="450">
        <v>458</v>
      </c>
      <c r="CN95" s="450">
        <v>1907</v>
      </c>
      <c r="CO95" s="450">
        <v>131</v>
      </c>
      <c r="CP95" s="450">
        <v>1042</v>
      </c>
      <c r="CQ95" s="450">
        <v>2319</v>
      </c>
      <c r="CR95" s="450">
        <v>13973</v>
      </c>
      <c r="CS95" s="450">
        <v>4301</v>
      </c>
      <c r="CT95" s="450">
        <v>103</v>
      </c>
      <c r="CU95" s="450">
        <v>117</v>
      </c>
      <c r="CV95" s="450">
        <v>25</v>
      </c>
      <c r="CW95" s="447">
        <v>21380089.761911057</v>
      </c>
      <c r="CX95" s="452">
        <v>1.1649479279270019</v>
      </c>
      <c r="CY95" s="452">
        <v>1.1933333333333331</v>
      </c>
      <c r="CZ95" s="447">
        <v>24906691.26703159</v>
      </c>
      <c r="DA95" s="454">
        <v>964.8894459005769</v>
      </c>
      <c r="DB95" s="449">
        <v>25814</v>
      </c>
      <c r="DC95" s="452">
        <v>1.0048694506856746</v>
      </c>
      <c r="DD95" s="454">
        <v>354.1</v>
      </c>
      <c r="DE95" s="447">
        <v>72804</v>
      </c>
      <c r="DF95" s="454">
        <v>66.97727999338969</v>
      </c>
      <c r="DG95" s="454">
        <v>69.85730303310544</v>
      </c>
      <c r="DH95" s="454">
        <v>71.39416369983374</v>
      </c>
      <c r="DI95" s="454">
        <v>72.96483530123007</v>
      </c>
      <c r="DJ95" s="454">
        <v>75.37267486617066</v>
      </c>
      <c r="DK95" s="454">
        <v>78.08609116135278</v>
      </c>
      <c r="DL95" s="454">
        <v>80.58484607851605</v>
      </c>
      <c r="DM95" s="454">
        <v>83.8888247677352</v>
      </c>
      <c r="DN95" s="454">
        <v>87.57993305751553</v>
      </c>
      <c r="DO95" s="454">
        <v>92.39682937567888</v>
      </c>
      <c r="DP95" s="454">
        <v>91.56525791129776</v>
      </c>
      <c r="DQ95" s="454">
        <v>96.23508606477394</v>
      </c>
      <c r="DR95" s="454">
        <v>102.10542631472514</v>
      </c>
      <c r="DS95" s="454">
        <v>48.6</v>
      </c>
      <c r="DT95" s="454">
        <v>51.84169636998337</v>
      </c>
      <c r="DU95" s="454">
        <v>55.202504980246</v>
      </c>
      <c r="DV95" s="454">
        <v>59.317748547291174</v>
      </c>
      <c r="DW95" s="454">
        <v>63.82931659018781</v>
      </c>
      <c r="DX95" s="454">
        <v>68.32401994731418</v>
      </c>
      <c r="DY95" s="454">
        <v>73.67800876567028</v>
      </c>
      <c r="DZ95" s="454">
        <v>78.10429580759929</v>
      </c>
      <c r="EA95" s="454">
        <v>80.64525206022577</v>
      </c>
      <c r="EB95" s="454">
        <v>83.71286926061339</v>
      </c>
      <c r="EC95" s="454">
        <v>89.63279768727853</v>
      </c>
      <c r="ED95" s="454">
        <v>96.85165533833316</v>
      </c>
      <c r="EE95" s="454">
        <v>0</v>
      </c>
      <c r="EF95" s="454">
        <v>96.85165533833316</v>
      </c>
      <c r="EG95" s="454">
        <v>5036.286077593324</v>
      </c>
      <c r="EH95" s="447">
        <v>127406555.03085418</v>
      </c>
      <c r="EI95" s="454">
        <v>57.62</v>
      </c>
      <c r="EJ95" s="454">
        <v>60.13829236998336</v>
      </c>
      <c r="EK95" s="454">
        <v>62.739501524245995</v>
      </c>
      <c r="EL95" s="454">
        <v>66.13025129849918</v>
      </c>
      <c r="EM95" s="454">
        <v>69.87881903326051</v>
      </c>
      <c r="EN95" s="454">
        <v>73.5265920483567</v>
      </c>
      <c r="EO95" s="454">
        <v>78.0107108114185</v>
      </c>
      <c r="EP95" s="454">
        <v>82.12504330605364</v>
      </c>
      <c r="EQ95" s="454">
        <v>84.47970492458509</v>
      </c>
      <c r="ER95" s="454">
        <v>86.2750456685485</v>
      </c>
      <c r="ES95" s="454">
        <v>91.78707561107036</v>
      </c>
      <c r="ET95" s="454">
        <v>98.56592199619053</v>
      </c>
      <c r="EU95" s="447">
        <v>573287359</v>
      </c>
      <c r="EV95" s="447">
        <v>0</v>
      </c>
      <c r="EW95" s="447">
        <v>0</v>
      </c>
      <c r="EX95" s="447">
        <v>0</v>
      </c>
      <c r="EY95" s="447">
        <v>0</v>
      </c>
      <c r="EZ95" s="447">
        <v>0</v>
      </c>
      <c r="FA95" s="447">
        <v>0</v>
      </c>
      <c r="FB95" s="447">
        <v>0</v>
      </c>
      <c r="FC95" s="447">
        <v>0</v>
      </c>
      <c r="FD95" s="447">
        <v>573287359</v>
      </c>
      <c r="FE95" s="447">
        <v>320765.02368354716</v>
      </c>
      <c r="FF95" s="447">
        <v>0</v>
      </c>
      <c r="FG95" s="447">
        <v>0</v>
      </c>
      <c r="FH95" s="447">
        <v>87147</v>
      </c>
      <c r="FI95" s="456">
        <v>0.0579</v>
      </c>
      <c r="FJ95" s="447">
        <v>5045.8113</v>
      </c>
      <c r="FK95" s="471">
        <v>5045.8113</v>
      </c>
      <c r="FL95" s="446">
        <v>0</v>
      </c>
      <c r="FM95" s="450">
        <v>0</v>
      </c>
      <c r="FN95" s="450">
        <v>0</v>
      </c>
      <c r="FO95" s="450">
        <v>0</v>
      </c>
      <c r="FP95" s="472">
        <v>0</v>
      </c>
      <c r="FQ95" s="446">
        <v>2017292</v>
      </c>
      <c r="FR95" s="450">
        <v>0</v>
      </c>
      <c r="FS95" s="450">
        <v>0</v>
      </c>
      <c r="FT95" s="450">
        <v>0</v>
      </c>
      <c r="FU95" s="450">
        <v>0</v>
      </c>
      <c r="FV95" s="450">
        <v>0</v>
      </c>
      <c r="FW95" s="450">
        <v>0</v>
      </c>
      <c r="FX95" s="450">
        <v>0</v>
      </c>
      <c r="FY95" s="450">
        <v>0</v>
      </c>
      <c r="FZ95" s="450">
        <v>0</v>
      </c>
      <c r="GA95" s="450">
        <v>0</v>
      </c>
      <c r="GB95" s="450">
        <v>0</v>
      </c>
      <c r="GC95" s="450">
        <v>0</v>
      </c>
      <c r="GD95" s="450">
        <v>0</v>
      </c>
      <c r="GE95" s="450">
        <v>0</v>
      </c>
      <c r="GF95" s="450">
        <v>0</v>
      </c>
      <c r="GG95" s="450">
        <v>0</v>
      </c>
      <c r="GH95" s="450">
        <v>0</v>
      </c>
      <c r="GI95" s="450">
        <v>0</v>
      </c>
      <c r="GJ95" s="450">
        <v>0</v>
      </c>
      <c r="GK95" s="450">
        <v>0</v>
      </c>
      <c r="GL95" s="450">
        <v>0</v>
      </c>
      <c r="GM95" s="450">
        <v>0</v>
      </c>
      <c r="GN95" s="450">
        <v>0</v>
      </c>
      <c r="GO95" s="450">
        <v>0</v>
      </c>
      <c r="GP95" s="450">
        <v>0</v>
      </c>
      <c r="GQ95" s="450">
        <v>0</v>
      </c>
      <c r="GR95" s="450">
        <v>0</v>
      </c>
      <c r="GS95" s="450">
        <v>0</v>
      </c>
      <c r="GT95" s="450">
        <v>0</v>
      </c>
      <c r="GU95" s="450">
        <v>0</v>
      </c>
      <c r="GV95" s="450">
        <v>0</v>
      </c>
      <c r="GW95" s="450">
        <v>0</v>
      </c>
      <c r="GX95" s="450">
        <v>415673304</v>
      </c>
      <c r="GY95" s="450">
        <v>425355303</v>
      </c>
      <c r="GZ95" s="450">
        <v>328</v>
      </c>
      <c r="HA95" s="450" t="s">
        <v>889</v>
      </c>
      <c r="HB95" s="450" t="s">
        <v>888</v>
      </c>
      <c r="HC95" s="450">
        <v>0</v>
      </c>
      <c r="HD95" s="450">
        <v>0</v>
      </c>
      <c r="HE95" s="450">
        <v>0</v>
      </c>
      <c r="HF95" s="450">
        <v>0</v>
      </c>
      <c r="HG95" s="472">
        <v>0</v>
      </c>
    </row>
    <row r="96" spans="2:215" ht="12.75">
      <c r="B96" s="445" t="s">
        <v>775</v>
      </c>
      <c r="C96" s="446">
        <v>3806.5</v>
      </c>
      <c r="D96" s="447">
        <v>917714.5</v>
      </c>
      <c r="E96" s="447">
        <v>787399.041</v>
      </c>
      <c r="F96" s="447">
        <v>103969.731504142</v>
      </c>
      <c r="G96" s="447">
        <v>130315.45900000002</v>
      </c>
      <c r="H96" s="448">
        <v>0.39296729278865106</v>
      </c>
      <c r="I96" s="449">
        <v>1172.13</v>
      </c>
      <c r="J96" s="449">
        <v>323.7</v>
      </c>
      <c r="K96" s="447">
        <v>891368.772504142</v>
      </c>
      <c r="L96" s="447">
        <v>713095.0180033137</v>
      </c>
      <c r="M96" s="447">
        <v>223655.93448540807</v>
      </c>
      <c r="N96" s="447">
        <v>178273.75450082836</v>
      </c>
      <c r="O96" s="450">
        <v>1.254564560619992</v>
      </c>
      <c r="P96" s="451">
        <v>0.8044135032181794</v>
      </c>
      <c r="Q96" s="452">
        <v>0.1957178510442664</v>
      </c>
      <c r="R96" s="447">
        <v>936750.9524887218</v>
      </c>
      <c r="S96" s="447">
        <v>633243.643882376</v>
      </c>
      <c r="T96" s="447">
        <v>76731.40001682224</v>
      </c>
      <c r="U96" s="447">
        <v>177670.82073436846</v>
      </c>
      <c r="V96" s="447">
        <v>213579.21716742858</v>
      </c>
      <c r="W96" s="450">
        <v>0.8318731714195259</v>
      </c>
      <c r="X96" s="452">
        <v>14.60311846536407</v>
      </c>
      <c r="Y96" s="447">
        <v>76731.40001682224</v>
      </c>
      <c r="Z96" s="447">
        <v>89928.0914389173</v>
      </c>
      <c r="AA96" s="448">
        <v>0.853252846680742</v>
      </c>
      <c r="AB96" s="448">
        <v>0.06712202810981216</v>
      </c>
      <c r="AC96" s="449">
        <v>253</v>
      </c>
      <c r="AD96" s="449">
        <v>258</v>
      </c>
      <c r="AE96" s="447">
        <v>887645.8646335668</v>
      </c>
      <c r="AF96" s="447">
        <v>48088.18199459143</v>
      </c>
      <c r="AG96" s="451">
        <v>0.5</v>
      </c>
      <c r="AH96" s="450">
        <v>0.21916798317698005</v>
      </c>
      <c r="AI96" s="452">
        <v>0.1845635324716568</v>
      </c>
      <c r="AJ96" s="447">
        <v>935734.0466281583</v>
      </c>
      <c r="AK96" s="453">
        <v>1</v>
      </c>
      <c r="AL96" s="447">
        <v>935734.0466281583</v>
      </c>
      <c r="AM96" s="447">
        <v>2201278.7269565524</v>
      </c>
      <c r="AN96" s="447">
        <v>2179551.6702596177</v>
      </c>
      <c r="AO96" s="447">
        <v>2106127.8127302187</v>
      </c>
      <c r="AP96" s="447">
        <v>2179551.6702596177</v>
      </c>
      <c r="AQ96" s="447">
        <v>15226</v>
      </c>
      <c r="AR96" s="447">
        <v>2194777.6702596177</v>
      </c>
      <c r="AS96" s="454">
        <v>576.5868042189985</v>
      </c>
      <c r="AT96" s="450">
        <v>3806</v>
      </c>
      <c r="AU96" s="450">
        <v>218</v>
      </c>
      <c r="AV96" s="450">
        <v>414</v>
      </c>
      <c r="AW96" s="450">
        <v>332</v>
      </c>
      <c r="AX96" s="450">
        <v>2</v>
      </c>
      <c r="AY96" s="450">
        <v>557</v>
      </c>
      <c r="AZ96" s="450">
        <v>3</v>
      </c>
      <c r="BA96" s="450">
        <v>169</v>
      </c>
      <c r="BB96" s="450">
        <v>66</v>
      </c>
      <c r="BC96" s="450">
        <v>10</v>
      </c>
      <c r="BD96" s="450">
        <v>562</v>
      </c>
      <c r="BE96" s="450">
        <v>625</v>
      </c>
      <c r="BF96" s="450">
        <v>120</v>
      </c>
      <c r="BG96" s="450">
        <v>728</v>
      </c>
      <c r="BH96" s="450">
        <v>0</v>
      </c>
      <c r="BI96" s="450">
        <v>0</v>
      </c>
      <c r="BJ96" s="452">
        <v>1.6134619746979395</v>
      </c>
      <c r="BK96" s="452">
        <v>14.266177533713146</v>
      </c>
      <c r="BL96" s="452">
        <v>11.26561024780455</v>
      </c>
      <c r="BM96" s="452">
        <v>6.0011345718171905</v>
      </c>
      <c r="BN96" s="449">
        <v>3061</v>
      </c>
      <c r="BO96" s="449">
        <v>745</v>
      </c>
      <c r="BP96" s="447">
        <v>1326296.3989792254</v>
      </c>
      <c r="BQ96" s="447">
        <v>4106381</v>
      </c>
      <c r="BR96" s="447">
        <v>5187310</v>
      </c>
      <c r="BS96" s="448">
        <v>0.06713084603258014</v>
      </c>
      <c r="BT96" s="449">
        <v>253</v>
      </c>
      <c r="BU96" s="449">
        <v>258</v>
      </c>
      <c r="BV96" s="447">
        <v>348228.5089332633</v>
      </c>
      <c r="BW96" s="448">
        <v>0.011340429003214244</v>
      </c>
      <c r="BX96" s="447">
        <v>9732.180079524998</v>
      </c>
      <c r="BY96" s="447">
        <v>5790638.087992013</v>
      </c>
      <c r="BZ96" s="455">
        <v>0.93</v>
      </c>
      <c r="CA96" s="447">
        <v>5385293.421832573</v>
      </c>
      <c r="CB96" s="447">
        <v>4049886.6266707527</v>
      </c>
      <c r="CC96" s="447">
        <v>4044929.887297316</v>
      </c>
      <c r="CD96" s="447">
        <v>3964608.4270307235</v>
      </c>
      <c r="CE96" s="447">
        <v>4044929.887297316</v>
      </c>
      <c r="CF96" s="454">
        <v>1062.777164292516</v>
      </c>
      <c r="CG96" s="450">
        <v>3806</v>
      </c>
      <c r="CH96" s="450">
        <v>218</v>
      </c>
      <c r="CI96" s="450">
        <v>414</v>
      </c>
      <c r="CJ96" s="450">
        <v>332</v>
      </c>
      <c r="CK96" s="450">
        <v>2</v>
      </c>
      <c r="CL96" s="450">
        <v>557</v>
      </c>
      <c r="CM96" s="450">
        <v>3</v>
      </c>
      <c r="CN96" s="450">
        <v>169</v>
      </c>
      <c r="CO96" s="450">
        <v>66</v>
      </c>
      <c r="CP96" s="450">
        <v>10</v>
      </c>
      <c r="CQ96" s="450">
        <v>562</v>
      </c>
      <c r="CR96" s="450">
        <v>625</v>
      </c>
      <c r="CS96" s="450">
        <v>120</v>
      </c>
      <c r="CT96" s="450">
        <v>728</v>
      </c>
      <c r="CU96" s="450">
        <v>0</v>
      </c>
      <c r="CV96" s="450">
        <v>0</v>
      </c>
      <c r="CW96" s="447">
        <v>2667842.57201592</v>
      </c>
      <c r="CX96" s="452">
        <v>0.9078784131051217</v>
      </c>
      <c r="CY96" s="452">
        <v>0.93</v>
      </c>
      <c r="CZ96" s="447">
        <v>2422076.6806961</v>
      </c>
      <c r="DA96" s="454">
        <v>636.3837836826327</v>
      </c>
      <c r="DB96" s="449">
        <v>3806.5</v>
      </c>
      <c r="DC96" s="452">
        <v>1.0014054906081704</v>
      </c>
      <c r="DD96" s="454">
        <v>302.7</v>
      </c>
      <c r="DE96" s="447">
        <v>33322</v>
      </c>
      <c r="DF96" s="454">
        <v>47.60505466246118</v>
      </c>
      <c r="DG96" s="454">
        <v>49.652072012947</v>
      </c>
      <c r="DH96" s="454">
        <v>50.74441759723182</v>
      </c>
      <c r="DI96" s="454">
        <v>51.86079478437091</v>
      </c>
      <c r="DJ96" s="454">
        <v>53.57220101225514</v>
      </c>
      <c r="DK96" s="454">
        <v>55.500800248696315</v>
      </c>
      <c r="DL96" s="454">
        <v>57.27682585665459</v>
      </c>
      <c r="DM96" s="454">
        <v>59.62517571677742</v>
      </c>
      <c r="DN96" s="454">
        <v>62.24868344831562</v>
      </c>
      <c r="DO96" s="454">
        <v>65.67236103797298</v>
      </c>
      <c r="DP96" s="454">
        <v>65.08130978863122</v>
      </c>
      <c r="DQ96" s="454">
        <v>68.40045658785141</v>
      </c>
      <c r="DR96" s="454">
        <v>72.57288443971034</v>
      </c>
      <c r="DS96" s="454">
        <v>38.14</v>
      </c>
      <c r="DT96" s="454">
        <v>40.15561375972318</v>
      </c>
      <c r="DU96" s="454">
        <v>42.24145476487418</v>
      </c>
      <c r="DV96" s="454">
        <v>44.87752005213254</v>
      </c>
      <c r="DW96" s="454">
        <v>47.77992355610745</v>
      </c>
      <c r="DX96" s="454">
        <v>50.636871901028165</v>
      </c>
      <c r="DY96" s="454">
        <v>54.09542206253174</v>
      </c>
      <c r="DZ96" s="454">
        <v>57.117072057175626</v>
      </c>
      <c r="EA96" s="454">
        <v>58.84880512105803</v>
      </c>
      <c r="EB96" s="454">
        <v>60.52181861557525</v>
      </c>
      <c r="EC96" s="454">
        <v>64.56683640954594</v>
      </c>
      <c r="ED96" s="454">
        <v>69.52228118282376</v>
      </c>
      <c r="EE96" s="454">
        <v>-0.79</v>
      </c>
      <c r="EF96" s="454">
        <v>68.73228118282375</v>
      </c>
      <c r="EG96" s="454">
        <v>3574.078621506835</v>
      </c>
      <c r="EH96" s="447">
        <v>13332635.667310454</v>
      </c>
      <c r="EI96" s="454">
        <v>42.25</v>
      </c>
      <c r="EJ96" s="454">
        <v>43.93599175972317</v>
      </c>
      <c r="EK96" s="454">
        <v>45.67571815687417</v>
      </c>
      <c r="EL96" s="454">
        <v>47.98166487557653</v>
      </c>
      <c r="EM96" s="454">
        <v>50.536404159325706</v>
      </c>
      <c r="EN96" s="454">
        <v>53.00744521979587</v>
      </c>
      <c r="EO96" s="454">
        <v>56.06963552240148</v>
      </c>
      <c r="EP96" s="454">
        <v>58.949142147934744</v>
      </c>
      <c r="EQ96" s="454">
        <v>60.595989297611965</v>
      </c>
      <c r="ER96" s="454">
        <v>61.68928480588713</v>
      </c>
      <c r="ES96" s="454">
        <v>65.54844198236017</v>
      </c>
      <c r="ET96" s="454">
        <v>70.30339381739068</v>
      </c>
      <c r="EU96" s="447">
        <v>28952170</v>
      </c>
      <c r="EV96" s="447">
        <v>0</v>
      </c>
      <c r="EW96" s="447">
        <v>0</v>
      </c>
      <c r="EX96" s="447">
        <v>0</v>
      </c>
      <c r="EY96" s="447">
        <v>0</v>
      </c>
      <c r="EZ96" s="447">
        <v>0</v>
      </c>
      <c r="FA96" s="447">
        <v>0</v>
      </c>
      <c r="FB96" s="447">
        <v>0</v>
      </c>
      <c r="FC96" s="447">
        <v>0</v>
      </c>
      <c r="FD96" s="447">
        <v>28952170</v>
      </c>
      <c r="FE96" s="447">
        <v>54675.27942392338</v>
      </c>
      <c r="FF96" s="447">
        <v>0</v>
      </c>
      <c r="FG96" s="447">
        <v>0</v>
      </c>
      <c r="FH96" s="447">
        <v>11358</v>
      </c>
      <c r="FI96" s="456">
        <v>0.0548</v>
      </c>
      <c r="FJ96" s="447">
        <v>622.4184</v>
      </c>
      <c r="FK96" s="471">
        <v>622.4184</v>
      </c>
      <c r="FL96" s="446">
        <v>68.58</v>
      </c>
      <c r="FM96" s="450">
        <v>64.99</v>
      </c>
      <c r="FN96" s="450">
        <v>64.2</v>
      </c>
      <c r="FO96" s="450">
        <v>-0.79</v>
      </c>
      <c r="FP96" s="472">
        <v>64.2</v>
      </c>
      <c r="FQ96" s="446">
        <v>255406</v>
      </c>
      <c r="FR96" s="450">
        <v>47014</v>
      </c>
      <c r="FS96" s="450">
        <v>0</v>
      </c>
      <c r="FT96" s="450">
        <v>0</v>
      </c>
      <c r="FU96" s="450">
        <v>0</v>
      </c>
      <c r="FV96" s="450">
        <v>0</v>
      </c>
      <c r="FW96" s="450">
        <v>0</v>
      </c>
      <c r="FX96" s="450">
        <v>0</v>
      </c>
      <c r="FY96" s="450">
        <v>0</v>
      </c>
      <c r="FZ96" s="450">
        <v>0</v>
      </c>
      <c r="GA96" s="450">
        <v>0</v>
      </c>
      <c r="GB96" s="450">
        <v>0</v>
      </c>
      <c r="GC96" s="450">
        <v>0</v>
      </c>
      <c r="GD96" s="450">
        <v>0</v>
      </c>
      <c r="GE96" s="450">
        <v>0</v>
      </c>
      <c r="GF96" s="450">
        <v>0</v>
      </c>
      <c r="GG96" s="450">
        <v>0</v>
      </c>
      <c r="GH96" s="450">
        <v>0</v>
      </c>
      <c r="GI96" s="450">
        <v>0</v>
      </c>
      <c r="GJ96" s="450">
        <v>0</v>
      </c>
      <c r="GK96" s="450">
        <v>0</v>
      </c>
      <c r="GL96" s="450">
        <v>0</v>
      </c>
      <c r="GM96" s="450">
        <v>0</v>
      </c>
      <c r="GN96" s="450">
        <v>0</v>
      </c>
      <c r="GO96" s="450">
        <v>0</v>
      </c>
      <c r="GP96" s="450">
        <v>0</v>
      </c>
      <c r="GQ96" s="450">
        <v>0</v>
      </c>
      <c r="GR96" s="450">
        <v>0</v>
      </c>
      <c r="GS96" s="450">
        <v>0</v>
      </c>
      <c r="GT96" s="450">
        <v>0</v>
      </c>
      <c r="GU96" s="450">
        <v>0</v>
      </c>
      <c r="GV96" s="450">
        <v>0</v>
      </c>
      <c r="GW96" s="450">
        <v>0</v>
      </c>
      <c r="GX96" s="450">
        <v>15303171</v>
      </c>
      <c r="GY96" s="450">
        <v>15303171</v>
      </c>
      <c r="GZ96" s="450">
        <v>0</v>
      </c>
      <c r="HA96" s="450" t="s">
        <v>888</v>
      </c>
      <c r="HB96" s="450" t="s">
        <v>888</v>
      </c>
      <c r="HC96" s="450">
        <v>0</v>
      </c>
      <c r="HD96" s="450">
        <v>0</v>
      </c>
      <c r="HE96" s="450">
        <v>0</v>
      </c>
      <c r="HF96" s="450">
        <v>0</v>
      </c>
      <c r="HG96" s="472">
        <v>0</v>
      </c>
    </row>
    <row r="97" spans="2:215" ht="12.75">
      <c r="B97" s="445" t="s">
        <v>776</v>
      </c>
      <c r="C97" s="446">
        <v>58221.75</v>
      </c>
      <c r="D97" s="447">
        <v>13596467.75</v>
      </c>
      <c r="E97" s="447">
        <v>11665769.329499999</v>
      </c>
      <c r="F97" s="447">
        <v>1714935.000969887</v>
      </c>
      <c r="G97" s="447">
        <v>1930698.4205000002</v>
      </c>
      <c r="H97" s="448">
        <v>0.437500590415094</v>
      </c>
      <c r="I97" s="449">
        <v>20965.73</v>
      </c>
      <c r="J97" s="449">
        <v>4506.32</v>
      </c>
      <c r="K97" s="447">
        <v>13380704.330469886</v>
      </c>
      <c r="L97" s="447">
        <v>10704563.46437591</v>
      </c>
      <c r="M97" s="447">
        <v>3375825.8686728925</v>
      </c>
      <c r="N97" s="447">
        <v>2676140.8660939764</v>
      </c>
      <c r="O97" s="450">
        <v>1.2614529793419125</v>
      </c>
      <c r="P97" s="451">
        <v>0.7988595327347597</v>
      </c>
      <c r="Q97" s="452">
        <v>0.2011275854813708</v>
      </c>
      <c r="R97" s="447">
        <v>14080389.333048802</v>
      </c>
      <c r="S97" s="447">
        <v>9518343.18914099</v>
      </c>
      <c r="T97" s="447">
        <v>1532167.2509624735</v>
      </c>
      <c r="U97" s="447">
        <v>2751516.033107559</v>
      </c>
      <c r="V97" s="447">
        <v>3210328.767935127</v>
      </c>
      <c r="W97" s="450">
        <v>0.8570823214711824</v>
      </c>
      <c r="X97" s="452">
        <v>15.045652516543155</v>
      </c>
      <c r="Y97" s="447">
        <v>1532167.2509624735</v>
      </c>
      <c r="Z97" s="447">
        <v>1351717.375972685</v>
      </c>
      <c r="AA97" s="448">
        <v>1.133496748800716</v>
      </c>
      <c r="AB97" s="448">
        <v>0.08916770794419611</v>
      </c>
      <c r="AC97" s="449">
        <v>5118</v>
      </c>
      <c r="AD97" s="449">
        <v>5265</v>
      </c>
      <c r="AE97" s="447">
        <v>13802026.473211024</v>
      </c>
      <c r="AF97" s="447">
        <v>1986119.284560665</v>
      </c>
      <c r="AG97" s="451">
        <v>1</v>
      </c>
      <c r="AH97" s="450">
        <v>0.3348106206992227</v>
      </c>
      <c r="AI97" s="452">
        <v>0.2819473445415497</v>
      </c>
      <c r="AJ97" s="447">
        <v>15788145.75777169</v>
      </c>
      <c r="AK97" s="453">
        <v>1.0009</v>
      </c>
      <c r="AL97" s="447">
        <v>15802355.088953683</v>
      </c>
      <c r="AM97" s="447">
        <v>37174438.84667196</v>
      </c>
      <c r="AN97" s="447">
        <v>36807519.77794727</v>
      </c>
      <c r="AO97" s="447">
        <v>35658033.10140919</v>
      </c>
      <c r="AP97" s="447">
        <v>36807519.77794727</v>
      </c>
      <c r="AQ97" s="447">
        <v>232887</v>
      </c>
      <c r="AR97" s="447">
        <v>37040406.77794727</v>
      </c>
      <c r="AS97" s="454">
        <v>636.1953527323941</v>
      </c>
      <c r="AT97" s="450">
        <v>58211</v>
      </c>
      <c r="AU97" s="450">
        <v>3195</v>
      </c>
      <c r="AV97" s="450">
        <v>5680</v>
      </c>
      <c r="AW97" s="450">
        <v>4238</v>
      </c>
      <c r="AX97" s="450">
        <v>664</v>
      </c>
      <c r="AY97" s="450">
        <v>5755</v>
      </c>
      <c r="AZ97" s="450">
        <v>2373</v>
      </c>
      <c r="BA97" s="450">
        <v>2816</v>
      </c>
      <c r="BB97" s="450">
        <v>6941</v>
      </c>
      <c r="BC97" s="450">
        <v>1787</v>
      </c>
      <c r="BD97" s="450">
        <v>10060</v>
      </c>
      <c r="BE97" s="450">
        <v>4184</v>
      </c>
      <c r="BF97" s="450">
        <v>7526</v>
      </c>
      <c r="BG97" s="450">
        <v>2990</v>
      </c>
      <c r="BH97" s="450">
        <v>2</v>
      </c>
      <c r="BI97" s="450">
        <v>0</v>
      </c>
      <c r="BJ97" s="452">
        <v>2.1658995237382017</v>
      </c>
      <c r="BK97" s="452">
        <v>26.874769933479335</v>
      </c>
      <c r="BL97" s="452">
        <v>13.184670636211989</v>
      </c>
      <c r="BM97" s="452">
        <v>27.38019859453469</v>
      </c>
      <c r="BN97" s="449">
        <v>46501</v>
      </c>
      <c r="BO97" s="449">
        <v>11710</v>
      </c>
      <c r="BP97" s="447">
        <v>25287539.70489777</v>
      </c>
      <c r="BQ97" s="447">
        <v>63582840</v>
      </c>
      <c r="BR97" s="447">
        <v>83209811</v>
      </c>
      <c r="BS97" s="448">
        <v>0.0891841748123207</v>
      </c>
      <c r="BT97" s="449">
        <v>5118</v>
      </c>
      <c r="BU97" s="449">
        <v>5265</v>
      </c>
      <c r="BV97" s="447">
        <v>7420998.330324166</v>
      </c>
      <c r="BW97" s="448">
        <v>0.014653661826302114</v>
      </c>
      <c r="BX97" s="447">
        <v>362326.6044189563</v>
      </c>
      <c r="BY97" s="447">
        <v>96653704.6396409</v>
      </c>
      <c r="BZ97" s="455">
        <v>0.93</v>
      </c>
      <c r="CA97" s="447">
        <v>89887945.31486604</v>
      </c>
      <c r="CB97" s="447">
        <v>67598171.37423672</v>
      </c>
      <c r="CC97" s="447">
        <v>67515436.58472028</v>
      </c>
      <c r="CD97" s="447">
        <v>65955746.12168958</v>
      </c>
      <c r="CE97" s="447">
        <v>67515436.58472028</v>
      </c>
      <c r="CF97" s="454">
        <v>1159.8398341330726</v>
      </c>
      <c r="CG97" s="450">
        <v>56811</v>
      </c>
      <c r="CH97" s="450">
        <v>3195</v>
      </c>
      <c r="CI97" s="450">
        <v>5680</v>
      </c>
      <c r="CJ97" s="450">
        <v>4238</v>
      </c>
      <c r="CK97" s="450">
        <v>664</v>
      </c>
      <c r="CL97" s="450">
        <v>5620</v>
      </c>
      <c r="CM97" s="450">
        <v>2371</v>
      </c>
      <c r="CN97" s="450">
        <v>2816</v>
      </c>
      <c r="CO97" s="450">
        <v>6067</v>
      </c>
      <c r="CP97" s="450">
        <v>1787</v>
      </c>
      <c r="CQ97" s="450">
        <v>9838</v>
      </c>
      <c r="CR97" s="450">
        <v>4118</v>
      </c>
      <c r="CS97" s="450">
        <v>7441</v>
      </c>
      <c r="CT97" s="450">
        <v>2974</v>
      </c>
      <c r="CU97" s="450">
        <v>2</v>
      </c>
      <c r="CV97" s="450">
        <v>0</v>
      </c>
      <c r="CW97" s="447">
        <v>41165844.92150664</v>
      </c>
      <c r="CX97" s="452">
        <v>0.9078784131051217</v>
      </c>
      <c r="CY97" s="452">
        <v>0.93</v>
      </c>
      <c r="CZ97" s="447">
        <v>37373581.96146899</v>
      </c>
      <c r="DA97" s="454">
        <v>657.858195797803</v>
      </c>
      <c r="DB97" s="449">
        <v>58221.75</v>
      </c>
      <c r="DC97" s="452">
        <v>1.0096956893257243</v>
      </c>
      <c r="DD97" s="454">
        <v>302.7</v>
      </c>
      <c r="DE97" s="447">
        <v>26540</v>
      </c>
      <c r="DF97" s="454">
        <v>45.67453168017531</v>
      </c>
      <c r="DG97" s="454">
        <v>47.63853654242285</v>
      </c>
      <c r="DH97" s="454">
        <v>48.68658434635614</v>
      </c>
      <c r="DI97" s="454">
        <v>49.757689201975964</v>
      </c>
      <c r="DJ97" s="454">
        <v>51.39969294564116</v>
      </c>
      <c r="DK97" s="454">
        <v>53.25008189168424</v>
      </c>
      <c r="DL97" s="454">
        <v>54.954084512218124</v>
      </c>
      <c r="DM97" s="454">
        <v>57.207201977219064</v>
      </c>
      <c r="DN97" s="454">
        <v>59.72431886421669</v>
      </c>
      <c r="DO97" s="454">
        <v>63.009156401748605</v>
      </c>
      <c r="DP97" s="454">
        <v>62.44207399413287</v>
      </c>
      <c r="DQ97" s="454">
        <v>65.62661976783365</v>
      </c>
      <c r="DR97" s="454">
        <v>69.6298435736715</v>
      </c>
      <c r="DS97" s="454">
        <v>34.51</v>
      </c>
      <c r="DT97" s="454">
        <v>36.610956434635604</v>
      </c>
      <c r="DU97" s="454">
        <v>38.78765211239518</v>
      </c>
      <c r="DV97" s="454">
        <v>41.484150671296334</v>
      </c>
      <c r="DW97" s="454">
        <v>44.44508035206603</v>
      </c>
      <c r="DX97" s="454">
        <v>47.381783188146464</v>
      </c>
      <c r="DY97" s="454">
        <v>50.900989434532185</v>
      </c>
      <c r="DZ97" s="454">
        <v>53.87215362460327</v>
      </c>
      <c r="EA97" s="454">
        <v>55.576687600113225</v>
      </c>
      <c r="EB97" s="454">
        <v>57.47570802487854</v>
      </c>
      <c r="EC97" s="454">
        <v>61.450899260884604</v>
      </c>
      <c r="ED97" s="454">
        <v>66.30701398026679</v>
      </c>
      <c r="EE97" s="454">
        <v>-1.64</v>
      </c>
      <c r="EF97" s="454">
        <v>64.66701398026679</v>
      </c>
      <c r="EG97" s="454">
        <v>3362.684726973873</v>
      </c>
      <c r="EH97" s="447">
        <v>191865761.71263728</v>
      </c>
      <c r="EI97" s="454">
        <v>38.57</v>
      </c>
      <c r="EJ97" s="454">
        <v>40.34534443463561</v>
      </c>
      <c r="EK97" s="454">
        <v>42.18013614439518</v>
      </c>
      <c r="EL97" s="454">
        <v>44.550532175720335</v>
      </c>
      <c r="EM97" s="454">
        <v>47.16802712799454</v>
      </c>
      <c r="EN97" s="454">
        <v>49.72351741544498</v>
      </c>
      <c r="EO97" s="454">
        <v>52.85118569902639</v>
      </c>
      <c r="EP97" s="454">
        <v>55.68193575805389</v>
      </c>
      <c r="EQ97" s="454">
        <v>57.302616494713966</v>
      </c>
      <c r="ER97" s="454">
        <v>58.62897146348347</v>
      </c>
      <c r="ES97" s="454">
        <v>62.42056316006362</v>
      </c>
      <c r="ET97" s="454">
        <v>67.07862402803849</v>
      </c>
      <c r="EU97" s="447">
        <v>829983624</v>
      </c>
      <c r="EV97" s="447">
        <v>0</v>
      </c>
      <c r="EW97" s="447">
        <v>0</v>
      </c>
      <c r="EX97" s="447">
        <v>0</v>
      </c>
      <c r="EY97" s="447">
        <v>0</v>
      </c>
      <c r="EZ97" s="447">
        <v>0</v>
      </c>
      <c r="FA97" s="447">
        <v>0</v>
      </c>
      <c r="FB97" s="447">
        <v>0</v>
      </c>
      <c r="FC97" s="447">
        <v>0</v>
      </c>
      <c r="FD97" s="447">
        <v>829983624</v>
      </c>
      <c r="FE97" s="447">
        <v>446246.97834411677</v>
      </c>
      <c r="FF97" s="447">
        <v>0</v>
      </c>
      <c r="FG97" s="447">
        <v>0</v>
      </c>
      <c r="FH97" s="447">
        <v>229407</v>
      </c>
      <c r="FI97" s="456">
        <v>0.0451</v>
      </c>
      <c r="FJ97" s="447">
        <v>10346.2557</v>
      </c>
      <c r="FK97" s="471">
        <v>10346.2557</v>
      </c>
      <c r="FL97" s="446">
        <v>65.63</v>
      </c>
      <c r="FM97" s="450">
        <v>61.9</v>
      </c>
      <c r="FN97" s="450">
        <v>60.26</v>
      </c>
      <c r="FO97" s="450">
        <v>-1.64</v>
      </c>
      <c r="FP97" s="472">
        <v>60.18</v>
      </c>
      <c r="FQ97" s="446">
        <v>9758399</v>
      </c>
      <c r="FR97" s="450">
        <v>11232621</v>
      </c>
      <c r="FS97" s="450">
        <v>0</v>
      </c>
      <c r="FT97" s="450">
        <v>0</v>
      </c>
      <c r="FU97" s="450">
        <v>0</v>
      </c>
      <c r="FV97" s="450">
        <v>0</v>
      </c>
      <c r="FW97" s="450">
        <v>0</v>
      </c>
      <c r="FX97" s="450">
        <v>0</v>
      </c>
      <c r="FY97" s="450">
        <v>0</v>
      </c>
      <c r="FZ97" s="450">
        <v>0</v>
      </c>
      <c r="GA97" s="450">
        <v>0</v>
      </c>
      <c r="GB97" s="450">
        <v>0</v>
      </c>
      <c r="GC97" s="450">
        <v>0</v>
      </c>
      <c r="GD97" s="450">
        <v>0</v>
      </c>
      <c r="GE97" s="450">
        <v>0</v>
      </c>
      <c r="GF97" s="450">
        <v>0</v>
      </c>
      <c r="GG97" s="450">
        <v>0</v>
      </c>
      <c r="GH97" s="450">
        <v>0</v>
      </c>
      <c r="GI97" s="450">
        <v>0</v>
      </c>
      <c r="GJ97" s="450">
        <v>0</v>
      </c>
      <c r="GK97" s="450">
        <v>0</v>
      </c>
      <c r="GL97" s="450">
        <v>0</v>
      </c>
      <c r="GM97" s="450">
        <v>0</v>
      </c>
      <c r="GN97" s="450">
        <v>0</v>
      </c>
      <c r="GO97" s="450">
        <v>0</v>
      </c>
      <c r="GP97" s="450">
        <v>0</v>
      </c>
      <c r="GQ97" s="450">
        <v>0</v>
      </c>
      <c r="GR97" s="450">
        <v>0</v>
      </c>
      <c r="GS97" s="450">
        <v>0</v>
      </c>
      <c r="GT97" s="450">
        <v>0</v>
      </c>
      <c r="GU97" s="450">
        <v>0</v>
      </c>
      <c r="GV97" s="450">
        <v>0</v>
      </c>
      <c r="GW97" s="450">
        <v>3480600</v>
      </c>
      <c r="GX97" s="450">
        <v>808384000</v>
      </c>
      <c r="GY97" s="450">
        <v>808096000</v>
      </c>
      <c r="GZ97" s="450">
        <v>307</v>
      </c>
      <c r="HA97" s="450" t="s">
        <v>888</v>
      </c>
      <c r="HB97" s="450" t="s">
        <v>888</v>
      </c>
      <c r="HC97" s="450">
        <v>8</v>
      </c>
      <c r="HD97" s="450">
        <v>0</v>
      </c>
      <c r="HE97" s="450">
        <v>0</v>
      </c>
      <c r="HF97" s="450">
        <v>0</v>
      </c>
      <c r="HG97" s="472">
        <v>0</v>
      </c>
    </row>
    <row r="98" spans="2:215" ht="12.75">
      <c r="B98" s="445" t="s">
        <v>777</v>
      </c>
      <c r="C98" s="446">
        <v>22229</v>
      </c>
      <c r="D98" s="447">
        <v>5210157</v>
      </c>
      <c r="E98" s="447">
        <v>4470314.706</v>
      </c>
      <c r="F98" s="447">
        <v>622240.7597391992</v>
      </c>
      <c r="G98" s="447">
        <v>739842.2940000001</v>
      </c>
      <c r="H98" s="448">
        <v>0.4142521031085519</v>
      </c>
      <c r="I98" s="449">
        <v>7399.46</v>
      </c>
      <c r="J98" s="449">
        <v>1808.95</v>
      </c>
      <c r="K98" s="447">
        <v>5092555.4657392</v>
      </c>
      <c r="L98" s="447">
        <v>4074044.37259136</v>
      </c>
      <c r="M98" s="447">
        <v>1301860.5218731784</v>
      </c>
      <c r="N98" s="447">
        <v>1018511.0931478398</v>
      </c>
      <c r="O98" s="450">
        <v>1.2781996491070222</v>
      </c>
      <c r="P98" s="451">
        <v>0.7860002699176751</v>
      </c>
      <c r="Q98" s="452">
        <v>0.2139997300823249</v>
      </c>
      <c r="R98" s="447">
        <v>5375904.894464538</v>
      </c>
      <c r="S98" s="447">
        <v>3634111.7086580284</v>
      </c>
      <c r="T98" s="447">
        <v>392967.5873434254</v>
      </c>
      <c r="U98" s="447">
        <v>2095168.3349983373</v>
      </c>
      <c r="V98" s="447">
        <v>1225706.315937915</v>
      </c>
      <c r="W98" s="450">
        <v>1.7093559099392475</v>
      </c>
      <c r="X98" s="452">
        <v>30.006890124509567</v>
      </c>
      <c r="Y98" s="447">
        <v>392967.5873434254</v>
      </c>
      <c r="Z98" s="447">
        <v>516086.8698685957</v>
      </c>
      <c r="AA98" s="448">
        <v>0.7614369019763697</v>
      </c>
      <c r="AB98" s="448">
        <v>0.05989923073462594</v>
      </c>
      <c r="AC98" s="449">
        <v>1295</v>
      </c>
      <c r="AD98" s="449">
        <v>1368</v>
      </c>
      <c r="AE98" s="447">
        <v>6122247.630999791</v>
      </c>
      <c r="AF98" s="447">
        <v>1115244.8384367395</v>
      </c>
      <c r="AG98" s="451">
        <v>1</v>
      </c>
      <c r="AH98" s="450">
        <v>0.5447152374036152</v>
      </c>
      <c r="AI98" s="452">
        <v>0.45871010422706604</v>
      </c>
      <c r="AJ98" s="447">
        <v>7237492.469436531</v>
      </c>
      <c r="AK98" s="453">
        <v>1</v>
      </c>
      <c r="AL98" s="447">
        <v>7237492.469436531</v>
      </c>
      <c r="AM98" s="447">
        <v>17025925.54678074</v>
      </c>
      <c r="AN98" s="447">
        <v>16857876.291980486</v>
      </c>
      <c r="AO98" s="447">
        <v>16539720.74424723</v>
      </c>
      <c r="AP98" s="447">
        <v>16857876.291980486</v>
      </c>
      <c r="AQ98" s="447">
        <v>88916</v>
      </c>
      <c r="AR98" s="447">
        <v>16946792.291980486</v>
      </c>
      <c r="AS98" s="454">
        <v>762.3731293346748</v>
      </c>
      <c r="AT98" s="450">
        <v>22229</v>
      </c>
      <c r="AU98" s="450">
        <v>1088</v>
      </c>
      <c r="AV98" s="450">
        <v>1869</v>
      </c>
      <c r="AW98" s="450">
        <v>1001</v>
      </c>
      <c r="AX98" s="450">
        <v>227</v>
      </c>
      <c r="AY98" s="450">
        <v>1175</v>
      </c>
      <c r="AZ98" s="450">
        <v>204</v>
      </c>
      <c r="BA98" s="450">
        <v>1928</v>
      </c>
      <c r="BB98" s="450">
        <v>3584</v>
      </c>
      <c r="BC98" s="450">
        <v>274</v>
      </c>
      <c r="BD98" s="450">
        <v>3283</v>
      </c>
      <c r="BE98" s="450">
        <v>4091</v>
      </c>
      <c r="BF98" s="450">
        <v>666</v>
      </c>
      <c r="BG98" s="450">
        <v>2824</v>
      </c>
      <c r="BH98" s="450">
        <v>3</v>
      </c>
      <c r="BI98" s="450">
        <v>12</v>
      </c>
      <c r="BJ98" s="452">
        <v>2.16224721334894</v>
      </c>
      <c r="BK98" s="452">
        <v>26.24412959836704</v>
      </c>
      <c r="BL98" s="452">
        <v>15.371135080481496</v>
      </c>
      <c r="BM98" s="452">
        <v>21.74598903577109</v>
      </c>
      <c r="BN98" s="449">
        <v>17472</v>
      </c>
      <c r="BO98" s="449">
        <v>4757</v>
      </c>
      <c r="BP98" s="447">
        <v>10110190.112985494</v>
      </c>
      <c r="BQ98" s="447">
        <v>24598174</v>
      </c>
      <c r="BR98" s="447">
        <v>30676396</v>
      </c>
      <c r="BS98" s="448">
        <v>0.05989923073462594</v>
      </c>
      <c r="BT98" s="449">
        <v>1295</v>
      </c>
      <c r="BU98" s="449">
        <v>1368</v>
      </c>
      <c r="BV98" s="447">
        <v>1837492.5221107563</v>
      </c>
      <c r="BW98" s="448">
        <v>0.013503099362646657</v>
      </c>
      <c r="BX98" s="447">
        <v>124505.86419533995</v>
      </c>
      <c r="BY98" s="447">
        <v>36670362.49929159</v>
      </c>
      <c r="BZ98" s="455">
        <v>0.91</v>
      </c>
      <c r="CA98" s="447">
        <v>33370029.87435535</v>
      </c>
      <c r="CB98" s="447">
        <v>25095166.99161891</v>
      </c>
      <c r="CC98" s="447">
        <v>25064452.501615375</v>
      </c>
      <c r="CD98" s="447">
        <v>24560316.297947723</v>
      </c>
      <c r="CE98" s="447">
        <v>25064452.501615375</v>
      </c>
      <c r="CF98" s="454">
        <v>1127.5564578530466</v>
      </c>
      <c r="CG98" s="450">
        <v>22229</v>
      </c>
      <c r="CH98" s="450">
        <v>1088</v>
      </c>
      <c r="CI98" s="450">
        <v>1869</v>
      </c>
      <c r="CJ98" s="450">
        <v>1001</v>
      </c>
      <c r="CK98" s="450">
        <v>227</v>
      </c>
      <c r="CL98" s="450">
        <v>1175</v>
      </c>
      <c r="CM98" s="450">
        <v>204</v>
      </c>
      <c r="CN98" s="450">
        <v>1928</v>
      </c>
      <c r="CO98" s="450">
        <v>3584</v>
      </c>
      <c r="CP98" s="450">
        <v>274</v>
      </c>
      <c r="CQ98" s="450">
        <v>3283</v>
      </c>
      <c r="CR98" s="450">
        <v>4091</v>
      </c>
      <c r="CS98" s="450">
        <v>666</v>
      </c>
      <c r="CT98" s="450">
        <v>2824</v>
      </c>
      <c r="CU98" s="450">
        <v>3</v>
      </c>
      <c r="CV98" s="450">
        <v>12</v>
      </c>
      <c r="CW98" s="447">
        <v>15554422.62050969</v>
      </c>
      <c r="CX98" s="452">
        <v>0.8883541461566244</v>
      </c>
      <c r="CY98" s="452">
        <v>0.91</v>
      </c>
      <c r="CZ98" s="447">
        <v>13817835.82600217</v>
      </c>
      <c r="DA98" s="454">
        <v>621.613020198937</v>
      </c>
      <c r="DB98" s="449">
        <v>22229</v>
      </c>
      <c r="DC98" s="452">
        <v>1.0079085878806964</v>
      </c>
      <c r="DD98" s="454">
        <v>303.1</v>
      </c>
      <c r="DE98" s="447">
        <v>23178</v>
      </c>
      <c r="DF98" s="454">
        <v>44.5505494800453</v>
      </c>
      <c r="DG98" s="454">
        <v>46.46622310768724</v>
      </c>
      <c r="DH98" s="454">
        <v>47.48848001605635</v>
      </c>
      <c r="DI98" s="454">
        <v>48.53322657640958</v>
      </c>
      <c r="DJ98" s="454">
        <v>50.13482305343109</v>
      </c>
      <c r="DK98" s="454">
        <v>51.9396766833546</v>
      </c>
      <c r="DL98" s="454">
        <v>53.60174633722193</v>
      </c>
      <c r="DM98" s="454">
        <v>55.79941793704803</v>
      </c>
      <c r="DN98" s="454">
        <v>58.25459232627813</v>
      </c>
      <c r="DO98" s="454">
        <v>61.458594904223425</v>
      </c>
      <c r="DP98" s="454">
        <v>60.90546755008541</v>
      </c>
      <c r="DQ98" s="454">
        <v>64.01164639513976</v>
      </c>
      <c r="DR98" s="454">
        <v>67.91635682524328</v>
      </c>
      <c r="DS98" s="454">
        <v>37.23</v>
      </c>
      <c r="DT98" s="454">
        <v>38.993002001605625</v>
      </c>
      <c r="DU98" s="454">
        <v>40.8155567712819</v>
      </c>
      <c r="DV98" s="454">
        <v>43.159014258321314</v>
      </c>
      <c r="DW98" s="454">
        <v>45.74515847329712</v>
      </c>
      <c r="DX98" s="454">
        <v>48.2744606765725</v>
      </c>
      <c r="DY98" s="454">
        <v>51.36285443885918</v>
      </c>
      <c r="DZ98" s="454">
        <v>54.13746139995888</v>
      </c>
      <c r="EA98" s="454">
        <v>55.72633201537568</v>
      </c>
      <c r="EB98" s="454">
        <v>57.07517695650378</v>
      </c>
      <c r="EC98" s="454">
        <v>60.791138064056334</v>
      </c>
      <c r="ED98" s="454">
        <v>65.35363732078365</v>
      </c>
      <c r="EE98" s="454">
        <v>-0.06</v>
      </c>
      <c r="EF98" s="454">
        <v>65.29363732078365</v>
      </c>
      <c r="EG98" s="454">
        <v>3395.2691406807494</v>
      </c>
      <c r="EH98" s="447">
        <v>73963968.97362852</v>
      </c>
      <c r="EI98" s="454">
        <v>42.96</v>
      </c>
      <c r="EJ98" s="454">
        <v>44.263456001605626</v>
      </c>
      <c r="EK98" s="454">
        <v>45.6034714272819</v>
      </c>
      <c r="EL98" s="454">
        <v>47.48669061801331</v>
      </c>
      <c r="EM98" s="454">
        <v>49.58813508070361</v>
      </c>
      <c r="EN98" s="454">
        <v>51.57942055894208</v>
      </c>
      <c r="EO98" s="454">
        <v>54.11522502889657</v>
      </c>
      <c r="EP98" s="454">
        <v>56.69166130751358</v>
      </c>
      <c r="EQ98" s="454">
        <v>58.16218732721368</v>
      </c>
      <c r="ER98" s="454">
        <v>58.70281230212109</v>
      </c>
      <c r="ES98" s="454">
        <v>62.15965386265136</v>
      </c>
      <c r="ET98" s="454">
        <v>66.44263376751564</v>
      </c>
      <c r="EU98" s="447">
        <v>224308128</v>
      </c>
      <c r="EV98" s="447">
        <v>0</v>
      </c>
      <c r="EW98" s="447">
        <v>0</v>
      </c>
      <c r="EX98" s="447">
        <v>0</v>
      </c>
      <c r="EY98" s="447">
        <v>0</v>
      </c>
      <c r="EZ98" s="447">
        <v>0</v>
      </c>
      <c r="FA98" s="447">
        <v>0</v>
      </c>
      <c r="FB98" s="447">
        <v>0</v>
      </c>
      <c r="FC98" s="447">
        <v>0</v>
      </c>
      <c r="FD98" s="447">
        <v>224308128</v>
      </c>
      <c r="FE98" s="447">
        <v>150171.98431142204</v>
      </c>
      <c r="FF98" s="447">
        <v>0</v>
      </c>
      <c r="FG98" s="447">
        <v>0</v>
      </c>
      <c r="FH98" s="447">
        <v>1910</v>
      </c>
      <c r="FI98" s="456">
        <v>0.0499</v>
      </c>
      <c r="FJ98" s="447">
        <v>95.309</v>
      </c>
      <c r="FK98" s="471">
        <v>95.309</v>
      </c>
      <c r="FL98" s="446">
        <v>64.03</v>
      </c>
      <c r="FM98" s="450">
        <v>61.25</v>
      </c>
      <c r="FN98" s="450">
        <v>60.87</v>
      </c>
      <c r="FO98" s="450">
        <v>-0.38</v>
      </c>
      <c r="FP98" s="472">
        <v>61.19</v>
      </c>
      <c r="FQ98" s="446">
        <v>4238571</v>
      </c>
      <c r="FR98" s="450">
        <v>2740693</v>
      </c>
      <c r="FS98" s="450">
        <v>0</v>
      </c>
      <c r="FT98" s="450">
        <v>0</v>
      </c>
      <c r="FU98" s="450">
        <v>0</v>
      </c>
      <c r="FV98" s="450">
        <v>0</v>
      </c>
      <c r="FW98" s="450">
        <v>0</v>
      </c>
      <c r="FX98" s="450">
        <v>0</v>
      </c>
      <c r="FY98" s="450">
        <v>0</v>
      </c>
      <c r="FZ98" s="450">
        <v>0</v>
      </c>
      <c r="GA98" s="450">
        <v>0</v>
      </c>
      <c r="GB98" s="450">
        <v>0</v>
      </c>
      <c r="GC98" s="450">
        <v>0</v>
      </c>
      <c r="GD98" s="450">
        <v>0</v>
      </c>
      <c r="GE98" s="450">
        <v>0</v>
      </c>
      <c r="GF98" s="450">
        <v>0</v>
      </c>
      <c r="GG98" s="450">
        <v>0</v>
      </c>
      <c r="GH98" s="450">
        <v>0</v>
      </c>
      <c r="GI98" s="450">
        <v>0</v>
      </c>
      <c r="GJ98" s="450">
        <v>0</v>
      </c>
      <c r="GK98" s="450">
        <v>0</v>
      </c>
      <c r="GL98" s="450">
        <v>0</v>
      </c>
      <c r="GM98" s="450">
        <v>0</v>
      </c>
      <c r="GN98" s="450">
        <v>0</v>
      </c>
      <c r="GO98" s="450">
        <v>0</v>
      </c>
      <c r="GP98" s="450">
        <v>0</v>
      </c>
      <c r="GQ98" s="450">
        <v>0</v>
      </c>
      <c r="GR98" s="450">
        <v>0</v>
      </c>
      <c r="GS98" s="450">
        <v>0</v>
      </c>
      <c r="GT98" s="450">
        <v>0</v>
      </c>
      <c r="GU98" s="450">
        <v>0</v>
      </c>
      <c r="GV98" s="450">
        <v>0</v>
      </c>
      <c r="GW98" s="450">
        <v>8333176</v>
      </c>
      <c r="GX98" s="450">
        <v>223527544</v>
      </c>
      <c r="GY98" s="450">
        <v>227655009</v>
      </c>
      <c r="GZ98" s="450">
        <v>0</v>
      </c>
      <c r="HA98" s="450" t="s">
        <v>888</v>
      </c>
      <c r="HB98" s="450" t="s">
        <v>888</v>
      </c>
      <c r="HC98" s="450">
        <v>0</v>
      </c>
      <c r="HD98" s="450">
        <v>0</v>
      </c>
      <c r="HE98" s="450">
        <v>0</v>
      </c>
      <c r="HF98" s="450">
        <v>0</v>
      </c>
      <c r="HG98" s="472">
        <v>0</v>
      </c>
    </row>
    <row r="99" spans="2:215" ht="12.75">
      <c r="B99" s="445" t="s">
        <v>778</v>
      </c>
      <c r="C99" s="446">
        <v>3254.59</v>
      </c>
      <c r="D99" s="447">
        <v>789119.47</v>
      </c>
      <c r="E99" s="447">
        <v>677064.50526</v>
      </c>
      <c r="F99" s="447">
        <v>105017.220196436</v>
      </c>
      <c r="G99" s="447">
        <v>112054.96474000001</v>
      </c>
      <c r="H99" s="448">
        <v>0.4616096036674358</v>
      </c>
      <c r="I99" s="449">
        <v>1263.8</v>
      </c>
      <c r="J99" s="449">
        <v>238.55</v>
      </c>
      <c r="K99" s="447">
        <v>782081.725456436</v>
      </c>
      <c r="L99" s="447">
        <v>625665.3803651489</v>
      </c>
      <c r="M99" s="447">
        <v>197484.29252674163</v>
      </c>
      <c r="N99" s="447">
        <v>156416.34509128716</v>
      </c>
      <c r="O99" s="450">
        <v>1.2625553449128768</v>
      </c>
      <c r="P99" s="451">
        <v>0.7982572305574588</v>
      </c>
      <c r="Q99" s="452">
        <v>0.20186874537192087</v>
      </c>
      <c r="R99" s="447">
        <v>823149.6728918905</v>
      </c>
      <c r="S99" s="447">
        <v>556449.178874918</v>
      </c>
      <c r="T99" s="447">
        <v>57563.245082081885</v>
      </c>
      <c r="U99" s="447">
        <v>105883.78441406942</v>
      </c>
      <c r="V99" s="447">
        <v>187678.12541935104</v>
      </c>
      <c r="W99" s="450">
        <v>0.5641775469436354</v>
      </c>
      <c r="X99" s="452">
        <v>9.903855343065851</v>
      </c>
      <c r="Y99" s="447">
        <v>57563.245082081885</v>
      </c>
      <c r="Z99" s="447">
        <v>79022.36859762149</v>
      </c>
      <c r="AA99" s="448">
        <v>0.7284424157821877</v>
      </c>
      <c r="AB99" s="448">
        <v>0.05730368494956354</v>
      </c>
      <c r="AC99" s="449">
        <v>189</v>
      </c>
      <c r="AD99" s="449">
        <v>184</v>
      </c>
      <c r="AE99" s="447">
        <v>719896.2083710693</v>
      </c>
      <c r="AF99" s="447">
        <v>0</v>
      </c>
      <c r="AG99" s="451">
        <v>0</v>
      </c>
      <c r="AH99" s="450">
        <v>0.018634575312175737</v>
      </c>
      <c r="AI99" s="452">
        <v>0.01569236069917679</v>
      </c>
      <c r="AJ99" s="447">
        <v>719896.2083710693</v>
      </c>
      <c r="AK99" s="453">
        <v>1</v>
      </c>
      <c r="AL99" s="447">
        <v>719896.2083710693</v>
      </c>
      <c r="AM99" s="447">
        <v>1693528.4280979473</v>
      </c>
      <c r="AN99" s="447">
        <v>1676812.9673411774</v>
      </c>
      <c r="AO99" s="447">
        <v>1653706.2494551935</v>
      </c>
      <c r="AP99" s="447">
        <v>1676812.9673411774</v>
      </c>
      <c r="AQ99" s="447">
        <v>13018.36</v>
      </c>
      <c r="AR99" s="447">
        <v>1689831.3273411775</v>
      </c>
      <c r="AS99" s="454">
        <v>519.2148096507325</v>
      </c>
      <c r="AT99" s="450">
        <v>3249</v>
      </c>
      <c r="AU99" s="450">
        <v>13</v>
      </c>
      <c r="AV99" s="450">
        <v>214</v>
      </c>
      <c r="AW99" s="450">
        <v>201</v>
      </c>
      <c r="AX99" s="450">
        <v>0</v>
      </c>
      <c r="AY99" s="450">
        <v>411</v>
      </c>
      <c r="AZ99" s="450">
        <v>188</v>
      </c>
      <c r="BA99" s="450">
        <v>310</v>
      </c>
      <c r="BB99" s="450">
        <v>34</v>
      </c>
      <c r="BC99" s="450">
        <v>42</v>
      </c>
      <c r="BD99" s="450">
        <v>721</v>
      </c>
      <c r="BE99" s="450">
        <v>645</v>
      </c>
      <c r="BF99" s="450">
        <v>12</v>
      </c>
      <c r="BG99" s="450">
        <v>458</v>
      </c>
      <c r="BH99" s="450">
        <v>0</v>
      </c>
      <c r="BI99" s="450">
        <v>0</v>
      </c>
      <c r="BJ99" s="452">
        <v>1.2984233615330032</v>
      </c>
      <c r="BK99" s="452">
        <v>6.867147328414934</v>
      </c>
      <c r="BL99" s="452">
        <v>5.012966689023027</v>
      </c>
      <c r="BM99" s="452">
        <v>3.7083612787838143</v>
      </c>
      <c r="BN99" s="449">
        <v>2592</v>
      </c>
      <c r="BO99" s="449">
        <v>657</v>
      </c>
      <c r="BP99" s="447">
        <v>861297.4510626639</v>
      </c>
      <c r="BQ99" s="447">
        <v>3490301</v>
      </c>
      <c r="BR99" s="447">
        <v>4363159</v>
      </c>
      <c r="BS99" s="448">
        <v>0.05740227762388427</v>
      </c>
      <c r="BT99" s="449">
        <v>189</v>
      </c>
      <c r="BU99" s="449">
        <v>184</v>
      </c>
      <c r="BV99" s="447">
        <v>250455.26423514928</v>
      </c>
      <c r="BW99" s="448">
        <v>0.006827480447604302</v>
      </c>
      <c r="BX99" s="447">
        <v>2407.6357613412993</v>
      </c>
      <c r="BY99" s="447">
        <v>4604461.351059155</v>
      </c>
      <c r="BZ99" s="455">
        <v>1.0766666666666669</v>
      </c>
      <c r="CA99" s="447">
        <v>4957470.054640357</v>
      </c>
      <c r="CB99" s="447">
        <v>3728151.8579867096</v>
      </c>
      <c r="CC99" s="447">
        <v>3723588.8964008377</v>
      </c>
      <c r="CD99" s="447">
        <v>3667275.851245742</v>
      </c>
      <c r="CE99" s="447">
        <v>3723588.8964008377</v>
      </c>
      <c r="CF99" s="454">
        <v>1146.0722980611997</v>
      </c>
      <c r="CG99" s="450">
        <v>3249</v>
      </c>
      <c r="CH99" s="450">
        <v>13</v>
      </c>
      <c r="CI99" s="450">
        <v>214</v>
      </c>
      <c r="CJ99" s="450">
        <v>201</v>
      </c>
      <c r="CK99" s="450">
        <v>0</v>
      </c>
      <c r="CL99" s="450">
        <v>411</v>
      </c>
      <c r="CM99" s="450">
        <v>188</v>
      </c>
      <c r="CN99" s="450">
        <v>310</v>
      </c>
      <c r="CO99" s="450">
        <v>34</v>
      </c>
      <c r="CP99" s="450">
        <v>42</v>
      </c>
      <c r="CQ99" s="450">
        <v>721</v>
      </c>
      <c r="CR99" s="450">
        <v>645</v>
      </c>
      <c r="CS99" s="450">
        <v>12</v>
      </c>
      <c r="CT99" s="450">
        <v>458</v>
      </c>
      <c r="CU99" s="450">
        <v>0</v>
      </c>
      <c r="CV99" s="450">
        <v>0</v>
      </c>
      <c r="CW99" s="447">
        <v>2388476.616964155</v>
      </c>
      <c r="CX99" s="452">
        <v>1.051056370727435</v>
      </c>
      <c r="CY99" s="452">
        <v>1.0766666666666669</v>
      </c>
      <c r="CZ99" s="447">
        <v>2510423.5645936863</v>
      </c>
      <c r="DA99" s="454">
        <v>772.6757662646003</v>
      </c>
      <c r="DB99" s="449">
        <v>3254.59</v>
      </c>
      <c r="DC99" s="452">
        <v>0.9974356216912116</v>
      </c>
      <c r="DD99" s="454">
        <v>281.5</v>
      </c>
      <c r="DE99" s="447">
        <v>65082</v>
      </c>
      <c r="DF99" s="454">
        <v>55.365280010316994</v>
      </c>
      <c r="DG99" s="454">
        <v>57.74598705076062</v>
      </c>
      <c r="DH99" s="454">
        <v>59.01639876587734</v>
      </c>
      <c r="DI99" s="454">
        <v>60.31475953872663</v>
      </c>
      <c r="DJ99" s="454">
        <v>62.30514660350461</v>
      </c>
      <c r="DK99" s="454">
        <v>64.54813188123076</v>
      </c>
      <c r="DL99" s="454">
        <v>66.61367210143013</v>
      </c>
      <c r="DM99" s="454">
        <v>69.34483265758875</v>
      </c>
      <c r="DN99" s="454">
        <v>72.39600529452265</v>
      </c>
      <c r="DO99" s="454">
        <v>76.3777855857214</v>
      </c>
      <c r="DP99" s="454">
        <v>75.6903855154499</v>
      </c>
      <c r="DQ99" s="454">
        <v>79.55059517673784</v>
      </c>
      <c r="DR99" s="454">
        <v>84.40318148251885</v>
      </c>
      <c r="DS99" s="454">
        <v>46.33</v>
      </c>
      <c r="DT99" s="454">
        <v>48.51597387658772</v>
      </c>
      <c r="DU99" s="454">
        <v>50.77570688374531</v>
      </c>
      <c r="DV99" s="454">
        <v>53.68303538498336</v>
      </c>
      <c r="DW99" s="454">
        <v>56.891697119183895</v>
      </c>
      <c r="DX99" s="454">
        <v>60.02913820606983</v>
      </c>
      <c r="DY99" s="454">
        <v>63.8612328295327</v>
      </c>
      <c r="DZ99" s="454">
        <v>67.30722465408662</v>
      </c>
      <c r="EA99" s="454">
        <v>69.2805089508287</v>
      </c>
      <c r="EB99" s="454">
        <v>70.94799451528058</v>
      </c>
      <c r="EC99" s="454">
        <v>75.56319282379548</v>
      </c>
      <c r="ED99" s="454">
        <v>81.23020606016496</v>
      </c>
      <c r="EE99" s="454">
        <v>-2.38</v>
      </c>
      <c r="EF99" s="454">
        <v>78.85020606016496</v>
      </c>
      <c r="EG99" s="454">
        <v>4100.210715128578</v>
      </c>
      <c r="EH99" s="447">
        <v>13077614.695523314</v>
      </c>
      <c r="EI99" s="454">
        <v>50.12</v>
      </c>
      <c r="EJ99" s="454">
        <v>52.00201587658772</v>
      </c>
      <c r="EK99" s="454">
        <v>53.9425823717453</v>
      </c>
      <c r="EL99" s="454">
        <v>56.54549496669936</v>
      </c>
      <c r="EM99" s="454">
        <v>59.433561227747695</v>
      </c>
      <c r="EN99" s="454">
        <v>62.215141339434695</v>
      </c>
      <c r="EO99" s="454">
        <v>65.68173623899897</v>
      </c>
      <c r="EP99" s="454">
        <v>68.99665181807133</v>
      </c>
      <c r="EQ99" s="454">
        <v>70.89165932288212</v>
      </c>
      <c r="ER99" s="454">
        <v>72.02456309466795</v>
      </c>
      <c r="ES99" s="454">
        <v>76.46837168534438</v>
      </c>
      <c r="ET99" s="454">
        <v>81.9505021392425</v>
      </c>
      <c r="EU99" s="447">
        <v>16258018</v>
      </c>
      <c r="EV99" s="447">
        <v>0</v>
      </c>
      <c r="EW99" s="447">
        <v>0</v>
      </c>
      <c r="EX99" s="447">
        <v>0</v>
      </c>
      <c r="EY99" s="447">
        <v>0</v>
      </c>
      <c r="EZ99" s="447">
        <v>0</v>
      </c>
      <c r="FA99" s="447">
        <v>0</v>
      </c>
      <c r="FB99" s="447">
        <v>0</v>
      </c>
      <c r="FC99" s="447">
        <v>0</v>
      </c>
      <c r="FD99" s="447">
        <v>16258018</v>
      </c>
      <c r="FE99" s="447">
        <v>48469.94174314964</v>
      </c>
      <c r="FF99" s="447">
        <v>0</v>
      </c>
      <c r="FG99" s="447">
        <v>0</v>
      </c>
      <c r="FH99" s="447">
        <v>847</v>
      </c>
      <c r="FI99" s="456">
        <v>0.0475</v>
      </c>
      <c r="FJ99" s="447">
        <v>40.2325</v>
      </c>
      <c r="FK99" s="471">
        <v>40.2325</v>
      </c>
      <c r="FL99" s="446">
        <v>79.56</v>
      </c>
      <c r="FM99" s="450">
        <v>77.46</v>
      </c>
      <c r="FN99" s="450">
        <v>75.08</v>
      </c>
      <c r="FO99" s="450">
        <v>-2.38</v>
      </c>
      <c r="FP99" s="472">
        <v>74.99</v>
      </c>
      <c r="FQ99" s="446">
        <v>71599</v>
      </c>
      <c r="FR99" s="450">
        <v>21978</v>
      </c>
      <c r="FS99" s="450">
        <v>0</v>
      </c>
      <c r="FT99" s="450">
        <v>0</v>
      </c>
      <c r="FU99" s="450">
        <v>0</v>
      </c>
      <c r="FV99" s="450">
        <v>0</v>
      </c>
      <c r="FW99" s="450">
        <v>0</v>
      </c>
      <c r="FX99" s="450">
        <v>0</v>
      </c>
      <c r="FY99" s="450">
        <v>0</v>
      </c>
      <c r="FZ99" s="450">
        <v>0</v>
      </c>
      <c r="GA99" s="450">
        <v>0</v>
      </c>
      <c r="GB99" s="450">
        <v>0</v>
      </c>
      <c r="GC99" s="450">
        <v>0</v>
      </c>
      <c r="GD99" s="450">
        <v>0</v>
      </c>
      <c r="GE99" s="450">
        <v>0</v>
      </c>
      <c r="GF99" s="450">
        <v>0</v>
      </c>
      <c r="GG99" s="450">
        <v>0</v>
      </c>
      <c r="GH99" s="450">
        <v>0</v>
      </c>
      <c r="GI99" s="450">
        <v>0</v>
      </c>
      <c r="GJ99" s="450">
        <v>0</v>
      </c>
      <c r="GK99" s="450">
        <v>0</v>
      </c>
      <c r="GL99" s="450">
        <v>0</v>
      </c>
      <c r="GM99" s="450">
        <v>0</v>
      </c>
      <c r="GN99" s="450">
        <v>0</v>
      </c>
      <c r="GO99" s="450">
        <v>0</v>
      </c>
      <c r="GP99" s="450">
        <v>0</v>
      </c>
      <c r="GQ99" s="450">
        <v>0</v>
      </c>
      <c r="GR99" s="450">
        <v>0</v>
      </c>
      <c r="GS99" s="450">
        <v>0</v>
      </c>
      <c r="GT99" s="450">
        <v>0</v>
      </c>
      <c r="GU99" s="450">
        <v>0</v>
      </c>
      <c r="GV99" s="450">
        <v>0</v>
      </c>
      <c r="GW99" s="450">
        <v>0</v>
      </c>
      <c r="GX99" s="450">
        <v>10942085</v>
      </c>
      <c r="GY99" s="450">
        <v>10942085</v>
      </c>
      <c r="GZ99" s="450">
        <v>0</v>
      </c>
      <c r="HA99" s="450" t="s">
        <v>888</v>
      </c>
      <c r="HB99" s="450" t="s">
        <v>888</v>
      </c>
      <c r="HC99" s="450">
        <v>0</v>
      </c>
      <c r="HD99" s="450">
        <v>0</v>
      </c>
      <c r="HE99" s="450">
        <v>0</v>
      </c>
      <c r="HF99" s="450">
        <v>0</v>
      </c>
      <c r="HG99" s="472">
        <v>0</v>
      </c>
    </row>
    <row r="100" spans="2:215" ht="12.75">
      <c r="B100" s="445" t="s">
        <v>779</v>
      </c>
      <c r="C100" s="446">
        <v>15450</v>
      </c>
      <c r="D100" s="447">
        <v>3630650</v>
      </c>
      <c r="E100" s="447">
        <v>3115097.7</v>
      </c>
      <c r="F100" s="447">
        <v>791421.5056821954</v>
      </c>
      <c r="G100" s="447">
        <v>515552.3</v>
      </c>
      <c r="H100" s="448">
        <v>0.7561022653721683</v>
      </c>
      <c r="I100" s="449">
        <v>11327.92</v>
      </c>
      <c r="J100" s="449">
        <v>353.86</v>
      </c>
      <c r="K100" s="447">
        <v>3906519.2056821953</v>
      </c>
      <c r="L100" s="447">
        <v>3125215.3645457565</v>
      </c>
      <c r="M100" s="447">
        <v>1484204.2210885454</v>
      </c>
      <c r="N100" s="447">
        <v>781303.8411364389</v>
      </c>
      <c r="O100" s="450">
        <v>1.8996504854368932</v>
      </c>
      <c r="P100" s="451">
        <v>0.3079611650485437</v>
      </c>
      <c r="Q100" s="452">
        <v>0.6920388349514563</v>
      </c>
      <c r="R100" s="447">
        <v>4609419.585634302</v>
      </c>
      <c r="S100" s="447">
        <v>3115967.6398887886</v>
      </c>
      <c r="T100" s="447">
        <v>447277.26995217556</v>
      </c>
      <c r="U100" s="447">
        <v>1779091.4738495974</v>
      </c>
      <c r="V100" s="447">
        <v>1050947.665524621</v>
      </c>
      <c r="W100" s="450">
        <v>1.6928449743132503</v>
      </c>
      <c r="X100" s="452">
        <v>29.717048887642893</v>
      </c>
      <c r="Y100" s="447">
        <v>447277.26995217556</v>
      </c>
      <c r="Z100" s="447">
        <v>442504.28022089304</v>
      </c>
      <c r="AA100" s="448">
        <v>1.0107863131378072</v>
      </c>
      <c r="AB100" s="448">
        <v>0.07951456310679611</v>
      </c>
      <c r="AC100" s="449">
        <v>1191</v>
      </c>
      <c r="AD100" s="449">
        <v>1266</v>
      </c>
      <c r="AE100" s="447">
        <v>5342336.383690561</v>
      </c>
      <c r="AF100" s="447">
        <v>637240.6183059698</v>
      </c>
      <c r="AG100" s="451">
        <v>1</v>
      </c>
      <c r="AH100" s="450">
        <v>0.428043757688491</v>
      </c>
      <c r="AI100" s="452">
        <v>0.3604598939418793</v>
      </c>
      <c r="AJ100" s="447">
        <v>5979577.001996531</v>
      </c>
      <c r="AK100" s="453">
        <v>1.1982</v>
      </c>
      <c r="AL100" s="447">
        <v>7164729.163792243</v>
      </c>
      <c r="AM100" s="447">
        <v>16854752.639911555</v>
      </c>
      <c r="AN100" s="447">
        <v>16688392.895579461</v>
      </c>
      <c r="AO100" s="447">
        <v>16473485.276238795</v>
      </c>
      <c r="AP100" s="447">
        <v>16688392.895579461</v>
      </c>
      <c r="AQ100" s="447">
        <v>61800</v>
      </c>
      <c r="AR100" s="447">
        <v>16750192.895579461</v>
      </c>
      <c r="AS100" s="454">
        <v>1084.1548799727807</v>
      </c>
      <c r="AT100" s="450">
        <v>15450</v>
      </c>
      <c r="AU100" s="450">
        <v>599</v>
      </c>
      <c r="AV100" s="450">
        <v>41</v>
      </c>
      <c r="AW100" s="450">
        <v>289</v>
      </c>
      <c r="AX100" s="450">
        <v>148</v>
      </c>
      <c r="AY100" s="450">
        <v>46</v>
      </c>
      <c r="AZ100" s="450">
        <v>198</v>
      </c>
      <c r="BA100" s="450">
        <v>932</v>
      </c>
      <c r="BB100" s="450">
        <v>0</v>
      </c>
      <c r="BC100" s="450">
        <v>973</v>
      </c>
      <c r="BD100" s="450">
        <v>1063</v>
      </c>
      <c r="BE100" s="450">
        <v>7733</v>
      </c>
      <c r="BF100" s="450">
        <v>2959</v>
      </c>
      <c r="BG100" s="450">
        <v>192</v>
      </c>
      <c r="BH100" s="450">
        <v>145</v>
      </c>
      <c r="BI100" s="450">
        <v>132</v>
      </c>
      <c r="BJ100" s="452">
        <v>2.498153494695064</v>
      </c>
      <c r="BK100" s="452">
        <v>19.224424667337367</v>
      </c>
      <c r="BL100" s="452">
        <v>9.90588938933704</v>
      </c>
      <c r="BM100" s="452">
        <v>18.63707055600065</v>
      </c>
      <c r="BN100" s="449">
        <v>4758</v>
      </c>
      <c r="BO100" s="449">
        <v>10692</v>
      </c>
      <c r="BP100" s="447">
        <v>6845777.456885198</v>
      </c>
      <c r="BQ100" s="447">
        <v>19008407</v>
      </c>
      <c r="BR100" s="447">
        <v>19771759</v>
      </c>
      <c r="BS100" s="448">
        <v>0.07951456310679611</v>
      </c>
      <c r="BT100" s="449">
        <v>1191</v>
      </c>
      <c r="BU100" s="449">
        <v>1266</v>
      </c>
      <c r="BV100" s="447">
        <v>1572142.778737864</v>
      </c>
      <c r="BW100" s="448">
        <v>0.015955641657895415</v>
      </c>
      <c r="BX100" s="447">
        <v>74903.19680041094</v>
      </c>
      <c r="BY100" s="447">
        <v>27501230.432423472</v>
      </c>
      <c r="BZ100" s="455">
        <v>1.1933333333333331</v>
      </c>
      <c r="CA100" s="447">
        <v>32818134.982692003</v>
      </c>
      <c r="CB100" s="447">
        <v>24680127.073456995</v>
      </c>
      <c r="CC100" s="447">
        <v>24649920.559328724</v>
      </c>
      <c r="CD100" s="447">
        <v>23372466.5658075</v>
      </c>
      <c r="CE100" s="447">
        <v>24649920.559328724</v>
      </c>
      <c r="CF100" s="454">
        <v>1595.4641138724094</v>
      </c>
      <c r="CG100" s="450">
        <v>14120</v>
      </c>
      <c r="CH100" s="450">
        <v>539</v>
      </c>
      <c r="CI100" s="450">
        <v>39</v>
      </c>
      <c r="CJ100" s="450">
        <v>224</v>
      </c>
      <c r="CK100" s="450">
        <v>127</v>
      </c>
      <c r="CL100" s="450">
        <v>44</v>
      </c>
      <c r="CM100" s="450">
        <v>174</v>
      </c>
      <c r="CN100" s="450">
        <v>884</v>
      </c>
      <c r="CO100" s="450">
        <v>0</v>
      </c>
      <c r="CP100" s="450">
        <v>809</v>
      </c>
      <c r="CQ100" s="450">
        <v>1021</v>
      </c>
      <c r="CR100" s="450">
        <v>7013</v>
      </c>
      <c r="CS100" s="450">
        <v>2777</v>
      </c>
      <c r="CT100" s="450">
        <v>192</v>
      </c>
      <c r="CU100" s="450">
        <v>145</v>
      </c>
      <c r="CV100" s="450">
        <v>132</v>
      </c>
      <c r="CW100" s="447">
        <v>11608756.358644294</v>
      </c>
      <c r="CX100" s="452">
        <v>1.1649479279270019</v>
      </c>
      <c r="CY100" s="452">
        <v>1.1933333333333331</v>
      </c>
      <c r="CZ100" s="447">
        <v>13523596.665812077</v>
      </c>
      <c r="DA100" s="454">
        <v>957.7618035277675</v>
      </c>
      <c r="DB100" s="449">
        <v>15450</v>
      </c>
      <c r="DC100" s="452">
        <v>0.9920517799352752</v>
      </c>
      <c r="DD100" s="454">
        <v>354.1</v>
      </c>
      <c r="DE100" s="447">
        <v>50726</v>
      </c>
      <c r="DF100" s="454">
        <v>59.15705481051563</v>
      </c>
      <c r="DG100" s="454">
        <v>61.700808167367796</v>
      </c>
      <c r="DH100" s="454">
        <v>63.05822594704988</v>
      </c>
      <c r="DI100" s="454">
        <v>64.44550691788496</v>
      </c>
      <c r="DJ100" s="454">
        <v>66.57220864617516</v>
      </c>
      <c r="DK100" s="454">
        <v>68.96880815743745</v>
      </c>
      <c r="DL100" s="454">
        <v>71.17581001847543</v>
      </c>
      <c r="DM100" s="454">
        <v>74.09401822923292</v>
      </c>
      <c r="DN100" s="454">
        <v>77.35415503131915</v>
      </c>
      <c r="DO100" s="454">
        <v>81.6086335580417</v>
      </c>
      <c r="DP100" s="454">
        <v>80.87415585601933</v>
      </c>
      <c r="DQ100" s="454">
        <v>84.99873780467631</v>
      </c>
      <c r="DR100" s="454">
        <v>90.18366081076157</v>
      </c>
      <c r="DS100" s="454">
        <v>48.61</v>
      </c>
      <c r="DT100" s="454">
        <v>51.01730059470498</v>
      </c>
      <c r="DU100" s="454">
        <v>53.506995175576975</v>
      </c>
      <c r="DV100" s="454">
        <v>56.68516134509653</v>
      </c>
      <c r="DW100" s="454">
        <v>60.18911015407963</v>
      </c>
      <c r="DX100" s="454">
        <v>63.62526973558771</v>
      </c>
      <c r="DY100" s="454">
        <v>67.80592828164403</v>
      </c>
      <c r="DZ100" s="454">
        <v>71.51880755995667</v>
      </c>
      <c r="EA100" s="454">
        <v>73.64567838021479</v>
      </c>
      <c r="EB100" s="454">
        <v>75.55331958138129</v>
      </c>
      <c r="EC100" s="454">
        <v>80.52497866496064</v>
      </c>
      <c r="ED100" s="454">
        <v>86.62366697533281</v>
      </c>
      <c r="EE100" s="454">
        <v>-0.78</v>
      </c>
      <c r="EF100" s="454">
        <v>85.84366697533281</v>
      </c>
      <c r="EG100" s="454">
        <v>4463.870682717306</v>
      </c>
      <c r="EH100" s="447">
        <v>67587466.00702272</v>
      </c>
      <c r="EI100" s="454">
        <v>51.51</v>
      </c>
      <c r="EJ100" s="454">
        <v>53.68472059470498</v>
      </c>
      <c r="EK100" s="454">
        <v>55.93019805557697</v>
      </c>
      <c r="EL100" s="454">
        <v>58.87543384825653</v>
      </c>
      <c r="EM100" s="454">
        <v>62.134072136885706</v>
      </c>
      <c r="EN100" s="454">
        <v>65.29793704080093</v>
      </c>
      <c r="EO100" s="454">
        <v>69.19892561342559</v>
      </c>
      <c r="EP100" s="454">
        <v>72.81150908384994</v>
      </c>
      <c r="EQ100" s="454">
        <v>74.878484733501</v>
      </c>
      <c r="ER100" s="454">
        <v>76.37707918038477</v>
      </c>
      <c r="ES100" s="454">
        <v>81.21759573580276</v>
      </c>
      <c r="ET100" s="454">
        <v>87.17481700945544</v>
      </c>
      <c r="EU100" s="447">
        <v>263616550</v>
      </c>
      <c r="EV100" s="447">
        <v>0</v>
      </c>
      <c r="EW100" s="447">
        <v>0</v>
      </c>
      <c r="EX100" s="447">
        <v>0</v>
      </c>
      <c r="EY100" s="447">
        <v>0</v>
      </c>
      <c r="EZ100" s="447">
        <v>0</v>
      </c>
      <c r="FA100" s="447">
        <v>0</v>
      </c>
      <c r="FB100" s="447">
        <v>0</v>
      </c>
      <c r="FC100" s="447">
        <v>0</v>
      </c>
      <c r="FD100" s="447">
        <v>263616550</v>
      </c>
      <c r="FE100" s="447">
        <v>169387.29165990464</v>
      </c>
      <c r="FF100" s="447">
        <v>0</v>
      </c>
      <c r="FG100" s="447">
        <v>0</v>
      </c>
      <c r="FH100" s="447">
        <v>153977</v>
      </c>
      <c r="FI100" s="456">
        <v>0.056299999999999996</v>
      </c>
      <c r="FJ100" s="447">
        <v>8668.9051</v>
      </c>
      <c r="FK100" s="471">
        <v>8668.9051</v>
      </c>
      <c r="FL100" s="446">
        <v>85.72</v>
      </c>
      <c r="FM100" s="450">
        <v>82.29</v>
      </c>
      <c r="FN100" s="450">
        <v>81.2</v>
      </c>
      <c r="FO100" s="450">
        <v>-1.09</v>
      </c>
      <c r="FP100" s="472">
        <v>81.51</v>
      </c>
      <c r="FQ100" s="446">
        <v>3485141</v>
      </c>
      <c r="FR100" s="450">
        <v>152240</v>
      </c>
      <c r="FS100" s="450">
        <v>104941</v>
      </c>
      <c r="FT100" s="450">
        <v>104941</v>
      </c>
      <c r="FU100" s="450">
        <v>104941</v>
      </c>
      <c r="FV100" s="450">
        <v>104941</v>
      </c>
      <c r="FW100" s="450">
        <v>104941</v>
      </c>
      <c r="FX100" s="450">
        <v>105145</v>
      </c>
      <c r="FY100" s="450">
        <v>105145</v>
      </c>
      <c r="FZ100" s="450">
        <v>105145</v>
      </c>
      <c r="GA100" s="450">
        <v>105145</v>
      </c>
      <c r="GB100" s="450">
        <v>105145</v>
      </c>
      <c r="GC100" s="450">
        <v>105425</v>
      </c>
      <c r="GD100" s="450">
        <v>105425</v>
      </c>
      <c r="GE100" s="450">
        <v>105425</v>
      </c>
      <c r="GF100" s="450">
        <v>105425</v>
      </c>
      <c r="GG100" s="450">
        <v>105425</v>
      </c>
      <c r="GH100" s="450">
        <v>105625</v>
      </c>
      <c r="GI100" s="450">
        <v>105625</v>
      </c>
      <c r="GJ100" s="450">
        <v>179874</v>
      </c>
      <c r="GK100" s="450">
        <v>302625</v>
      </c>
      <c r="GL100" s="450">
        <v>302625</v>
      </c>
      <c r="GM100" s="450">
        <v>302925</v>
      </c>
      <c r="GN100" s="450">
        <v>302925</v>
      </c>
      <c r="GO100" s="450">
        <v>302925</v>
      </c>
      <c r="GP100" s="450">
        <v>302625</v>
      </c>
      <c r="GQ100" s="450">
        <v>302625</v>
      </c>
      <c r="GR100" s="450">
        <v>300125</v>
      </c>
      <c r="GS100" s="450">
        <v>300125</v>
      </c>
      <c r="GT100" s="450">
        <v>300125</v>
      </c>
      <c r="GU100" s="450">
        <v>300125</v>
      </c>
      <c r="GV100" s="450">
        <v>300125</v>
      </c>
      <c r="GW100" s="450">
        <v>0</v>
      </c>
      <c r="GX100" s="450">
        <v>204536660</v>
      </c>
      <c r="GY100" s="450">
        <v>219886660</v>
      </c>
      <c r="GZ100" s="450">
        <v>90</v>
      </c>
      <c r="HA100" s="450" t="s">
        <v>888</v>
      </c>
      <c r="HB100" s="450" t="s">
        <v>888</v>
      </c>
      <c r="HC100" s="450">
        <v>221</v>
      </c>
      <c r="HD100" s="450">
        <v>244</v>
      </c>
      <c r="HE100" s="450">
        <v>90</v>
      </c>
      <c r="HF100" s="450">
        <v>72</v>
      </c>
      <c r="HG100" s="472">
        <v>84</v>
      </c>
    </row>
    <row r="101" spans="2:215" ht="12.75">
      <c r="B101" s="445" t="s">
        <v>780</v>
      </c>
      <c r="C101" s="446">
        <v>7932</v>
      </c>
      <c r="D101" s="447">
        <v>1878956</v>
      </c>
      <c r="E101" s="447">
        <v>1612144.248</v>
      </c>
      <c r="F101" s="447">
        <v>263655.0745595617</v>
      </c>
      <c r="G101" s="447">
        <v>266811.75200000004</v>
      </c>
      <c r="H101" s="448">
        <v>0.4867170953101362</v>
      </c>
      <c r="I101" s="449">
        <v>3313.47</v>
      </c>
      <c r="J101" s="449">
        <v>547.17</v>
      </c>
      <c r="K101" s="447">
        <v>1875799.3225595616</v>
      </c>
      <c r="L101" s="447">
        <v>1500639.4580476494</v>
      </c>
      <c r="M101" s="447">
        <v>503112.4592501972</v>
      </c>
      <c r="N101" s="447">
        <v>375159.8645119122</v>
      </c>
      <c r="O101" s="450">
        <v>1.341061522945033</v>
      </c>
      <c r="P101" s="451">
        <v>0.7376449823499748</v>
      </c>
      <c r="Q101" s="452">
        <v>0.2623550176500252</v>
      </c>
      <c r="R101" s="447">
        <v>2003751.9172978466</v>
      </c>
      <c r="S101" s="447">
        <v>1354536.2960933445</v>
      </c>
      <c r="T101" s="447">
        <v>216874.8819460525</v>
      </c>
      <c r="U101" s="447">
        <v>603061.0512371546</v>
      </c>
      <c r="V101" s="447">
        <v>456855.43714390905</v>
      </c>
      <c r="W101" s="450">
        <v>1.320025991169699</v>
      </c>
      <c r="X101" s="452">
        <v>23.17239765470128</v>
      </c>
      <c r="Y101" s="447">
        <v>216874.8819460525</v>
      </c>
      <c r="Z101" s="447">
        <v>192360.18406059328</v>
      </c>
      <c r="AA101" s="448">
        <v>1.1274416429012</v>
      </c>
      <c r="AB101" s="448">
        <v>0.08869137670196672</v>
      </c>
      <c r="AC101" s="449">
        <v>684</v>
      </c>
      <c r="AD101" s="449">
        <v>723</v>
      </c>
      <c r="AE101" s="447">
        <v>2174472.2292765514</v>
      </c>
      <c r="AF101" s="447">
        <v>133490.83057308543</v>
      </c>
      <c r="AG101" s="451">
        <v>0.5</v>
      </c>
      <c r="AH101" s="450">
        <v>0.32887330074616405</v>
      </c>
      <c r="AI101" s="452">
        <v>0.2769474685192108</v>
      </c>
      <c r="AJ101" s="447">
        <v>2307963.0598496366</v>
      </c>
      <c r="AK101" s="453">
        <v>1</v>
      </c>
      <c r="AL101" s="447">
        <v>2307963.0598496366</v>
      </c>
      <c r="AM101" s="447">
        <v>5429395.248100268</v>
      </c>
      <c r="AN101" s="447">
        <v>5375806.042453131</v>
      </c>
      <c r="AO101" s="447">
        <v>5196265.096970338</v>
      </c>
      <c r="AP101" s="447">
        <v>5375806.042453131</v>
      </c>
      <c r="AQ101" s="447">
        <v>31728</v>
      </c>
      <c r="AR101" s="447">
        <v>5407534.042453131</v>
      </c>
      <c r="AS101" s="454">
        <v>681.7365156900064</v>
      </c>
      <c r="AT101" s="450">
        <v>7932</v>
      </c>
      <c r="AU101" s="450">
        <v>25</v>
      </c>
      <c r="AV101" s="450">
        <v>494</v>
      </c>
      <c r="AW101" s="450">
        <v>1223</v>
      </c>
      <c r="AX101" s="450">
        <v>0</v>
      </c>
      <c r="AY101" s="450">
        <v>1164</v>
      </c>
      <c r="AZ101" s="450">
        <v>187</v>
      </c>
      <c r="BA101" s="450">
        <v>459</v>
      </c>
      <c r="BB101" s="450">
        <v>88</v>
      </c>
      <c r="BC101" s="450">
        <v>50</v>
      </c>
      <c r="BD101" s="450">
        <v>1592</v>
      </c>
      <c r="BE101" s="450">
        <v>1781</v>
      </c>
      <c r="BF101" s="450">
        <v>300</v>
      </c>
      <c r="BG101" s="450">
        <v>569</v>
      </c>
      <c r="BH101" s="450">
        <v>0</v>
      </c>
      <c r="BI101" s="450">
        <v>0</v>
      </c>
      <c r="BJ101" s="452">
        <v>2.1316287757715893</v>
      </c>
      <c r="BK101" s="452">
        <v>23.729264427501136</v>
      </c>
      <c r="BL101" s="452">
        <v>16.55364657902729</v>
      </c>
      <c r="BM101" s="452">
        <v>14.351235696947692</v>
      </c>
      <c r="BN101" s="449">
        <v>5851</v>
      </c>
      <c r="BO101" s="449">
        <v>2081</v>
      </c>
      <c r="BP101" s="447">
        <v>3474823.4897334375</v>
      </c>
      <c r="BQ101" s="447">
        <v>8944496</v>
      </c>
      <c r="BR101" s="447">
        <v>10941394</v>
      </c>
      <c r="BS101" s="448">
        <v>0.08869137670196672</v>
      </c>
      <c r="BT101" s="449">
        <v>684</v>
      </c>
      <c r="BU101" s="449">
        <v>723</v>
      </c>
      <c r="BV101" s="447">
        <v>970407.2968986385</v>
      </c>
      <c r="BW101" s="448">
        <v>0.010733523789395084</v>
      </c>
      <c r="BX101" s="447">
        <v>31931.075652473406</v>
      </c>
      <c r="BY101" s="447">
        <v>13421657.862284549</v>
      </c>
      <c r="BZ101" s="455">
        <v>0.9</v>
      </c>
      <c r="CA101" s="447">
        <v>12079492.076056095</v>
      </c>
      <c r="CB101" s="447">
        <v>9084105.46720918</v>
      </c>
      <c r="CC101" s="447">
        <v>9072987.244060602</v>
      </c>
      <c r="CD101" s="447">
        <v>8841181.895248467</v>
      </c>
      <c r="CE101" s="447">
        <v>9072987.244060602</v>
      </c>
      <c r="CF101" s="454">
        <v>1143.8460973349222</v>
      </c>
      <c r="CG101" s="450">
        <v>7932</v>
      </c>
      <c r="CH101" s="450">
        <v>25</v>
      </c>
      <c r="CI101" s="450">
        <v>494</v>
      </c>
      <c r="CJ101" s="450">
        <v>1223</v>
      </c>
      <c r="CK101" s="450">
        <v>0</v>
      </c>
      <c r="CL101" s="450">
        <v>1164</v>
      </c>
      <c r="CM101" s="450">
        <v>187</v>
      </c>
      <c r="CN101" s="450">
        <v>459</v>
      </c>
      <c r="CO101" s="450">
        <v>88</v>
      </c>
      <c r="CP101" s="450">
        <v>50</v>
      </c>
      <c r="CQ101" s="450">
        <v>1592</v>
      </c>
      <c r="CR101" s="450">
        <v>1781</v>
      </c>
      <c r="CS101" s="450">
        <v>300</v>
      </c>
      <c r="CT101" s="450">
        <v>569</v>
      </c>
      <c r="CU101" s="450">
        <v>0</v>
      </c>
      <c r="CV101" s="450">
        <v>0</v>
      </c>
      <c r="CW101" s="447">
        <v>5853605.828401897</v>
      </c>
      <c r="CX101" s="452">
        <v>0.8785920126823759</v>
      </c>
      <c r="CY101" s="452">
        <v>0.9</v>
      </c>
      <c r="CZ101" s="447">
        <v>5142931.326224909</v>
      </c>
      <c r="DA101" s="454">
        <v>648.3776255956769</v>
      </c>
      <c r="DB101" s="449">
        <v>7932</v>
      </c>
      <c r="DC101" s="452">
        <v>0.986838124054463</v>
      </c>
      <c r="DD101" s="454">
        <v>286.7</v>
      </c>
      <c r="DE101" s="447">
        <v>25084</v>
      </c>
      <c r="DF101" s="454">
        <v>42.45087504199118</v>
      </c>
      <c r="DG101" s="454">
        <v>44.2762626687968</v>
      </c>
      <c r="DH101" s="454">
        <v>45.25034044751032</v>
      </c>
      <c r="DI101" s="454">
        <v>46.245847937355535</v>
      </c>
      <c r="DJ101" s="454">
        <v>47.77196091928826</v>
      </c>
      <c r="DK101" s="454">
        <v>49.49175151238263</v>
      </c>
      <c r="DL101" s="454">
        <v>51.07548756077886</v>
      </c>
      <c r="DM101" s="454">
        <v>53.16958255077079</v>
      </c>
      <c r="DN101" s="454">
        <v>55.5090441830047</v>
      </c>
      <c r="DO101" s="454">
        <v>58.56204161306995</v>
      </c>
      <c r="DP101" s="454">
        <v>58.03498323855232</v>
      </c>
      <c r="DQ101" s="454">
        <v>60.99476738371849</v>
      </c>
      <c r="DR101" s="454">
        <v>64.71544819412532</v>
      </c>
      <c r="DS101" s="454">
        <v>34.15</v>
      </c>
      <c r="DT101" s="454">
        <v>35.93620404475102</v>
      </c>
      <c r="DU101" s="454">
        <v>37.78447246747109</v>
      </c>
      <c r="DV101" s="454">
        <v>40.12393516644646</v>
      </c>
      <c r="DW101" s="454">
        <v>42.70030464385911</v>
      </c>
      <c r="DX101" s="454">
        <v>45.23484325384864</v>
      </c>
      <c r="DY101" s="454">
        <v>48.3054939719593</v>
      </c>
      <c r="DZ101" s="454">
        <v>50.99516998186763</v>
      </c>
      <c r="EA101" s="454">
        <v>52.536529880245766</v>
      </c>
      <c r="EB101" s="454">
        <v>54.00874414950882</v>
      </c>
      <c r="EC101" s="454">
        <v>57.609505557650714</v>
      </c>
      <c r="ED101" s="454">
        <v>62.02162609603188</v>
      </c>
      <c r="EE101" s="454">
        <v>0</v>
      </c>
      <c r="EF101" s="454">
        <v>62.02162609603188</v>
      </c>
      <c r="EG101" s="454">
        <v>3225.1245569936577</v>
      </c>
      <c r="EH101" s="447">
        <v>25070054.22635222</v>
      </c>
      <c r="EI101" s="454">
        <v>35.17</v>
      </c>
      <c r="EJ101" s="454">
        <v>36.87440004475103</v>
      </c>
      <c r="EK101" s="454">
        <v>38.6367714114711</v>
      </c>
      <c r="EL101" s="454">
        <v>40.89430687445447</v>
      </c>
      <c r="EM101" s="454">
        <v>43.38439472057023</v>
      </c>
      <c r="EN101" s="454">
        <v>45.823160719820194</v>
      </c>
      <c r="EO101" s="454">
        <v>48.79544475762041</v>
      </c>
      <c r="EP101" s="454">
        <v>51.44984431096114</v>
      </c>
      <c r="EQ101" s="454">
        <v>52.97013763209127</v>
      </c>
      <c r="ER101" s="454">
        <v>54.29848028433075</v>
      </c>
      <c r="ES101" s="454">
        <v>57.85311569980899</v>
      </c>
      <c r="ET101" s="454">
        <v>62.21547886665433</v>
      </c>
      <c r="EU101" s="447">
        <v>41084903</v>
      </c>
      <c r="EV101" s="447">
        <v>0</v>
      </c>
      <c r="EW101" s="447">
        <v>0</v>
      </c>
      <c r="EX101" s="447">
        <v>0</v>
      </c>
      <c r="EY101" s="447">
        <v>0</v>
      </c>
      <c r="EZ101" s="447">
        <v>0</v>
      </c>
      <c r="FA101" s="447">
        <v>0</v>
      </c>
      <c r="FB101" s="447">
        <v>0</v>
      </c>
      <c r="FC101" s="447">
        <v>0</v>
      </c>
      <c r="FD101" s="447">
        <v>41084903</v>
      </c>
      <c r="FE101" s="447">
        <v>60606.176206604636</v>
      </c>
      <c r="FF101" s="447">
        <v>0</v>
      </c>
      <c r="FG101" s="447">
        <v>0</v>
      </c>
      <c r="FH101" s="447">
        <v>7132</v>
      </c>
      <c r="FI101" s="456">
        <v>0.047400000000000005</v>
      </c>
      <c r="FJ101" s="447">
        <v>338.0568</v>
      </c>
      <c r="FK101" s="471">
        <v>338.0568</v>
      </c>
      <c r="FL101" s="446">
        <v>61</v>
      </c>
      <c r="FM101" s="450">
        <v>58.45</v>
      </c>
      <c r="FN101" s="450">
        <v>58.31</v>
      </c>
      <c r="FO101" s="450">
        <v>-0.14</v>
      </c>
      <c r="FP101" s="472">
        <v>59.43</v>
      </c>
      <c r="FQ101" s="446">
        <v>244771</v>
      </c>
      <c r="FR101" s="450">
        <v>17950</v>
      </c>
      <c r="FS101" s="450">
        <v>0</v>
      </c>
      <c r="FT101" s="450">
        <v>0</v>
      </c>
      <c r="FU101" s="450">
        <v>0</v>
      </c>
      <c r="FV101" s="450">
        <v>0</v>
      </c>
      <c r="FW101" s="450">
        <v>0</v>
      </c>
      <c r="FX101" s="450">
        <v>0</v>
      </c>
      <c r="FY101" s="450">
        <v>0</v>
      </c>
      <c r="FZ101" s="450">
        <v>0</v>
      </c>
      <c r="GA101" s="450">
        <v>0</v>
      </c>
      <c r="GB101" s="450">
        <v>0</v>
      </c>
      <c r="GC101" s="450">
        <v>0</v>
      </c>
      <c r="GD101" s="450">
        <v>0</v>
      </c>
      <c r="GE101" s="450">
        <v>0</v>
      </c>
      <c r="GF101" s="450">
        <v>0</v>
      </c>
      <c r="GG101" s="450">
        <v>0</v>
      </c>
      <c r="GH101" s="450">
        <v>0</v>
      </c>
      <c r="GI101" s="450">
        <v>0</v>
      </c>
      <c r="GJ101" s="450">
        <v>0</v>
      </c>
      <c r="GK101" s="450">
        <v>0</v>
      </c>
      <c r="GL101" s="450">
        <v>0</v>
      </c>
      <c r="GM101" s="450">
        <v>0</v>
      </c>
      <c r="GN101" s="450">
        <v>0</v>
      </c>
      <c r="GO101" s="450">
        <v>0</v>
      </c>
      <c r="GP101" s="450">
        <v>0</v>
      </c>
      <c r="GQ101" s="450">
        <v>0</v>
      </c>
      <c r="GR101" s="450">
        <v>0</v>
      </c>
      <c r="GS101" s="450">
        <v>0</v>
      </c>
      <c r="GT101" s="450">
        <v>0</v>
      </c>
      <c r="GU101" s="450">
        <v>0</v>
      </c>
      <c r="GV101" s="450">
        <v>0</v>
      </c>
      <c r="GW101" s="450">
        <v>0</v>
      </c>
      <c r="GX101" s="450">
        <v>33678971</v>
      </c>
      <c r="GY101" s="450">
        <v>33701251</v>
      </c>
      <c r="GZ101" s="450">
        <v>0</v>
      </c>
      <c r="HA101" s="450" t="s">
        <v>888</v>
      </c>
      <c r="HB101" s="450" t="s">
        <v>888</v>
      </c>
      <c r="HC101" s="450">
        <v>0</v>
      </c>
      <c r="HD101" s="450">
        <v>0</v>
      </c>
      <c r="HE101" s="450">
        <v>0</v>
      </c>
      <c r="HF101" s="450">
        <v>0</v>
      </c>
      <c r="HG101" s="472">
        <v>0</v>
      </c>
    </row>
    <row r="102" spans="2:215" ht="12.75">
      <c r="B102" s="445" t="s">
        <v>781</v>
      </c>
      <c r="C102" s="446">
        <v>8126.63</v>
      </c>
      <c r="D102" s="447">
        <v>1924304.79</v>
      </c>
      <c r="E102" s="447">
        <v>1651053.50982</v>
      </c>
      <c r="F102" s="447">
        <v>293912.3171622699</v>
      </c>
      <c r="G102" s="447">
        <v>273251.28018000006</v>
      </c>
      <c r="H102" s="448">
        <v>0.5297866397264303</v>
      </c>
      <c r="I102" s="449">
        <v>3804.75</v>
      </c>
      <c r="J102" s="449">
        <v>500.63</v>
      </c>
      <c r="K102" s="447">
        <v>1944965.82698227</v>
      </c>
      <c r="L102" s="447">
        <v>1555972.6615858162</v>
      </c>
      <c r="M102" s="447">
        <v>542351.1419277758</v>
      </c>
      <c r="N102" s="447">
        <v>388993.16539645393</v>
      </c>
      <c r="O102" s="450">
        <v>1.394243370253106</v>
      </c>
      <c r="P102" s="451">
        <v>0.6965987131197064</v>
      </c>
      <c r="Q102" s="452">
        <v>0.3033237639710433</v>
      </c>
      <c r="R102" s="447">
        <v>2098323.803513592</v>
      </c>
      <c r="S102" s="447">
        <v>1418466.8911751884</v>
      </c>
      <c r="T102" s="447">
        <v>183544.7042712993</v>
      </c>
      <c r="U102" s="447">
        <v>485304.05940655014</v>
      </c>
      <c r="V102" s="447">
        <v>478417.827201099</v>
      </c>
      <c r="W102" s="450">
        <v>1.014393761716067</v>
      </c>
      <c r="X102" s="452">
        <v>17.807176360295728</v>
      </c>
      <c r="Y102" s="447">
        <v>183544.7042712993</v>
      </c>
      <c r="Z102" s="447">
        <v>201439.08513730485</v>
      </c>
      <c r="AA102" s="448">
        <v>0.9111672848702207</v>
      </c>
      <c r="AB102" s="448">
        <v>0.07167792799721409</v>
      </c>
      <c r="AC102" s="449">
        <v>597</v>
      </c>
      <c r="AD102" s="449">
        <v>568</v>
      </c>
      <c r="AE102" s="447">
        <v>2087315.6548530378</v>
      </c>
      <c r="AF102" s="447">
        <v>124753.16742607145</v>
      </c>
      <c r="AG102" s="451">
        <v>0.5</v>
      </c>
      <c r="AH102" s="450">
        <v>0.29022630883066985</v>
      </c>
      <c r="AI102" s="452">
        <v>0.2444024533033371</v>
      </c>
      <c r="AJ102" s="447">
        <v>2212068.822279109</v>
      </c>
      <c r="AK102" s="453">
        <v>1.0303</v>
      </c>
      <c r="AL102" s="447">
        <v>2279094.5075941663</v>
      </c>
      <c r="AM102" s="447">
        <v>5361483.0777704725</v>
      </c>
      <c r="AN102" s="447">
        <v>5308564.178685199</v>
      </c>
      <c r="AO102" s="447">
        <v>5138309.474010497</v>
      </c>
      <c r="AP102" s="447">
        <v>5308564.178685199</v>
      </c>
      <c r="AQ102" s="447">
        <v>32506.52</v>
      </c>
      <c r="AR102" s="447">
        <v>5341070.698685198</v>
      </c>
      <c r="AS102" s="454">
        <v>657.2306969414379</v>
      </c>
      <c r="AT102" s="450">
        <v>8113</v>
      </c>
      <c r="AU102" s="450">
        <v>19</v>
      </c>
      <c r="AV102" s="450">
        <v>74</v>
      </c>
      <c r="AW102" s="450">
        <v>322</v>
      </c>
      <c r="AX102" s="450">
        <v>0</v>
      </c>
      <c r="AY102" s="450">
        <v>1274</v>
      </c>
      <c r="AZ102" s="450">
        <v>240</v>
      </c>
      <c r="BA102" s="450">
        <v>620</v>
      </c>
      <c r="BB102" s="450">
        <v>1106</v>
      </c>
      <c r="BC102" s="450">
        <v>24</v>
      </c>
      <c r="BD102" s="450">
        <v>1786</v>
      </c>
      <c r="BE102" s="450">
        <v>1317</v>
      </c>
      <c r="BF102" s="450">
        <v>1148</v>
      </c>
      <c r="BG102" s="450">
        <v>183</v>
      </c>
      <c r="BH102" s="450">
        <v>0</v>
      </c>
      <c r="BI102" s="450">
        <v>0</v>
      </c>
      <c r="BJ102" s="452">
        <v>2.2306921310325203</v>
      </c>
      <c r="BK102" s="452">
        <v>24.317966274693262</v>
      </c>
      <c r="BL102" s="452">
        <v>12.363231248557762</v>
      </c>
      <c r="BM102" s="452">
        <v>23.909470052271</v>
      </c>
      <c r="BN102" s="449">
        <v>5648</v>
      </c>
      <c r="BO102" s="449">
        <v>2465</v>
      </c>
      <c r="BP102" s="447">
        <v>3452491.286425914</v>
      </c>
      <c r="BQ102" s="447">
        <v>9185308</v>
      </c>
      <c r="BR102" s="447">
        <v>11349379</v>
      </c>
      <c r="BS102" s="448">
        <v>0.071798348329841</v>
      </c>
      <c r="BT102" s="449">
        <v>597</v>
      </c>
      <c r="BU102" s="449">
        <v>568</v>
      </c>
      <c r="BV102" s="447">
        <v>814866.6667693825</v>
      </c>
      <c r="BW102" s="448">
        <v>0.017060388779427598</v>
      </c>
      <c r="BX102" s="447">
        <v>53198.80730705832</v>
      </c>
      <c r="BY102" s="447">
        <v>13505864.760502355</v>
      </c>
      <c r="BZ102" s="455">
        <v>1.0333333333333334</v>
      </c>
      <c r="CA102" s="447">
        <v>13956060.2525191</v>
      </c>
      <c r="CB102" s="447">
        <v>10495335.602058038</v>
      </c>
      <c r="CC102" s="447">
        <v>10482490.145379435</v>
      </c>
      <c r="CD102" s="447">
        <v>10234330.015623491</v>
      </c>
      <c r="CE102" s="447">
        <v>10482490.145379435</v>
      </c>
      <c r="CF102" s="454">
        <v>1292.0609078490613</v>
      </c>
      <c r="CG102" s="450">
        <v>8113</v>
      </c>
      <c r="CH102" s="450">
        <v>19</v>
      </c>
      <c r="CI102" s="450">
        <v>74</v>
      </c>
      <c r="CJ102" s="450">
        <v>322</v>
      </c>
      <c r="CK102" s="450">
        <v>0</v>
      </c>
      <c r="CL102" s="450">
        <v>1274</v>
      </c>
      <c r="CM102" s="450">
        <v>240</v>
      </c>
      <c r="CN102" s="450">
        <v>620</v>
      </c>
      <c r="CO102" s="450">
        <v>1106</v>
      </c>
      <c r="CP102" s="450">
        <v>24</v>
      </c>
      <c r="CQ102" s="450">
        <v>1786</v>
      </c>
      <c r="CR102" s="450">
        <v>1317</v>
      </c>
      <c r="CS102" s="450">
        <v>1148</v>
      </c>
      <c r="CT102" s="450">
        <v>183</v>
      </c>
      <c r="CU102" s="450">
        <v>0</v>
      </c>
      <c r="CV102" s="450">
        <v>0</v>
      </c>
      <c r="CW102" s="447">
        <v>6442534.010192464</v>
      </c>
      <c r="CX102" s="452">
        <v>1.0087537923390242</v>
      </c>
      <c r="CY102" s="452">
        <v>1.0333333333333334</v>
      </c>
      <c r="CZ102" s="447">
        <v>6498930.61505479</v>
      </c>
      <c r="DA102" s="454">
        <v>801.0514748002946</v>
      </c>
      <c r="DB102" s="449">
        <v>8126.63</v>
      </c>
      <c r="DC102" s="452">
        <v>1.0078984769824637</v>
      </c>
      <c r="DD102" s="454">
        <v>343.7</v>
      </c>
      <c r="DE102" s="447">
        <v>35987</v>
      </c>
      <c r="DF102" s="454">
        <v>53.71392264881368</v>
      </c>
      <c r="DG102" s="454">
        <v>56.023621322712664</v>
      </c>
      <c r="DH102" s="454">
        <v>57.25614099181233</v>
      </c>
      <c r="DI102" s="454">
        <v>58.51577609363219</v>
      </c>
      <c r="DJ102" s="454">
        <v>60.44679670472205</v>
      </c>
      <c r="DK102" s="454">
        <v>62.62288138609203</v>
      </c>
      <c r="DL102" s="454">
        <v>64.62681359044697</v>
      </c>
      <c r="DM102" s="454">
        <v>67.27651294765529</v>
      </c>
      <c r="DN102" s="454">
        <v>70.23667951735212</v>
      </c>
      <c r="DO102" s="454">
        <v>74.09969689080648</v>
      </c>
      <c r="DP102" s="454">
        <v>73.43279961878923</v>
      </c>
      <c r="DQ102" s="454">
        <v>77.17787239934748</v>
      </c>
      <c r="DR102" s="454">
        <v>81.88572261570766</v>
      </c>
      <c r="DS102" s="454">
        <v>42.71</v>
      </c>
      <c r="DT102" s="454">
        <v>45.01027209918122</v>
      </c>
      <c r="DU102" s="454">
        <v>47.39108453072642</v>
      </c>
      <c r="DV102" s="454">
        <v>50.39146611830059</v>
      </c>
      <c r="DW102" s="454">
        <v>53.69374782534978</v>
      </c>
      <c r="DX102" s="454">
        <v>56.94775872820863</v>
      </c>
      <c r="DY102" s="454">
        <v>60.8813960583832</v>
      </c>
      <c r="DZ102" s="454">
        <v>64.30201104410762</v>
      </c>
      <c r="EA102" s="454">
        <v>66.26266432511773</v>
      </c>
      <c r="EB102" s="454">
        <v>68.19610466951335</v>
      </c>
      <c r="EC102" s="454">
        <v>72.77485928599631</v>
      </c>
      <c r="ED102" s="454">
        <v>78.38202493075849</v>
      </c>
      <c r="EE102" s="454">
        <v>-0.58</v>
      </c>
      <c r="EF102" s="454">
        <v>77.80202493075849</v>
      </c>
      <c r="EG102" s="454">
        <v>4045.7052963994415</v>
      </c>
      <c r="EH102" s="447">
        <v>32220391.03222102</v>
      </c>
      <c r="EI102" s="454">
        <v>45.16</v>
      </c>
      <c r="EJ102" s="454">
        <v>47.26378209918122</v>
      </c>
      <c r="EK102" s="454">
        <v>49.43827317072642</v>
      </c>
      <c r="EL102" s="454">
        <v>52.24186875028059</v>
      </c>
      <c r="EM102" s="454">
        <v>55.336905362548016</v>
      </c>
      <c r="EN102" s="454">
        <v>58.360874210199114</v>
      </c>
      <c r="EO102" s="454">
        <v>62.058238631784874</v>
      </c>
      <c r="EP102" s="454">
        <v>65.39412095222437</v>
      </c>
      <c r="EQ102" s="454">
        <v>67.30417314082507</v>
      </c>
      <c r="ER102" s="454">
        <v>68.89203950315425</v>
      </c>
      <c r="ES102" s="454">
        <v>73.36000129412159</v>
      </c>
      <c r="ET102" s="454">
        <v>78.84765168372417</v>
      </c>
      <c r="EU102" s="447">
        <v>40383280</v>
      </c>
      <c r="EV102" s="447">
        <v>0</v>
      </c>
      <c r="EW102" s="447">
        <v>0</v>
      </c>
      <c r="EX102" s="447">
        <v>0</v>
      </c>
      <c r="EY102" s="447">
        <v>0</v>
      </c>
      <c r="EZ102" s="447">
        <v>0</v>
      </c>
      <c r="FA102" s="447">
        <v>0</v>
      </c>
      <c r="FB102" s="447">
        <v>0</v>
      </c>
      <c r="FC102" s="447">
        <v>0</v>
      </c>
      <c r="FD102" s="447">
        <v>40383280</v>
      </c>
      <c r="FE102" s="447">
        <v>60263.198775768964</v>
      </c>
      <c r="FF102" s="447">
        <v>0</v>
      </c>
      <c r="FG102" s="447">
        <v>0</v>
      </c>
      <c r="FH102" s="447">
        <v>29477</v>
      </c>
      <c r="FI102" s="456">
        <v>0.0338</v>
      </c>
      <c r="FJ102" s="447">
        <v>996.3225999999999</v>
      </c>
      <c r="FK102" s="471">
        <v>996.3225999999999</v>
      </c>
      <c r="FL102" s="446">
        <v>77.11</v>
      </c>
      <c r="FM102" s="450">
        <v>74.58</v>
      </c>
      <c r="FN102" s="450">
        <v>74</v>
      </c>
      <c r="FO102" s="450">
        <v>-0.58</v>
      </c>
      <c r="FP102" s="472">
        <v>68.48</v>
      </c>
      <c r="FQ102" s="446">
        <v>212948</v>
      </c>
      <c r="FR102" s="450">
        <v>101397</v>
      </c>
      <c r="FS102" s="450">
        <v>0</v>
      </c>
      <c r="FT102" s="450">
        <v>0</v>
      </c>
      <c r="FU102" s="450">
        <v>0</v>
      </c>
      <c r="FV102" s="450">
        <v>0</v>
      </c>
      <c r="FW102" s="450">
        <v>0</v>
      </c>
      <c r="FX102" s="450">
        <v>0</v>
      </c>
      <c r="FY102" s="450">
        <v>0</v>
      </c>
      <c r="FZ102" s="450">
        <v>0</v>
      </c>
      <c r="GA102" s="450">
        <v>0</v>
      </c>
      <c r="GB102" s="450">
        <v>0</v>
      </c>
      <c r="GC102" s="450">
        <v>0</v>
      </c>
      <c r="GD102" s="450">
        <v>0</v>
      </c>
      <c r="GE102" s="450">
        <v>0</v>
      </c>
      <c r="GF102" s="450">
        <v>0</v>
      </c>
      <c r="GG102" s="450">
        <v>0</v>
      </c>
      <c r="GH102" s="450">
        <v>0</v>
      </c>
      <c r="GI102" s="450">
        <v>0</v>
      </c>
      <c r="GJ102" s="450">
        <v>0</v>
      </c>
      <c r="GK102" s="450">
        <v>0</v>
      </c>
      <c r="GL102" s="450">
        <v>0</v>
      </c>
      <c r="GM102" s="450">
        <v>0</v>
      </c>
      <c r="GN102" s="450">
        <v>0</v>
      </c>
      <c r="GO102" s="450">
        <v>0</v>
      </c>
      <c r="GP102" s="450">
        <v>0</v>
      </c>
      <c r="GQ102" s="450">
        <v>0</v>
      </c>
      <c r="GR102" s="450">
        <v>0</v>
      </c>
      <c r="GS102" s="450">
        <v>0</v>
      </c>
      <c r="GT102" s="450">
        <v>0</v>
      </c>
      <c r="GU102" s="450">
        <v>0</v>
      </c>
      <c r="GV102" s="450">
        <v>0</v>
      </c>
      <c r="GW102" s="450">
        <v>0</v>
      </c>
      <c r="GX102" s="450">
        <v>19801592</v>
      </c>
      <c r="GY102" s="450">
        <v>19801592</v>
      </c>
      <c r="GZ102" s="450">
        <v>3</v>
      </c>
      <c r="HA102" s="450" t="s">
        <v>888</v>
      </c>
      <c r="HB102" s="450" t="s">
        <v>888</v>
      </c>
      <c r="HC102" s="450">
        <v>69</v>
      </c>
      <c r="HD102" s="450">
        <v>0</v>
      </c>
      <c r="HE102" s="450">
        <v>0</v>
      </c>
      <c r="HF102" s="450">
        <v>0</v>
      </c>
      <c r="HG102" s="472">
        <v>0</v>
      </c>
    </row>
    <row r="103" spans="2:215" ht="12.75">
      <c r="B103" s="445" t="s">
        <v>782</v>
      </c>
      <c r="C103" s="446">
        <v>17259</v>
      </c>
      <c r="D103" s="447">
        <v>4052147</v>
      </c>
      <c r="E103" s="447">
        <v>3476742.126</v>
      </c>
      <c r="F103" s="447">
        <v>528946.8257264484</v>
      </c>
      <c r="G103" s="447">
        <v>575404.8740000001</v>
      </c>
      <c r="H103" s="448">
        <v>0.4527765223941132</v>
      </c>
      <c r="I103" s="449">
        <v>6523.7</v>
      </c>
      <c r="J103" s="449">
        <v>1290.77</v>
      </c>
      <c r="K103" s="447">
        <v>4005688.9517264487</v>
      </c>
      <c r="L103" s="447">
        <v>3204551.161381159</v>
      </c>
      <c r="M103" s="447">
        <v>1022600.7023180213</v>
      </c>
      <c r="N103" s="447">
        <v>801137.7903452895</v>
      </c>
      <c r="O103" s="450">
        <v>1.276435482936439</v>
      </c>
      <c r="P103" s="451">
        <v>0.7873573208181239</v>
      </c>
      <c r="Q103" s="452">
        <v>0.21264267918187613</v>
      </c>
      <c r="R103" s="447">
        <v>4227151.86369918</v>
      </c>
      <c r="S103" s="447">
        <v>2857554.659860646</v>
      </c>
      <c r="T103" s="447">
        <v>427267.9234654752</v>
      </c>
      <c r="U103" s="447">
        <v>1342259.3725413196</v>
      </c>
      <c r="V103" s="447">
        <v>963790.624923413</v>
      </c>
      <c r="W103" s="450">
        <v>1.3926877247306502</v>
      </c>
      <c r="X103" s="452">
        <v>24.447938133159827</v>
      </c>
      <c r="Y103" s="447">
        <v>427267.9234654752</v>
      </c>
      <c r="Z103" s="447">
        <v>405806.57891512127</v>
      </c>
      <c r="AA103" s="448">
        <v>1.052885649630739</v>
      </c>
      <c r="AB103" s="448">
        <v>0.08282635146879888</v>
      </c>
      <c r="AC103" s="449">
        <v>1447</v>
      </c>
      <c r="AD103" s="449">
        <v>1412</v>
      </c>
      <c r="AE103" s="447">
        <v>4627081.955867441</v>
      </c>
      <c r="AF103" s="447">
        <v>1187481.889769441</v>
      </c>
      <c r="AG103" s="451">
        <v>1</v>
      </c>
      <c r="AH103" s="450">
        <v>0.7882827750904924</v>
      </c>
      <c r="AI103" s="452">
        <v>0.663820743560791</v>
      </c>
      <c r="AJ103" s="447">
        <v>5814563.845636882</v>
      </c>
      <c r="AK103" s="453">
        <v>1.0168</v>
      </c>
      <c r="AL103" s="447">
        <v>5912248.518243581</v>
      </c>
      <c r="AM103" s="447">
        <v>13908339.595621973</v>
      </c>
      <c r="AN103" s="447">
        <v>13771061.531170726</v>
      </c>
      <c r="AO103" s="447">
        <v>13561718.23586643</v>
      </c>
      <c r="AP103" s="447">
        <v>13771061.531170726</v>
      </c>
      <c r="AQ103" s="447">
        <v>69036</v>
      </c>
      <c r="AR103" s="447">
        <v>13840097.531170726</v>
      </c>
      <c r="AS103" s="454">
        <v>801.9061087647445</v>
      </c>
      <c r="AT103" s="450">
        <v>17259</v>
      </c>
      <c r="AU103" s="450">
        <v>818</v>
      </c>
      <c r="AV103" s="450">
        <v>1716</v>
      </c>
      <c r="AW103" s="450">
        <v>502</v>
      </c>
      <c r="AX103" s="450">
        <v>429</v>
      </c>
      <c r="AY103" s="450">
        <v>1021</v>
      </c>
      <c r="AZ103" s="450">
        <v>1902</v>
      </c>
      <c r="BA103" s="450">
        <v>2095</v>
      </c>
      <c r="BB103" s="450">
        <v>1126</v>
      </c>
      <c r="BC103" s="450">
        <v>831</v>
      </c>
      <c r="BD103" s="450">
        <v>2829</v>
      </c>
      <c r="BE103" s="450">
        <v>1271</v>
      </c>
      <c r="BF103" s="450">
        <v>2399</v>
      </c>
      <c r="BG103" s="450">
        <v>215</v>
      </c>
      <c r="BH103" s="450">
        <v>23</v>
      </c>
      <c r="BI103" s="450">
        <v>82</v>
      </c>
      <c r="BJ103" s="452">
        <v>2.4818367228692275</v>
      </c>
      <c r="BK103" s="452">
        <v>33.532939510174174</v>
      </c>
      <c r="BL103" s="452">
        <v>18.04268705577694</v>
      </c>
      <c r="BM103" s="452">
        <v>30.980504908794472</v>
      </c>
      <c r="BN103" s="449">
        <v>13589</v>
      </c>
      <c r="BO103" s="449">
        <v>3670</v>
      </c>
      <c r="BP103" s="447">
        <v>8339559.5841439245</v>
      </c>
      <c r="BQ103" s="447">
        <v>18468468</v>
      </c>
      <c r="BR103" s="447">
        <v>24835781</v>
      </c>
      <c r="BS103" s="448">
        <v>0.08282635146879888</v>
      </c>
      <c r="BT103" s="449">
        <v>1447</v>
      </c>
      <c r="BU103" s="449">
        <v>1412</v>
      </c>
      <c r="BV103" s="447">
        <v>2057057.1261081174</v>
      </c>
      <c r="BW103" s="448">
        <v>0.017927026455701163</v>
      </c>
      <c r="BX103" s="447">
        <v>163983.3512874416</v>
      </c>
      <c r="BY103" s="447">
        <v>29029068.061539486</v>
      </c>
      <c r="BZ103" s="455">
        <v>0.9333333333333332</v>
      </c>
      <c r="CA103" s="447">
        <v>27093796.85743685</v>
      </c>
      <c r="CB103" s="447">
        <v>20375269.6396863</v>
      </c>
      <c r="CC103" s="447">
        <v>20350331.928936</v>
      </c>
      <c r="CD103" s="447">
        <v>19804919.952074666</v>
      </c>
      <c r="CE103" s="447">
        <v>20350331.928936</v>
      </c>
      <c r="CF103" s="454">
        <v>1179.1141971687816</v>
      </c>
      <c r="CG103" s="450">
        <v>15213</v>
      </c>
      <c r="CH103" s="450">
        <v>818</v>
      </c>
      <c r="CI103" s="450">
        <v>1716</v>
      </c>
      <c r="CJ103" s="450">
        <v>502</v>
      </c>
      <c r="CK103" s="450">
        <v>248</v>
      </c>
      <c r="CL103" s="450">
        <v>723</v>
      </c>
      <c r="CM103" s="450">
        <v>1440</v>
      </c>
      <c r="CN103" s="450">
        <v>1741</v>
      </c>
      <c r="CO103" s="450">
        <v>968</v>
      </c>
      <c r="CP103" s="450">
        <v>831</v>
      </c>
      <c r="CQ103" s="450">
        <v>2640</v>
      </c>
      <c r="CR103" s="450">
        <v>1243</v>
      </c>
      <c r="CS103" s="450">
        <v>2025</v>
      </c>
      <c r="CT103" s="450">
        <v>213</v>
      </c>
      <c r="CU103" s="450">
        <v>23</v>
      </c>
      <c r="CV103" s="450">
        <v>82</v>
      </c>
      <c r="CW103" s="447">
        <v>11063011.404372262</v>
      </c>
      <c r="CX103" s="452">
        <v>0.9111324575965377</v>
      </c>
      <c r="CY103" s="452">
        <v>0.9333333333333332</v>
      </c>
      <c r="CZ103" s="447">
        <v>10079868.769284222</v>
      </c>
      <c r="DA103" s="454">
        <v>662.5825786685218</v>
      </c>
      <c r="DB103" s="449">
        <v>17259</v>
      </c>
      <c r="DC103" s="452">
        <v>1.0242945709484905</v>
      </c>
      <c r="DD103" s="454">
        <v>307.3</v>
      </c>
      <c r="DE103" s="447">
        <v>20853</v>
      </c>
      <c r="DF103" s="454">
        <v>44.904799240438216</v>
      </c>
      <c r="DG103" s="454">
        <v>46.83570560777706</v>
      </c>
      <c r="DH103" s="454">
        <v>47.866091131148146</v>
      </c>
      <c r="DI103" s="454">
        <v>48.91914513603339</v>
      </c>
      <c r="DJ103" s="454">
        <v>50.53347692552249</v>
      </c>
      <c r="DK103" s="454">
        <v>52.35268209484129</v>
      </c>
      <c r="DL103" s="454">
        <v>54.027967921876204</v>
      </c>
      <c r="DM103" s="454">
        <v>56.243114606673124</v>
      </c>
      <c r="DN103" s="454">
        <v>58.71781164936673</v>
      </c>
      <c r="DO103" s="454">
        <v>61.9472912900819</v>
      </c>
      <c r="DP103" s="454">
        <v>61.38976566847116</v>
      </c>
      <c r="DQ103" s="454">
        <v>64.52064371756319</v>
      </c>
      <c r="DR103" s="454">
        <v>68.45640298433455</v>
      </c>
      <c r="DS103" s="454">
        <v>36.29</v>
      </c>
      <c r="DT103" s="454">
        <v>38.16615111311481</v>
      </c>
      <c r="DU103" s="454">
        <v>40.10728851520667</v>
      </c>
      <c r="DV103" s="454">
        <v>42.56866002237274</v>
      </c>
      <c r="DW103" s="454">
        <v>45.27992468484431</v>
      </c>
      <c r="DX103" s="454">
        <v>47.945396549278804</v>
      </c>
      <c r="DY103" s="454">
        <v>51.177549167574014</v>
      </c>
      <c r="DZ103" s="454">
        <v>54.016966921882755</v>
      </c>
      <c r="EA103" s="454">
        <v>55.644000207174315</v>
      </c>
      <c r="EB103" s="454">
        <v>57.177914779629425</v>
      </c>
      <c r="EC103" s="454">
        <v>60.97931949022505</v>
      </c>
      <c r="ED103" s="454">
        <v>65.63839423043022</v>
      </c>
      <c r="EE103" s="454">
        <v>0</v>
      </c>
      <c r="EF103" s="454">
        <v>65.63839423043022</v>
      </c>
      <c r="EG103" s="454">
        <v>3413.1964999823717</v>
      </c>
      <c r="EH103" s="447">
        <v>57730191.22533184</v>
      </c>
      <c r="EI103" s="454">
        <v>51.13</v>
      </c>
      <c r="EJ103" s="454">
        <v>51.81598311311481</v>
      </c>
      <c r="EK103" s="454">
        <v>52.50740256320667</v>
      </c>
      <c r="EL103" s="454">
        <v>53.77681310750873</v>
      </c>
      <c r="EM103" s="454">
        <v>55.23276462444507</v>
      </c>
      <c r="EN103" s="454">
        <v>56.50483889733545</v>
      </c>
      <c r="EO103" s="454">
        <v>58.30585275503559</v>
      </c>
      <c r="EP103" s="454">
        <v>60.6320326510471</v>
      </c>
      <c r="EQ103" s="454">
        <v>61.95256789088738</v>
      </c>
      <c r="ER103" s="454">
        <v>61.393291486254334</v>
      </c>
      <c r="ES103" s="454">
        <v>64.52360822515529</v>
      </c>
      <c r="ET103" s="454">
        <v>68.45876199125095</v>
      </c>
      <c r="EU103" s="447">
        <v>440652264</v>
      </c>
      <c r="EV103" s="447">
        <v>0</v>
      </c>
      <c r="EW103" s="447">
        <v>0</v>
      </c>
      <c r="EX103" s="447">
        <v>9053859</v>
      </c>
      <c r="EY103" s="447">
        <v>0</v>
      </c>
      <c r="EZ103" s="447">
        <v>0</v>
      </c>
      <c r="FA103" s="447">
        <v>0</v>
      </c>
      <c r="FB103" s="447">
        <v>0</v>
      </c>
      <c r="FC103" s="447">
        <v>0</v>
      </c>
      <c r="FD103" s="447">
        <v>449706123</v>
      </c>
      <c r="FE103" s="447">
        <v>260354.26915757396</v>
      </c>
      <c r="FF103" s="447">
        <v>0</v>
      </c>
      <c r="FG103" s="447">
        <v>0</v>
      </c>
      <c r="FH103" s="447">
        <v>246000</v>
      </c>
      <c r="FI103" s="456">
        <v>0.049400000000000006</v>
      </c>
      <c r="FJ103" s="447">
        <v>12152.4</v>
      </c>
      <c r="FK103" s="471">
        <v>12152.4</v>
      </c>
      <c r="FL103" s="446">
        <v>64.71</v>
      </c>
      <c r="FM103" s="450">
        <v>63.98</v>
      </c>
      <c r="FN103" s="450">
        <v>64.09</v>
      </c>
      <c r="FO103" s="450">
        <v>0</v>
      </c>
      <c r="FP103" s="472">
        <v>64.51</v>
      </c>
      <c r="FQ103" s="446">
        <v>1719086</v>
      </c>
      <c r="FR103" s="450">
        <v>2815447</v>
      </c>
      <c r="FS103" s="450">
        <v>0</v>
      </c>
      <c r="FT103" s="450">
        <v>0</v>
      </c>
      <c r="FU103" s="450">
        <v>0</v>
      </c>
      <c r="FV103" s="450">
        <v>0</v>
      </c>
      <c r="FW103" s="450">
        <v>0</v>
      </c>
      <c r="FX103" s="450">
        <v>0</v>
      </c>
      <c r="FY103" s="450">
        <v>0</v>
      </c>
      <c r="FZ103" s="450">
        <v>0</v>
      </c>
      <c r="GA103" s="450">
        <v>0</v>
      </c>
      <c r="GB103" s="450">
        <v>0</v>
      </c>
      <c r="GC103" s="450">
        <v>0</v>
      </c>
      <c r="GD103" s="450">
        <v>0</v>
      </c>
      <c r="GE103" s="450">
        <v>0</v>
      </c>
      <c r="GF103" s="450">
        <v>0</v>
      </c>
      <c r="GG103" s="450">
        <v>0</v>
      </c>
      <c r="GH103" s="450">
        <v>0</v>
      </c>
      <c r="GI103" s="450">
        <v>0</v>
      </c>
      <c r="GJ103" s="450">
        <v>0</v>
      </c>
      <c r="GK103" s="450">
        <v>0</v>
      </c>
      <c r="GL103" s="450">
        <v>0</v>
      </c>
      <c r="GM103" s="450">
        <v>0</v>
      </c>
      <c r="GN103" s="450">
        <v>0</v>
      </c>
      <c r="GO103" s="450">
        <v>0</v>
      </c>
      <c r="GP103" s="450">
        <v>0</v>
      </c>
      <c r="GQ103" s="450">
        <v>0</v>
      </c>
      <c r="GR103" s="450">
        <v>0</v>
      </c>
      <c r="GS103" s="450">
        <v>0</v>
      </c>
      <c r="GT103" s="450">
        <v>0</v>
      </c>
      <c r="GU103" s="450">
        <v>0</v>
      </c>
      <c r="GV103" s="450">
        <v>0</v>
      </c>
      <c r="GW103" s="450">
        <v>13970000</v>
      </c>
      <c r="GX103" s="450">
        <v>393462957</v>
      </c>
      <c r="GY103" s="450">
        <v>403572957</v>
      </c>
      <c r="GZ103" s="450">
        <v>66</v>
      </c>
      <c r="HA103" s="450" t="s">
        <v>889</v>
      </c>
      <c r="HB103" s="450" t="s">
        <v>888</v>
      </c>
      <c r="HC103" s="450">
        <v>496</v>
      </c>
      <c r="HD103" s="450">
        <v>31</v>
      </c>
      <c r="HE103" s="450">
        <v>0</v>
      </c>
      <c r="HF103" s="450">
        <v>0</v>
      </c>
      <c r="HG103" s="472">
        <v>0</v>
      </c>
    </row>
    <row r="104" spans="2:215" ht="12.75">
      <c r="B104" s="445" t="s">
        <v>783</v>
      </c>
      <c r="C104" s="446">
        <v>6609</v>
      </c>
      <c r="D104" s="447">
        <v>1570697</v>
      </c>
      <c r="E104" s="447">
        <v>1347658.026</v>
      </c>
      <c r="F104" s="447">
        <v>150568.5953271586</v>
      </c>
      <c r="G104" s="447">
        <v>223038.97400000002</v>
      </c>
      <c r="H104" s="448">
        <v>0.3325056740807989</v>
      </c>
      <c r="I104" s="449">
        <v>1567.29</v>
      </c>
      <c r="J104" s="449">
        <v>630.24</v>
      </c>
      <c r="K104" s="447">
        <v>1498226.6213271588</v>
      </c>
      <c r="L104" s="447">
        <v>1198581.2970617271</v>
      </c>
      <c r="M104" s="447">
        <v>315559.3065346353</v>
      </c>
      <c r="N104" s="447">
        <v>299645.3242654317</v>
      </c>
      <c r="O104" s="450">
        <v>1.053109396277803</v>
      </c>
      <c r="P104" s="451">
        <v>0.9591466182478439</v>
      </c>
      <c r="Q104" s="452">
        <v>0.04085338175215615</v>
      </c>
      <c r="R104" s="447">
        <v>1514140.6035963625</v>
      </c>
      <c r="S104" s="447">
        <v>1023559.0480311412</v>
      </c>
      <c r="T104" s="447">
        <v>180192.73791352738</v>
      </c>
      <c r="U104" s="447">
        <v>451070.36466595496</v>
      </c>
      <c r="V104" s="447">
        <v>345224.05761997064</v>
      </c>
      <c r="W104" s="450">
        <v>1.3066017698062689</v>
      </c>
      <c r="X104" s="452">
        <v>22.936742146613526</v>
      </c>
      <c r="Y104" s="447">
        <v>180192.73791352738</v>
      </c>
      <c r="Z104" s="447">
        <v>145357.4979452508</v>
      </c>
      <c r="AA104" s="448">
        <v>1.23965217110023</v>
      </c>
      <c r="AB104" s="448">
        <v>0.09751853533060978</v>
      </c>
      <c r="AC104" s="449">
        <v>621</v>
      </c>
      <c r="AD104" s="449">
        <v>668</v>
      </c>
      <c r="AE104" s="447">
        <v>1654822.1506106234</v>
      </c>
      <c r="AF104" s="447">
        <v>223190.7773372305</v>
      </c>
      <c r="AG104" s="451">
        <v>0.75</v>
      </c>
      <c r="AH104" s="450">
        <v>0.47748555023760886</v>
      </c>
      <c r="AI104" s="452">
        <v>0.40209531784057617</v>
      </c>
      <c r="AJ104" s="447">
        <v>1878012.927947854</v>
      </c>
      <c r="AK104" s="453">
        <v>1</v>
      </c>
      <c r="AL104" s="447">
        <v>1878012.927947854</v>
      </c>
      <c r="AM104" s="447">
        <v>4417953.92840267</v>
      </c>
      <c r="AN104" s="447">
        <v>4374347.848758425</v>
      </c>
      <c r="AO104" s="447">
        <v>4214739.044813891</v>
      </c>
      <c r="AP104" s="447">
        <v>4374347.848758425</v>
      </c>
      <c r="AQ104" s="447">
        <v>26436</v>
      </c>
      <c r="AR104" s="447">
        <v>4400783.848758425</v>
      </c>
      <c r="AS104" s="454">
        <v>665.877416970559</v>
      </c>
      <c r="AT104" s="450">
        <v>6609</v>
      </c>
      <c r="AU104" s="450">
        <v>252</v>
      </c>
      <c r="AV104" s="450">
        <v>692</v>
      </c>
      <c r="AW104" s="450">
        <v>349</v>
      </c>
      <c r="AX104" s="450">
        <v>78</v>
      </c>
      <c r="AY104" s="450">
        <v>569</v>
      </c>
      <c r="AZ104" s="450">
        <v>83</v>
      </c>
      <c r="BA104" s="450">
        <v>369</v>
      </c>
      <c r="BB104" s="450">
        <v>546</v>
      </c>
      <c r="BC104" s="450">
        <v>17</v>
      </c>
      <c r="BD104" s="450">
        <v>1474</v>
      </c>
      <c r="BE104" s="450">
        <v>270</v>
      </c>
      <c r="BF104" s="450">
        <v>0</v>
      </c>
      <c r="BG104" s="450">
        <v>1870</v>
      </c>
      <c r="BH104" s="450">
        <v>9</v>
      </c>
      <c r="BI104" s="450">
        <v>31</v>
      </c>
      <c r="BJ104" s="452">
        <v>1.6316412735729275</v>
      </c>
      <c r="BK104" s="452">
        <v>19.677177177177178</v>
      </c>
      <c r="BL104" s="452">
        <v>13.328125147090665</v>
      </c>
      <c r="BM104" s="452">
        <v>12.698104060173025</v>
      </c>
      <c r="BN104" s="449">
        <v>6339</v>
      </c>
      <c r="BO104" s="449">
        <v>270</v>
      </c>
      <c r="BP104" s="447">
        <v>2300597.8793250923</v>
      </c>
      <c r="BQ104" s="447">
        <v>6714764</v>
      </c>
      <c r="BR104" s="447">
        <v>8795480</v>
      </c>
      <c r="BS104" s="448">
        <v>0.09751853533060978</v>
      </c>
      <c r="BT104" s="449">
        <v>621</v>
      </c>
      <c r="BU104" s="449">
        <v>668</v>
      </c>
      <c r="BV104" s="447">
        <v>857722.3271296717</v>
      </c>
      <c r="BW104" s="448">
        <v>0.02869981604725453</v>
      </c>
      <c r="BX104" s="447">
        <v>58990.47662915181</v>
      </c>
      <c r="BY104" s="447">
        <v>9932074.683083916</v>
      </c>
      <c r="BZ104" s="455">
        <v>0.9</v>
      </c>
      <c r="CA104" s="447">
        <v>8938867.214775525</v>
      </c>
      <c r="CB104" s="447">
        <v>6722270.4419299755</v>
      </c>
      <c r="CC104" s="447">
        <v>6714042.917149659</v>
      </c>
      <c r="CD104" s="447">
        <v>6747335.040220897</v>
      </c>
      <c r="CE104" s="447">
        <v>6747335.040220897</v>
      </c>
      <c r="CF104" s="454">
        <v>1020.9313118809043</v>
      </c>
      <c r="CG104" s="450">
        <v>6609</v>
      </c>
      <c r="CH104" s="450">
        <v>252</v>
      </c>
      <c r="CI104" s="450">
        <v>692</v>
      </c>
      <c r="CJ104" s="450">
        <v>349</v>
      </c>
      <c r="CK104" s="450">
        <v>78</v>
      </c>
      <c r="CL104" s="450">
        <v>569</v>
      </c>
      <c r="CM104" s="450">
        <v>83</v>
      </c>
      <c r="CN104" s="450">
        <v>369</v>
      </c>
      <c r="CO104" s="450">
        <v>546</v>
      </c>
      <c r="CP104" s="450">
        <v>17</v>
      </c>
      <c r="CQ104" s="450">
        <v>1474</v>
      </c>
      <c r="CR104" s="450">
        <v>270</v>
      </c>
      <c r="CS104" s="450">
        <v>0</v>
      </c>
      <c r="CT104" s="450">
        <v>1870</v>
      </c>
      <c r="CU104" s="450">
        <v>9</v>
      </c>
      <c r="CV104" s="450">
        <v>31</v>
      </c>
      <c r="CW104" s="447">
        <v>4498278.702633394</v>
      </c>
      <c r="CX104" s="452">
        <v>0.8785920126823759</v>
      </c>
      <c r="CY104" s="452">
        <v>0.9</v>
      </c>
      <c r="CZ104" s="447">
        <v>3952151.73895294</v>
      </c>
      <c r="DA104" s="454">
        <v>597.9954212366379</v>
      </c>
      <c r="DB104" s="449">
        <v>6609</v>
      </c>
      <c r="DC104" s="452">
        <v>0.996535027992132</v>
      </c>
      <c r="DD104" s="454">
        <v>298</v>
      </c>
      <c r="DE104" s="447">
        <v>28067</v>
      </c>
      <c r="DF104" s="454">
        <v>45.13009442631322</v>
      </c>
      <c r="DG104" s="454">
        <v>47.070688486644684</v>
      </c>
      <c r="DH104" s="454">
        <v>48.10624363335086</v>
      </c>
      <c r="DI104" s="454">
        <v>49.16458099328457</v>
      </c>
      <c r="DJ104" s="454">
        <v>50.78701216606295</v>
      </c>
      <c r="DK104" s="454">
        <v>52.615344604041205</v>
      </c>
      <c r="DL104" s="454">
        <v>54.299035631370515</v>
      </c>
      <c r="DM104" s="454">
        <v>56.5252960922567</v>
      </c>
      <c r="DN104" s="454">
        <v>59.012409120315986</v>
      </c>
      <c r="DO104" s="454">
        <v>62.25809162193336</v>
      </c>
      <c r="DP104" s="454">
        <v>61.69776879733596</v>
      </c>
      <c r="DQ104" s="454">
        <v>64.84435500600009</v>
      </c>
      <c r="DR104" s="454">
        <v>68.79986066136608</v>
      </c>
      <c r="DS104" s="454">
        <v>34.91</v>
      </c>
      <c r="DT104" s="454">
        <v>36.920842363335076</v>
      </c>
      <c r="DU104" s="454">
        <v>39.003265350656896</v>
      </c>
      <c r="DV104" s="454">
        <v>41.602452989582865</v>
      </c>
      <c r="DW104" s="454">
        <v>44.459456055326896</v>
      </c>
      <c r="DX104" s="454">
        <v>47.28497147947621</v>
      </c>
      <c r="DY104" s="454">
        <v>50.68398346655913</v>
      </c>
      <c r="DZ104" s="454">
        <v>53.59167100366864</v>
      </c>
      <c r="EA104" s="454">
        <v>55.259129688627546</v>
      </c>
      <c r="EB104" s="454">
        <v>57.02107155266966</v>
      </c>
      <c r="EC104" s="454">
        <v>60.91218796268466</v>
      </c>
      <c r="ED104" s="454">
        <v>65.67083873664784</v>
      </c>
      <c r="EE104" s="454">
        <v>0</v>
      </c>
      <c r="EF104" s="454">
        <v>65.67083873664784</v>
      </c>
      <c r="EG104" s="454">
        <v>3414.8836143056874</v>
      </c>
      <c r="EH104" s="447">
        <v>22117586.490807362</v>
      </c>
      <c r="EI104" s="454">
        <v>40.21</v>
      </c>
      <c r="EJ104" s="454">
        <v>41.79578236333508</v>
      </c>
      <c r="EK104" s="454">
        <v>43.431877510656896</v>
      </c>
      <c r="EL104" s="454">
        <v>45.60536480570287</v>
      </c>
      <c r="EM104" s="454">
        <v>48.01404174804146</v>
      </c>
      <c r="EN104" s="454">
        <v>50.34191517521073</v>
      </c>
      <c r="EO104" s="454">
        <v>53.229806176366836</v>
      </c>
      <c r="EP104" s="454">
        <v>55.95419447837019</v>
      </c>
      <c r="EQ104" s="454">
        <v>57.512189575667925</v>
      </c>
      <c r="ER104" s="454">
        <v>58.52656323360712</v>
      </c>
      <c r="ES104" s="454">
        <v>62.17800536801688</v>
      </c>
      <c r="ET104" s="454">
        <v>66.67811293694095</v>
      </c>
      <c r="EU104" s="447">
        <v>42918878</v>
      </c>
      <c r="EV104" s="447">
        <v>0</v>
      </c>
      <c r="EW104" s="447">
        <v>0</v>
      </c>
      <c r="EX104" s="447">
        <v>0</v>
      </c>
      <c r="EY104" s="447">
        <v>0</v>
      </c>
      <c r="EZ104" s="447">
        <v>0</v>
      </c>
      <c r="FA104" s="447">
        <v>0</v>
      </c>
      <c r="FB104" s="447">
        <v>0</v>
      </c>
      <c r="FC104" s="447">
        <v>0</v>
      </c>
      <c r="FD104" s="447">
        <v>42918878</v>
      </c>
      <c r="FE104" s="447">
        <v>61502.686203735364</v>
      </c>
      <c r="FF104" s="447">
        <v>0</v>
      </c>
      <c r="FG104" s="447">
        <v>0</v>
      </c>
      <c r="FH104" s="447">
        <v>58996</v>
      </c>
      <c r="FI104" s="456">
        <v>0.0716</v>
      </c>
      <c r="FJ104" s="447">
        <v>4224.1136</v>
      </c>
      <c r="FK104" s="471">
        <v>4224.1136</v>
      </c>
      <c r="FL104" s="446">
        <v>0</v>
      </c>
      <c r="FM104" s="450">
        <v>0</v>
      </c>
      <c r="FN104" s="450">
        <v>0</v>
      </c>
      <c r="FO104" s="450">
        <v>0</v>
      </c>
      <c r="FP104" s="472">
        <v>0</v>
      </c>
      <c r="FQ104" s="446">
        <v>0</v>
      </c>
      <c r="FR104" s="450">
        <v>0</v>
      </c>
      <c r="FS104" s="450">
        <v>0</v>
      </c>
      <c r="FT104" s="450">
        <v>0</v>
      </c>
      <c r="FU104" s="450">
        <v>0</v>
      </c>
      <c r="FV104" s="450">
        <v>0</v>
      </c>
      <c r="FW104" s="450">
        <v>0</v>
      </c>
      <c r="FX104" s="450">
        <v>0</v>
      </c>
      <c r="FY104" s="450">
        <v>0</v>
      </c>
      <c r="FZ104" s="450">
        <v>0</v>
      </c>
      <c r="GA104" s="450">
        <v>0</v>
      </c>
      <c r="GB104" s="450">
        <v>0</v>
      </c>
      <c r="GC104" s="450">
        <v>0</v>
      </c>
      <c r="GD104" s="450">
        <v>0</v>
      </c>
      <c r="GE104" s="450">
        <v>0</v>
      </c>
      <c r="GF104" s="450">
        <v>0</v>
      </c>
      <c r="GG104" s="450">
        <v>0</v>
      </c>
      <c r="GH104" s="450">
        <v>0</v>
      </c>
      <c r="GI104" s="450">
        <v>0</v>
      </c>
      <c r="GJ104" s="450">
        <v>0</v>
      </c>
      <c r="GK104" s="450">
        <v>0</v>
      </c>
      <c r="GL104" s="450">
        <v>0</v>
      </c>
      <c r="GM104" s="450">
        <v>0</v>
      </c>
      <c r="GN104" s="450">
        <v>0</v>
      </c>
      <c r="GO104" s="450">
        <v>0</v>
      </c>
      <c r="GP104" s="450">
        <v>0</v>
      </c>
      <c r="GQ104" s="450">
        <v>0</v>
      </c>
      <c r="GR104" s="450">
        <v>0</v>
      </c>
      <c r="GS104" s="450">
        <v>0</v>
      </c>
      <c r="GT104" s="450">
        <v>0</v>
      </c>
      <c r="GU104" s="450">
        <v>0</v>
      </c>
      <c r="GV104" s="450">
        <v>0</v>
      </c>
      <c r="GW104" s="450">
        <v>2577000</v>
      </c>
      <c r="GX104" s="450">
        <v>35190886</v>
      </c>
      <c r="GY104" s="450">
        <v>35190886</v>
      </c>
      <c r="GZ104" s="450">
        <v>17</v>
      </c>
      <c r="HA104" s="450" t="s">
        <v>888</v>
      </c>
      <c r="HB104" s="450" t="s">
        <v>888</v>
      </c>
      <c r="HC104" s="450">
        <v>0</v>
      </c>
      <c r="HD104" s="450">
        <v>0</v>
      </c>
      <c r="HE104" s="450">
        <v>0</v>
      </c>
      <c r="HF104" s="450">
        <v>0</v>
      </c>
      <c r="HG104" s="472">
        <v>0</v>
      </c>
    </row>
    <row r="105" spans="2:215" ht="12.75">
      <c r="B105" s="445" t="s">
        <v>784</v>
      </c>
      <c r="C105" s="446">
        <v>3046</v>
      </c>
      <c r="D105" s="447">
        <v>740518</v>
      </c>
      <c r="E105" s="447">
        <v>635364.444</v>
      </c>
      <c r="F105" s="447">
        <v>107015.7900726505</v>
      </c>
      <c r="G105" s="447">
        <v>105153.55600000001</v>
      </c>
      <c r="H105" s="448">
        <v>0.5012672357189757</v>
      </c>
      <c r="I105" s="449">
        <v>1324.32</v>
      </c>
      <c r="J105" s="449">
        <v>202.54</v>
      </c>
      <c r="K105" s="447">
        <v>742380.2340726505</v>
      </c>
      <c r="L105" s="447">
        <v>593904.1872581205</v>
      </c>
      <c r="M105" s="447">
        <v>193530.67914239285</v>
      </c>
      <c r="N105" s="447">
        <v>148476.04681453007</v>
      </c>
      <c r="O105" s="450">
        <v>1.303447143795141</v>
      </c>
      <c r="P105" s="451">
        <v>0.7665791201575837</v>
      </c>
      <c r="Q105" s="452">
        <v>0.23342087984241627</v>
      </c>
      <c r="R105" s="447">
        <v>787434.8664005133</v>
      </c>
      <c r="S105" s="447">
        <v>532305.9696867471</v>
      </c>
      <c r="T105" s="447">
        <v>96220.69504716291</v>
      </c>
      <c r="U105" s="447">
        <v>153770.26403597926</v>
      </c>
      <c r="V105" s="447">
        <v>179535.14953931703</v>
      </c>
      <c r="W105" s="450">
        <v>0.8564911351930257</v>
      </c>
      <c r="X105" s="452">
        <v>15.035274536399514</v>
      </c>
      <c r="Y105" s="447">
        <v>96220.69504716291</v>
      </c>
      <c r="Z105" s="447">
        <v>75593.74717444928</v>
      </c>
      <c r="AA105" s="448">
        <v>1.2728657943773098</v>
      </c>
      <c r="AB105" s="448">
        <v>0.10013131976362442</v>
      </c>
      <c r="AC105" s="449">
        <v>316</v>
      </c>
      <c r="AD105" s="449">
        <v>294</v>
      </c>
      <c r="AE105" s="447">
        <v>782296.9287698893</v>
      </c>
      <c r="AF105" s="447">
        <v>28243.410416290648</v>
      </c>
      <c r="AG105" s="451">
        <v>0.5</v>
      </c>
      <c r="AH105" s="450">
        <v>0.13130182874607346</v>
      </c>
      <c r="AI105" s="452">
        <v>0.11057057231664658</v>
      </c>
      <c r="AJ105" s="447">
        <v>810540.3391861799</v>
      </c>
      <c r="AK105" s="453">
        <v>1.0056</v>
      </c>
      <c r="AL105" s="447">
        <v>815079.3650856225</v>
      </c>
      <c r="AM105" s="447">
        <v>1917443.1812217894</v>
      </c>
      <c r="AN105" s="447">
        <v>1898517.6375360265</v>
      </c>
      <c r="AO105" s="447">
        <v>1873004.6407305773</v>
      </c>
      <c r="AP105" s="447">
        <v>1898517.6375360265</v>
      </c>
      <c r="AQ105" s="447">
        <v>12184</v>
      </c>
      <c r="AR105" s="447">
        <v>1910701.6375360265</v>
      </c>
      <c r="AS105" s="454">
        <v>627.2822184950842</v>
      </c>
      <c r="AT105" s="450">
        <v>3046</v>
      </c>
      <c r="AU105" s="450">
        <v>218</v>
      </c>
      <c r="AV105" s="450">
        <v>168</v>
      </c>
      <c r="AW105" s="450">
        <v>56</v>
      </c>
      <c r="AX105" s="450">
        <v>8</v>
      </c>
      <c r="AY105" s="450">
        <v>582</v>
      </c>
      <c r="AZ105" s="450">
        <v>60</v>
      </c>
      <c r="BA105" s="450">
        <v>222</v>
      </c>
      <c r="BB105" s="450">
        <v>0</v>
      </c>
      <c r="BC105" s="450">
        <v>30</v>
      </c>
      <c r="BD105" s="450">
        <v>747</v>
      </c>
      <c r="BE105" s="450">
        <v>711</v>
      </c>
      <c r="BF105" s="450">
        <v>0</v>
      </c>
      <c r="BG105" s="450">
        <v>244</v>
      </c>
      <c r="BH105" s="450">
        <v>0</v>
      </c>
      <c r="BI105" s="450">
        <v>0</v>
      </c>
      <c r="BJ105" s="452">
        <v>1.5579059884603446</v>
      </c>
      <c r="BK105" s="452">
        <v>12.220624692760646</v>
      </c>
      <c r="BL105" s="452">
        <v>8.574488341375115</v>
      </c>
      <c r="BM105" s="452">
        <v>7.292272702771062</v>
      </c>
      <c r="BN105" s="449">
        <v>2335</v>
      </c>
      <c r="BO105" s="449">
        <v>711</v>
      </c>
      <c r="BP105" s="447">
        <v>944394.8206747186</v>
      </c>
      <c r="BQ105" s="447">
        <v>3291046</v>
      </c>
      <c r="BR105" s="447">
        <v>4099067</v>
      </c>
      <c r="BS105" s="448">
        <v>0.10013131976362442</v>
      </c>
      <c r="BT105" s="449">
        <v>316</v>
      </c>
      <c r="BU105" s="449">
        <v>294</v>
      </c>
      <c r="BV105" s="447">
        <v>410444.98850952066</v>
      </c>
      <c r="BW105" s="448">
        <v>0.0076535376528093545</v>
      </c>
      <c r="BX105" s="447">
        <v>4502.873774566119</v>
      </c>
      <c r="BY105" s="447">
        <v>4650388.682958805</v>
      </c>
      <c r="BZ105" s="455">
        <v>1.0666666666666667</v>
      </c>
      <c r="CA105" s="447">
        <v>4960414.595156059</v>
      </c>
      <c r="CB105" s="447">
        <v>3730366.232269062</v>
      </c>
      <c r="CC105" s="447">
        <v>3725800.5604650523</v>
      </c>
      <c r="CD105" s="447">
        <v>3701089.548088134</v>
      </c>
      <c r="CE105" s="447">
        <v>3725800.5604650523</v>
      </c>
      <c r="CF105" s="454">
        <v>1223.1781222800566</v>
      </c>
      <c r="CG105" s="450">
        <v>3046</v>
      </c>
      <c r="CH105" s="450">
        <v>218</v>
      </c>
      <c r="CI105" s="450">
        <v>168</v>
      </c>
      <c r="CJ105" s="450">
        <v>56</v>
      </c>
      <c r="CK105" s="450">
        <v>8</v>
      </c>
      <c r="CL105" s="450">
        <v>582</v>
      </c>
      <c r="CM105" s="450">
        <v>60</v>
      </c>
      <c r="CN105" s="450">
        <v>222</v>
      </c>
      <c r="CO105" s="450">
        <v>0</v>
      </c>
      <c r="CP105" s="450">
        <v>30</v>
      </c>
      <c r="CQ105" s="450">
        <v>747</v>
      </c>
      <c r="CR105" s="450">
        <v>711</v>
      </c>
      <c r="CS105" s="450">
        <v>0</v>
      </c>
      <c r="CT105" s="450">
        <v>244</v>
      </c>
      <c r="CU105" s="450">
        <v>0</v>
      </c>
      <c r="CV105" s="450">
        <v>0</v>
      </c>
      <c r="CW105" s="447">
        <v>2268603.176130288</v>
      </c>
      <c r="CX105" s="452">
        <v>1.0412942372531862</v>
      </c>
      <c r="CY105" s="452">
        <v>1.0666666666666667</v>
      </c>
      <c r="CZ105" s="447">
        <v>2362283.4139187434</v>
      </c>
      <c r="DA105" s="454">
        <v>775.5362488242756</v>
      </c>
      <c r="DB105" s="449">
        <v>3046</v>
      </c>
      <c r="DC105" s="452">
        <v>0.9846355876559423</v>
      </c>
      <c r="DD105" s="454">
        <v>316.4</v>
      </c>
      <c r="DE105" s="447">
        <v>39273</v>
      </c>
      <c r="DF105" s="454">
        <v>50.58178073682926</v>
      </c>
      <c r="DG105" s="454">
        <v>52.756797308512915</v>
      </c>
      <c r="DH105" s="454">
        <v>53.91744684930019</v>
      </c>
      <c r="DI105" s="454">
        <v>55.10363067998478</v>
      </c>
      <c r="DJ105" s="454">
        <v>56.922050492424276</v>
      </c>
      <c r="DK105" s="454">
        <v>58.97124431015154</v>
      </c>
      <c r="DL105" s="454">
        <v>60.858324128076376</v>
      </c>
      <c r="DM105" s="454">
        <v>63.3535154173275</v>
      </c>
      <c r="DN105" s="454">
        <v>66.1410700956899</v>
      </c>
      <c r="DO105" s="454">
        <v>69.77882895095284</v>
      </c>
      <c r="DP105" s="454">
        <v>69.15081949039427</v>
      </c>
      <c r="DQ105" s="454">
        <v>72.67751128440437</v>
      </c>
      <c r="DR105" s="454">
        <v>77.11083947275304</v>
      </c>
      <c r="DS105" s="454">
        <v>43.57</v>
      </c>
      <c r="DT105" s="454">
        <v>45.467430684930015</v>
      </c>
      <c r="DU105" s="454">
        <v>47.42726043999694</v>
      </c>
      <c r="DV105" s="454">
        <v>49.983571341755265</v>
      </c>
      <c r="DW105" s="454">
        <v>52.80987482435746</v>
      </c>
      <c r="DX105" s="454">
        <v>55.55954637029347</v>
      </c>
      <c r="DY105" s="454">
        <v>58.9406933006459</v>
      </c>
      <c r="DZ105" s="454">
        <v>62.04597117140937</v>
      </c>
      <c r="EA105" s="454">
        <v>63.82309643719759</v>
      </c>
      <c r="EB105" s="454">
        <v>65.17120678461508</v>
      </c>
      <c r="EC105" s="454">
        <v>69.33145292138524</v>
      </c>
      <c r="ED105" s="454">
        <v>74.44821353038056</v>
      </c>
      <c r="EE105" s="454">
        <v>0</v>
      </c>
      <c r="EF105" s="454">
        <v>74.44821353038056</v>
      </c>
      <c r="EG105" s="454">
        <v>3871.307103579789</v>
      </c>
      <c r="EH105" s="447">
        <v>11556161.408753956</v>
      </c>
      <c r="EI105" s="454">
        <v>47.09</v>
      </c>
      <c r="EJ105" s="454">
        <v>48.70512668493001</v>
      </c>
      <c r="EK105" s="454">
        <v>50.36852738399694</v>
      </c>
      <c r="EL105" s="454">
        <v>52.64210900076327</v>
      </c>
      <c r="EM105" s="454">
        <v>55.170656265556566</v>
      </c>
      <c r="EN105" s="454">
        <v>57.5898184097247</v>
      </c>
      <c r="EO105" s="454">
        <v>60.631503855084226</v>
      </c>
      <c r="EP105" s="454">
        <v>63.615043365928145</v>
      </c>
      <c r="EQ105" s="454">
        <v>65.31946828670367</v>
      </c>
      <c r="ER105" s="454">
        <v>66.17108050478487</v>
      </c>
      <c r="ES105" s="454">
        <v>70.17214674530399</v>
      </c>
      <c r="ET105" s="454">
        <v>75.11719564076391</v>
      </c>
      <c r="EU105" s="447">
        <v>26701843</v>
      </c>
      <c r="EV105" s="447">
        <v>0</v>
      </c>
      <c r="EW105" s="447">
        <v>0</v>
      </c>
      <c r="EX105" s="447">
        <v>0</v>
      </c>
      <c r="EY105" s="447">
        <v>0</v>
      </c>
      <c r="EZ105" s="447">
        <v>0</v>
      </c>
      <c r="FA105" s="447">
        <v>0</v>
      </c>
      <c r="FB105" s="447">
        <v>0</v>
      </c>
      <c r="FC105" s="447">
        <v>0</v>
      </c>
      <c r="FD105" s="447">
        <v>26701843</v>
      </c>
      <c r="FE105" s="447">
        <v>53575.2422629407</v>
      </c>
      <c r="FF105" s="447">
        <v>0</v>
      </c>
      <c r="FG105" s="447">
        <v>0</v>
      </c>
      <c r="FH105" s="447">
        <v>40340</v>
      </c>
      <c r="FI105" s="456">
        <v>0.045899999999999996</v>
      </c>
      <c r="FJ105" s="447">
        <v>1851.6059999999998</v>
      </c>
      <c r="FK105" s="471">
        <v>1851.6059999999998</v>
      </c>
      <c r="FL105" s="446">
        <v>72.69</v>
      </c>
      <c r="FM105" s="450">
        <v>70.91</v>
      </c>
      <c r="FN105" s="450">
        <v>70.84</v>
      </c>
      <c r="FO105" s="450">
        <v>-0.07</v>
      </c>
      <c r="FP105" s="472">
        <v>71.54</v>
      </c>
      <c r="FQ105" s="446">
        <v>15716</v>
      </c>
      <c r="FR105" s="450">
        <v>72378</v>
      </c>
      <c r="FS105" s="450">
        <v>0</v>
      </c>
      <c r="FT105" s="450">
        <v>0</v>
      </c>
      <c r="FU105" s="450">
        <v>0</v>
      </c>
      <c r="FV105" s="450">
        <v>0</v>
      </c>
      <c r="FW105" s="450">
        <v>0</v>
      </c>
      <c r="FX105" s="450">
        <v>0</v>
      </c>
      <c r="FY105" s="450">
        <v>0</v>
      </c>
      <c r="FZ105" s="450">
        <v>0</v>
      </c>
      <c r="GA105" s="450">
        <v>0</v>
      </c>
      <c r="GB105" s="450">
        <v>0</v>
      </c>
      <c r="GC105" s="450">
        <v>0</v>
      </c>
      <c r="GD105" s="450">
        <v>0</v>
      </c>
      <c r="GE105" s="450">
        <v>0</v>
      </c>
      <c r="GF105" s="450">
        <v>0</v>
      </c>
      <c r="GG105" s="450">
        <v>0</v>
      </c>
      <c r="GH105" s="450">
        <v>0</v>
      </c>
      <c r="GI105" s="450">
        <v>0</v>
      </c>
      <c r="GJ105" s="450">
        <v>0</v>
      </c>
      <c r="GK105" s="450">
        <v>0</v>
      </c>
      <c r="GL105" s="450">
        <v>0</v>
      </c>
      <c r="GM105" s="450">
        <v>0</v>
      </c>
      <c r="GN105" s="450">
        <v>0</v>
      </c>
      <c r="GO105" s="450">
        <v>0</v>
      </c>
      <c r="GP105" s="450">
        <v>0</v>
      </c>
      <c r="GQ105" s="450">
        <v>0</v>
      </c>
      <c r="GR105" s="450">
        <v>0</v>
      </c>
      <c r="GS105" s="450">
        <v>0</v>
      </c>
      <c r="GT105" s="450">
        <v>0</v>
      </c>
      <c r="GU105" s="450">
        <v>0</v>
      </c>
      <c r="GV105" s="450">
        <v>0</v>
      </c>
      <c r="GW105" s="450">
        <v>0</v>
      </c>
      <c r="GX105" s="450">
        <v>22013159</v>
      </c>
      <c r="GY105" s="450">
        <v>22013159</v>
      </c>
      <c r="GZ105" s="450">
        <v>0</v>
      </c>
      <c r="HA105" s="450" t="s">
        <v>888</v>
      </c>
      <c r="HB105" s="450" t="s">
        <v>888</v>
      </c>
      <c r="HC105" s="450">
        <v>0</v>
      </c>
      <c r="HD105" s="450">
        <v>0</v>
      </c>
      <c r="HE105" s="450">
        <v>0</v>
      </c>
      <c r="HF105" s="450">
        <v>0</v>
      </c>
      <c r="HG105" s="472">
        <v>0</v>
      </c>
    </row>
    <row r="106" spans="2:215" ht="12.75">
      <c r="B106" s="445" t="s">
        <v>785</v>
      </c>
      <c r="C106" s="446">
        <v>1892</v>
      </c>
      <c r="D106" s="447">
        <v>471636</v>
      </c>
      <c r="E106" s="447">
        <v>404663.68799999997</v>
      </c>
      <c r="F106" s="447">
        <v>56728.83362837666</v>
      </c>
      <c r="G106" s="447">
        <v>66972.312</v>
      </c>
      <c r="H106" s="448">
        <v>0.4172093023255814</v>
      </c>
      <c r="I106" s="449">
        <v>636.35</v>
      </c>
      <c r="J106" s="449">
        <v>153.01</v>
      </c>
      <c r="K106" s="447">
        <v>461392.5216283766</v>
      </c>
      <c r="L106" s="447">
        <v>369114.0173027013</v>
      </c>
      <c r="M106" s="447">
        <v>113455.73824650414</v>
      </c>
      <c r="N106" s="447">
        <v>92278.5043256753</v>
      </c>
      <c r="O106" s="450">
        <v>1.2294926004228328</v>
      </c>
      <c r="P106" s="451">
        <v>0.8234672304439746</v>
      </c>
      <c r="Q106" s="452">
        <v>0.17653276955602537</v>
      </c>
      <c r="R106" s="447">
        <v>482569.75554920547</v>
      </c>
      <c r="S106" s="447">
        <v>326217.1547512629</v>
      </c>
      <c r="T106" s="447">
        <v>51357.84831737246</v>
      </c>
      <c r="U106" s="447">
        <v>77545.48320808438</v>
      </c>
      <c r="V106" s="447">
        <v>110025.90426521885</v>
      </c>
      <c r="W106" s="450">
        <v>0.7047929642201349</v>
      </c>
      <c r="X106" s="452">
        <v>12.372288834004522</v>
      </c>
      <c r="Y106" s="447">
        <v>51357.84831737246</v>
      </c>
      <c r="Z106" s="447">
        <v>46326.69653272373</v>
      </c>
      <c r="AA106" s="448">
        <v>1.1086015658615953</v>
      </c>
      <c r="AB106" s="448">
        <v>0.0872093023255814</v>
      </c>
      <c r="AC106" s="449">
        <v>174</v>
      </c>
      <c r="AD106" s="449">
        <v>156</v>
      </c>
      <c r="AE106" s="447">
        <v>455120.4862767197</v>
      </c>
      <c r="AF106" s="447">
        <v>0</v>
      </c>
      <c r="AG106" s="451">
        <v>0</v>
      </c>
      <c r="AH106" s="450">
        <v>0</v>
      </c>
      <c r="AI106" s="452">
        <v>0</v>
      </c>
      <c r="AJ106" s="447">
        <v>455120.4862767197</v>
      </c>
      <c r="AK106" s="453">
        <v>1</v>
      </c>
      <c r="AL106" s="447">
        <v>455120.4862767197</v>
      </c>
      <c r="AM106" s="447">
        <v>1070653.6202814667</v>
      </c>
      <c r="AN106" s="447">
        <v>1060086.057152923</v>
      </c>
      <c r="AO106" s="447">
        <v>1012770.6834038073</v>
      </c>
      <c r="AP106" s="447">
        <v>1060086.057152923</v>
      </c>
      <c r="AQ106" s="447">
        <v>7568</v>
      </c>
      <c r="AR106" s="447">
        <v>1067654.057152923</v>
      </c>
      <c r="AS106" s="454">
        <v>564.299184541714</v>
      </c>
      <c r="AT106" s="450">
        <v>1892</v>
      </c>
      <c r="AU106" s="450">
        <v>49</v>
      </c>
      <c r="AV106" s="450">
        <v>86</v>
      </c>
      <c r="AW106" s="450">
        <v>66</v>
      </c>
      <c r="AX106" s="450">
        <v>39</v>
      </c>
      <c r="AY106" s="450">
        <v>373</v>
      </c>
      <c r="AZ106" s="450">
        <v>66</v>
      </c>
      <c r="BA106" s="450">
        <v>106</v>
      </c>
      <c r="BB106" s="450">
        <v>108</v>
      </c>
      <c r="BC106" s="450">
        <v>36</v>
      </c>
      <c r="BD106" s="450">
        <v>345</v>
      </c>
      <c r="BE106" s="450">
        <v>334</v>
      </c>
      <c r="BF106" s="450">
        <v>0</v>
      </c>
      <c r="BG106" s="450">
        <v>284</v>
      </c>
      <c r="BH106" s="450">
        <v>0</v>
      </c>
      <c r="BI106" s="450">
        <v>0</v>
      </c>
      <c r="BJ106" s="452">
        <v>1.4150630764051184</v>
      </c>
      <c r="BK106" s="452">
        <v>9.965711203575282</v>
      </c>
      <c r="BL106" s="452">
        <v>6.245184157805518</v>
      </c>
      <c r="BM106" s="452">
        <v>7.441054091539528</v>
      </c>
      <c r="BN106" s="449">
        <v>1558</v>
      </c>
      <c r="BO106" s="449">
        <v>334</v>
      </c>
      <c r="BP106" s="447">
        <v>550023.6972940583</v>
      </c>
      <c r="BQ106" s="447">
        <v>2006137</v>
      </c>
      <c r="BR106" s="447">
        <v>2575275</v>
      </c>
      <c r="BS106" s="448">
        <v>0.0872093023255814</v>
      </c>
      <c r="BT106" s="449">
        <v>174</v>
      </c>
      <c r="BU106" s="449">
        <v>156</v>
      </c>
      <c r="BV106" s="447">
        <v>224587.93604651163</v>
      </c>
      <c r="BW106" s="448">
        <v>0.032016552421713355</v>
      </c>
      <c r="BX106" s="447">
        <v>9541.315099015263</v>
      </c>
      <c r="BY106" s="447">
        <v>2790289.948439585</v>
      </c>
      <c r="BZ106" s="455">
        <v>0.91</v>
      </c>
      <c r="CA106" s="447">
        <v>2539163.8530800226</v>
      </c>
      <c r="CB106" s="447">
        <v>1909520.0439450205</v>
      </c>
      <c r="CC106" s="447">
        <v>1907182.943166975</v>
      </c>
      <c r="CD106" s="447">
        <v>1874784.561927639</v>
      </c>
      <c r="CE106" s="447">
        <v>1907182.943166975</v>
      </c>
      <c r="CF106" s="454">
        <v>1008.0248113990353</v>
      </c>
      <c r="CG106" s="450">
        <v>1892</v>
      </c>
      <c r="CH106" s="450">
        <v>49</v>
      </c>
      <c r="CI106" s="450">
        <v>86</v>
      </c>
      <c r="CJ106" s="450">
        <v>66</v>
      </c>
      <c r="CK106" s="450">
        <v>39</v>
      </c>
      <c r="CL106" s="450">
        <v>373</v>
      </c>
      <c r="CM106" s="450">
        <v>66</v>
      </c>
      <c r="CN106" s="450">
        <v>106</v>
      </c>
      <c r="CO106" s="450">
        <v>108</v>
      </c>
      <c r="CP106" s="450">
        <v>36</v>
      </c>
      <c r="CQ106" s="450">
        <v>345</v>
      </c>
      <c r="CR106" s="450">
        <v>334</v>
      </c>
      <c r="CS106" s="450">
        <v>0</v>
      </c>
      <c r="CT106" s="450">
        <v>284</v>
      </c>
      <c r="CU106" s="450">
        <v>0</v>
      </c>
      <c r="CV106" s="450">
        <v>0</v>
      </c>
      <c r="CW106" s="447">
        <v>1389423.4211374132</v>
      </c>
      <c r="CX106" s="452">
        <v>0.8883541461566244</v>
      </c>
      <c r="CY106" s="452">
        <v>0.91</v>
      </c>
      <c r="CZ106" s="447">
        <v>1234300.0569345427</v>
      </c>
      <c r="DA106" s="454">
        <v>652.3784656102234</v>
      </c>
      <c r="DB106" s="449">
        <v>1892</v>
      </c>
      <c r="DC106" s="452">
        <v>1.0056025369978858</v>
      </c>
      <c r="DD106" s="454">
        <v>303.1</v>
      </c>
      <c r="DE106" s="447">
        <v>32566</v>
      </c>
      <c r="DF106" s="454">
        <v>47.55818201191095</v>
      </c>
      <c r="DG106" s="454">
        <v>49.60318383842312</v>
      </c>
      <c r="DH106" s="454">
        <v>50.694453882868416</v>
      </c>
      <c r="DI106" s="454">
        <v>51.80973186829151</v>
      </c>
      <c r="DJ106" s="454">
        <v>53.519453019945125</v>
      </c>
      <c r="DK106" s="454">
        <v>55.44615332866314</v>
      </c>
      <c r="DL106" s="454">
        <v>57.220430235180345</v>
      </c>
      <c r="DM106" s="454">
        <v>59.566467874822735</v>
      </c>
      <c r="DN106" s="454">
        <v>62.18739246131492</v>
      </c>
      <c r="DO106" s="454">
        <v>65.60769904668724</v>
      </c>
      <c r="DP106" s="454">
        <v>65.01722975526705</v>
      </c>
      <c r="DQ106" s="454">
        <v>68.33310847278567</v>
      </c>
      <c r="DR106" s="454">
        <v>72.50142808962559</v>
      </c>
      <c r="DS106" s="454">
        <v>38.68</v>
      </c>
      <c r="DT106" s="454">
        <v>40.647309388286835</v>
      </c>
      <c r="DU106" s="454">
        <v>42.68245926965829</v>
      </c>
      <c r="DV106" s="454">
        <v>45.26953949985552</v>
      </c>
      <c r="DW106" s="454">
        <v>48.12023012282357</v>
      </c>
      <c r="DX106" s="454">
        <v>50.92013627815832</v>
      </c>
      <c r="DY106" s="454">
        <v>54.31958306741479</v>
      </c>
      <c r="DZ106" s="454">
        <v>57.31828336004035</v>
      </c>
      <c r="EA106" s="454">
        <v>59.03638283413763</v>
      </c>
      <c r="EB106" s="454">
        <v>60.62628482401693</v>
      </c>
      <c r="EC106" s="454">
        <v>64.64120197459056</v>
      </c>
      <c r="ED106" s="454">
        <v>69.56359349368684</v>
      </c>
      <c r="EE106" s="454">
        <v>0</v>
      </c>
      <c r="EF106" s="454">
        <v>69.56359349368684</v>
      </c>
      <c r="EG106" s="454">
        <v>3617.3068616717155</v>
      </c>
      <c r="EH106" s="447">
        <v>6707065.690637228</v>
      </c>
      <c r="EI106" s="454">
        <v>38.68</v>
      </c>
      <c r="EJ106" s="454">
        <v>40.647309388286835</v>
      </c>
      <c r="EK106" s="454">
        <v>42.68245926965829</v>
      </c>
      <c r="EL106" s="454">
        <v>45.26953949985552</v>
      </c>
      <c r="EM106" s="454">
        <v>48.12023012282357</v>
      </c>
      <c r="EN106" s="454">
        <v>50.92013627815832</v>
      </c>
      <c r="EO106" s="454">
        <v>54.31958306741479</v>
      </c>
      <c r="EP106" s="454">
        <v>57.31828336004035</v>
      </c>
      <c r="EQ106" s="454">
        <v>59.03638283413763</v>
      </c>
      <c r="ER106" s="454">
        <v>60.62628482401693</v>
      </c>
      <c r="ES106" s="454">
        <v>64.64120197459056</v>
      </c>
      <c r="ET106" s="454">
        <v>69.56359349368684</v>
      </c>
      <c r="EU106" s="447">
        <v>5931224</v>
      </c>
      <c r="EV106" s="447">
        <v>0</v>
      </c>
      <c r="EW106" s="447">
        <v>0</v>
      </c>
      <c r="EX106" s="447">
        <v>0</v>
      </c>
      <c r="EY106" s="447">
        <v>0</v>
      </c>
      <c r="EZ106" s="447">
        <v>0</v>
      </c>
      <c r="FA106" s="447">
        <v>0</v>
      </c>
      <c r="FB106" s="447">
        <v>0</v>
      </c>
      <c r="FC106" s="447">
        <v>0</v>
      </c>
      <c r="FD106" s="447">
        <v>5931224</v>
      </c>
      <c r="FE106" s="447">
        <v>43421.84999745539</v>
      </c>
      <c r="FF106" s="447">
        <v>0</v>
      </c>
      <c r="FG106" s="447">
        <v>0</v>
      </c>
      <c r="FH106" s="447">
        <v>3773</v>
      </c>
      <c r="FI106" s="456">
        <v>0.04650000000000001</v>
      </c>
      <c r="FJ106" s="447">
        <v>175.44450000000003</v>
      </c>
      <c r="FK106" s="471">
        <v>175.44450000000003</v>
      </c>
      <c r="FL106" s="446">
        <v>68.33</v>
      </c>
      <c r="FM106" s="450">
        <v>64.04</v>
      </c>
      <c r="FN106" s="450">
        <v>62.87</v>
      </c>
      <c r="FO106" s="450">
        <v>-1.17</v>
      </c>
      <c r="FP106" s="472">
        <v>64.04</v>
      </c>
      <c r="FQ106" s="446">
        <v>0</v>
      </c>
      <c r="FR106" s="450">
        <v>0</v>
      </c>
      <c r="FS106" s="450">
        <v>0</v>
      </c>
      <c r="FT106" s="450">
        <v>0</v>
      </c>
      <c r="FU106" s="450">
        <v>0</v>
      </c>
      <c r="FV106" s="450">
        <v>0</v>
      </c>
      <c r="FW106" s="450">
        <v>0</v>
      </c>
      <c r="FX106" s="450">
        <v>0</v>
      </c>
      <c r="FY106" s="450">
        <v>0</v>
      </c>
      <c r="FZ106" s="450">
        <v>0</v>
      </c>
      <c r="GA106" s="450">
        <v>0</v>
      </c>
      <c r="GB106" s="450">
        <v>0</v>
      </c>
      <c r="GC106" s="450">
        <v>0</v>
      </c>
      <c r="GD106" s="450">
        <v>0</v>
      </c>
      <c r="GE106" s="450">
        <v>0</v>
      </c>
      <c r="GF106" s="450">
        <v>0</v>
      </c>
      <c r="GG106" s="450">
        <v>0</v>
      </c>
      <c r="GH106" s="450">
        <v>0</v>
      </c>
      <c r="GI106" s="450">
        <v>0</v>
      </c>
      <c r="GJ106" s="450">
        <v>0</v>
      </c>
      <c r="GK106" s="450">
        <v>0</v>
      </c>
      <c r="GL106" s="450">
        <v>0</v>
      </c>
      <c r="GM106" s="450">
        <v>0</v>
      </c>
      <c r="GN106" s="450">
        <v>0</v>
      </c>
      <c r="GO106" s="450">
        <v>0</v>
      </c>
      <c r="GP106" s="450">
        <v>0</v>
      </c>
      <c r="GQ106" s="450">
        <v>0</v>
      </c>
      <c r="GR106" s="450">
        <v>0</v>
      </c>
      <c r="GS106" s="450">
        <v>0</v>
      </c>
      <c r="GT106" s="450">
        <v>0</v>
      </c>
      <c r="GU106" s="450">
        <v>0</v>
      </c>
      <c r="GV106" s="450">
        <v>0</v>
      </c>
      <c r="GW106" s="450">
        <v>0</v>
      </c>
      <c r="GX106" s="450">
        <v>4296356</v>
      </c>
      <c r="GY106" s="450">
        <v>4282103</v>
      </c>
      <c r="GZ106" s="450">
        <v>0</v>
      </c>
      <c r="HA106" s="450" t="s">
        <v>888</v>
      </c>
      <c r="HB106" s="450" t="s">
        <v>888</v>
      </c>
      <c r="HC106" s="450">
        <v>0</v>
      </c>
      <c r="HD106" s="450">
        <v>0</v>
      </c>
      <c r="HE106" s="450">
        <v>0</v>
      </c>
      <c r="HF106" s="450">
        <v>0</v>
      </c>
      <c r="HG106" s="472">
        <v>0</v>
      </c>
    </row>
    <row r="107" spans="2:215" ht="12.75">
      <c r="B107" s="445" t="s">
        <v>786</v>
      </c>
      <c r="C107" s="446">
        <v>3082</v>
      </c>
      <c r="D107" s="447">
        <v>748906</v>
      </c>
      <c r="E107" s="447">
        <v>642561.348</v>
      </c>
      <c r="F107" s="447">
        <v>59587.17088746869</v>
      </c>
      <c r="G107" s="447">
        <v>106344.65200000002</v>
      </c>
      <c r="H107" s="448">
        <v>0.27598312783906553</v>
      </c>
      <c r="I107" s="449">
        <v>526.88</v>
      </c>
      <c r="J107" s="449">
        <v>323.7</v>
      </c>
      <c r="K107" s="447">
        <v>702148.5188874687</v>
      </c>
      <c r="L107" s="447">
        <v>561718.815109975</v>
      </c>
      <c r="M107" s="447">
        <v>148367.03486056946</v>
      </c>
      <c r="N107" s="447">
        <v>140429.7037774937</v>
      </c>
      <c r="O107" s="450">
        <v>1.056521739130435</v>
      </c>
      <c r="P107" s="451">
        <v>0.9565217391304348</v>
      </c>
      <c r="Q107" s="452">
        <v>0.043478260869565216</v>
      </c>
      <c r="R107" s="447">
        <v>710085.8499705445</v>
      </c>
      <c r="S107" s="447">
        <v>480018.0345800881</v>
      </c>
      <c r="T107" s="447">
        <v>54967.86822321996</v>
      </c>
      <c r="U107" s="447">
        <v>76931.53099857339</v>
      </c>
      <c r="V107" s="447">
        <v>161899.57379328413</v>
      </c>
      <c r="W107" s="450">
        <v>0.47518056531020125</v>
      </c>
      <c r="X107" s="452">
        <v>8.341557735084159</v>
      </c>
      <c r="Y107" s="447">
        <v>54967.86822321996</v>
      </c>
      <c r="Z107" s="447">
        <v>68168.24159717227</v>
      </c>
      <c r="AA107" s="448">
        <v>0.8063559648207226</v>
      </c>
      <c r="AB107" s="448">
        <v>0.06343283582089553</v>
      </c>
      <c r="AC107" s="449">
        <v>196</v>
      </c>
      <c r="AD107" s="449">
        <v>195</v>
      </c>
      <c r="AE107" s="447">
        <v>611917.4338018815</v>
      </c>
      <c r="AF107" s="447">
        <v>0</v>
      </c>
      <c r="AG107" s="451">
        <v>0</v>
      </c>
      <c r="AH107" s="450">
        <v>0.03229338750844053</v>
      </c>
      <c r="AI107" s="452">
        <v>0.027194581925868988</v>
      </c>
      <c r="AJ107" s="447">
        <v>611917.4338018815</v>
      </c>
      <c r="AK107" s="453">
        <v>1</v>
      </c>
      <c r="AL107" s="447">
        <v>611917.4338018815</v>
      </c>
      <c r="AM107" s="447">
        <v>1439512.4710228662</v>
      </c>
      <c r="AN107" s="447">
        <v>1425304.19803551</v>
      </c>
      <c r="AO107" s="447">
        <v>1363865.6574304535</v>
      </c>
      <c r="AP107" s="447">
        <v>1425304.19803551</v>
      </c>
      <c r="AQ107" s="447">
        <v>12328</v>
      </c>
      <c r="AR107" s="447">
        <v>1437632.19803551</v>
      </c>
      <c r="AS107" s="454">
        <v>466.4608040348832</v>
      </c>
      <c r="AT107" s="450">
        <v>3082</v>
      </c>
      <c r="AU107" s="450">
        <v>48</v>
      </c>
      <c r="AV107" s="450">
        <v>137</v>
      </c>
      <c r="AW107" s="450">
        <v>176</v>
      </c>
      <c r="AX107" s="450">
        <v>44</v>
      </c>
      <c r="AY107" s="450">
        <v>346</v>
      </c>
      <c r="AZ107" s="450">
        <v>161</v>
      </c>
      <c r="BA107" s="450">
        <v>258</v>
      </c>
      <c r="BB107" s="450">
        <v>303</v>
      </c>
      <c r="BC107" s="450">
        <v>14</v>
      </c>
      <c r="BD107" s="450">
        <v>444</v>
      </c>
      <c r="BE107" s="450">
        <v>134</v>
      </c>
      <c r="BF107" s="450">
        <v>0</v>
      </c>
      <c r="BG107" s="450">
        <v>1017</v>
      </c>
      <c r="BH107" s="450">
        <v>0</v>
      </c>
      <c r="BI107" s="450">
        <v>0</v>
      </c>
      <c r="BJ107" s="452">
        <v>1.2317904802312318</v>
      </c>
      <c r="BK107" s="452">
        <v>7.179524960258905</v>
      </c>
      <c r="BL107" s="452">
        <v>4.94403028164496</v>
      </c>
      <c r="BM107" s="452">
        <v>4.470989357227889</v>
      </c>
      <c r="BN107" s="449">
        <v>2948</v>
      </c>
      <c r="BO107" s="449">
        <v>134</v>
      </c>
      <c r="BP107" s="447">
        <v>820403.2545960061</v>
      </c>
      <c r="BQ107" s="447">
        <v>3114968</v>
      </c>
      <c r="BR107" s="447">
        <v>4154459</v>
      </c>
      <c r="BS107" s="448">
        <v>0.06343283582089553</v>
      </c>
      <c r="BT107" s="449">
        <v>196</v>
      </c>
      <c r="BU107" s="449">
        <v>195</v>
      </c>
      <c r="BV107" s="447">
        <v>263529.1156716418</v>
      </c>
      <c r="BW107" s="448">
        <v>0.005687833425521369</v>
      </c>
      <c r="BX107" s="447">
        <v>1989.2046111263044</v>
      </c>
      <c r="BY107" s="447">
        <v>4200889.574878775</v>
      </c>
      <c r="BZ107" s="455">
        <v>1.0133333333333334</v>
      </c>
      <c r="CA107" s="447">
        <v>4256901.435877158</v>
      </c>
      <c r="CB107" s="447">
        <v>3201305.2671042397</v>
      </c>
      <c r="CC107" s="447">
        <v>3197387.123875403</v>
      </c>
      <c r="CD107" s="447">
        <v>3048929.3149610315</v>
      </c>
      <c r="CE107" s="447">
        <v>3197387.123875403</v>
      </c>
      <c r="CF107" s="454">
        <v>1037.4390408421164</v>
      </c>
      <c r="CG107" s="450">
        <v>3082</v>
      </c>
      <c r="CH107" s="450">
        <v>48</v>
      </c>
      <c r="CI107" s="450">
        <v>137</v>
      </c>
      <c r="CJ107" s="450">
        <v>176</v>
      </c>
      <c r="CK107" s="450">
        <v>44</v>
      </c>
      <c r="CL107" s="450">
        <v>346</v>
      </c>
      <c r="CM107" s="450">
        <v>161</v>
      </c>
      <c r="CN107" s="450">
        <v>258</v>
      </c>
      <c r="CO107" s="450">
        <v>303</v>
      </c>
      <c r="CP107" s="450">
        <v>14</v>
      </c>
      <c r="CQ107" s="450">
        <v>444</v>
      </c>
      <c r="CR107" s="450">
        <v>134</v>
      </c>
      <c r="CS107" s="450">
        <v>0</v>
      </c>
      <c r="CT107" s="450">
        <v>1017</v>
      </c>
      <c r="CU107" s="450">
        <v>0</v>
      </c>
      <c r="CV107" s="450">
        <v>0</v>
      </c>
      <c r="CW107" s="447">
        <v>2117469.2615636988</v>
      </c>
      <c r="CX107" s="452">
        <v>0.9892295253905269</v>
      </c>
      <c r="CY107" s="452">
        <v>1.0133333333333334</v>
      </c>
      <c r="CZ107" s="447">
        <v>2094663.112645687</v>
      </c>
      <c r="DA107" s="454">
        <v>679.6440988467511</v>
      </c>
      <c r="DB107" s="449">
        <v>3082</v>
      </c>
      <c r="DC107" s="452">
        <v>1.008306294613887</v>
      </c>
      <c r="DD107" s="454">
        <v>278</v>
      </c>
      <c r="DE107" s="447">
        <v>44445</v>
      </c>
      <c r="DF107" s="454">
        <v>48.5114650679168</v>
      </c>
      <c r="DG107" s="454">
        <v>50.59745806583722</v>
      </c>
      <c r="DH107" s="454">
        <v>51.710602143285634</v>
      </c>
      <c r="DI107" s="454">
        <v>52.84823539043791</v>
      </c>
      <c r="DJ107" s="454">
        <v>54.59222715832235</v>
      </c>
      <c r="DK107" s="454">
        <v>56.55754733602195</v>
      </c>
      <c r="DL107" s="454">
        <v>58.36738885077464</v>
      </c>
      <c r="DM107" s="454">
        <v>60.760451793656394</v>
      </c>
      <c r="DN107" s="454">
        <v>63.43391167257727</v>
      </c>
      <c r="DO107" s="454">
        <v>66.92277681456902</v>
      </c>
      <c r="DP107" s="454">
        <v>66.3204718232379</v>
      </c>
      <c r="DQ107" s="454">
        <v>69.70281588622302</v>
      </c>
      <c r="DR107" s="454">
        <v>73.95468765528263</v>
      </c>
      <c r="DS107" s="454">
        <v>43.05</v>
      </c>
      <c r="DT107" s="454">
        <v>44.76845021432855</v>
      </c>
      <c r="DU107" s="454">
        <v>46.541676038087566</v>
      </c>
      <c r="DV107" s="454">
        <v>48.89188582371669</v>
      </c>
      <c r="DW107" s="454">
        <v>51.49564423089212</v>
      </c>
      <c r="DX107" s="454">
        <v>54.014152180362984</v>
      </c>
      <c r="DY107" s="454">
        <v>57.13507629453757</v>
      </c>
      <c r="DZ107" s="454">
        <v>60.069563209395</v>
      </c>
      <c r="EA107" s="454">
        <v>61.74785856833097</v>
      </c>
      <c r="EB107" s="454">
        <v>62.86259819366612</v>
      </c>
      <c r="EC107" s="454">
        <v>66.79543573847907</v>
      </c>
      <c r="ED107" s="454">
        <v>71.64113990271537</v>
      </c>
      <c r="EE107" s="454">
        <v>-0.01</v>
      </c>
      <c r="EF107" s="454">
        <v>71.63113990271536</v>
      </c>
      <c r="EG107" s="454">
        <v>3724.8192749411987</v>
      </c>
      <c r="EH107" s="447">
        <v>11250295.1452614</v>
      </c>
      <c r="EI107" s="454">
        <v>45.44</v>
      </c>
      <c r="EJ107" s="454">
        <v>46.96677221432855</v>
      </c>
      <c r="EK107" s="454">
        <v>48.538729446087565</v>
      </c>
      <c r="EL107" s="454">
        <v>50.69697247287269</v>
      </c>
      <c r="EM107" s="454">
        <v>53.098561175342645</v>
      </c>
      <c r="EN107" s="454">
        <v>55.39266075259044</v>
      </c>
      <c r="EO107" s="454">
        <v>58.283098233488595</v>
      </c>
      <c r="EP107" s="454">
        <v>61.134927568741546</v>
      </c>
      <c r="EQ107" s="454">
        <v>62.763861045694455</v>
      </c>
      <c r="ER107" s="454">
        <v>63.54148972525867</v>
      </c>
      <c r="ES107" s="454">
        <v>67.3662477382421</v>
      </c>
      <c r="ET107" s="454">
        <v>72.0953635515268</v>
      </c>
      <c r="EU107" s="447">
        <v>7146769</v>
      </c>
      <c r="EV107" s="447">
        <v>0</v>
      </c>
      <c r="EW107" s="447">
        <v>0</v>
      </c>
      <c r="EX107" s="447">
        <v>6601</v>
      </c>
      <c r="EY107" s="447">
        <v>0</v>
      </c>
      <c r="EZ107" s="447">
        <v>0</v>
      </c>
      <c r="FA107" s="447">
        <v>0</v>
      </c>
      <c r="FB107" s="447">
        <v>0</v>
      </c>
      <c r="FC107" s="447">
        <v>0</v>
      </c>
      <c r="FD107" s="447">
        <v>7153370</v>
      </c>
      <c r="FE107" s="447">
        <v>44019.27695635796</v>
      </c>
      <c r="FF107" s="447">
        <v>0</v>
      </c>
      <c r="FG107" s="447">
        <v>0</v>
      </c>
      <c r="FH107" s="447">
        <v>3694</v>
      </c>
      <c r="FI107" s="456">
        <v>0.0313</v>
      </c>
      <c r="FJ107" s="447">
        <v>115.6222</v>
      </c>
      <c r="FK107" s="471">
        <v>115.6222</v>
      </c>
      <c r="FL107" s="446">
        <v>69.66</v>
      </c>
      <c r="FM107" s="450">
        <v>68.52</v>
      </c>
      <c r="FN107" s="450">
        <v>68.51</v>
      </c>
      <c r="FO107" s="450">
        <v>-0.01</v>
      </c>
      <c r="FP107" s="472">
        <v>67.36</v>
      </c>
      <c r="FQ107" s="446">
        <v>105013</v>
      </c>
      <c r="FR107" s="450">
        <v>0</v>
      </c>
      <c r="FS107" s="450">
        <v>38792</v>
      </c>
      <c r="FT107" s="450">
        <v>35494</v>
      </c>
      <c r="FU107" s="450">
        <v>32075</v>
      </c>
      <c r="FV107" s="450">
        <v>15555</v>
      </c>
      <c r="FW107" s="450">
        <v>0</v>
      </c>
      <c r="FX107" s="450">
        <v>0</v>
      </c>
      <c r="FY107" s="450">
        <v>0</v>
      </c>
      <c r="FZ107" s="450">
        <v>0</v>
      </c>
      <c r="GA107" s="450">
        <v>0</v>
      </c>
      <c r="GB107" s="450">
        <v>0</v>
      </c>
      <c r="GC107" s="450">
        <v>0</v>
      </c>
      <c r="GD107" s="450">
        <v>0</v>
      </c>
      <c r="GE107" s="450">
        <v>0</v>
      </c>
      <c r="GF107" s="450">
        <v>0</v>
      </c>
      <c r="GG107" s="450">
        <v>0</v>
      </c>
      <c r="GH107" s="450">
        <v>0</v>
      </c>
      <c r="GI107" s="450">
        <v>0</v>
      </c>
      <c r="GJ107" s="450">
        <v>0</v>
      </c>
      <c r="GK107" s="450">
        <v>0</v>
      </c>
      <c r="GL107" s="450">
        <v>0</v>
      </c>
      <c r="GM107" s="450">
        <v>0</v>
      </c>
      <c r="GN107" s="450">
        <v>0</v>
      </c>
      <c r="GO107" s="450">
        <v>0</v>
      </c>
      <c r="GP107" s="450">
        <v>0</v>
      </c>
      <c r="GQ107" s="450">
        <v>0</v>
      </c>
      <c r="GR107" s="450">
        <v>0</v>
      </c>
      <c r="GS107" s="450">
        <v>0</v>
      </c>
      <c r="GT107" s="450">
        <v>0</v>
      </c>
      <c r="GU107" s="450">
        <v>0</v>
      </c>
      <c r="GV107" s="450">
        <v>0</v>
      </c>
      <c r="GW107" s="450">
        <v>0</v>
      </c>
      <c r="GX107" s="450">
        <v>-139000</v>
      </c>
      <c r="GY107" s="450">
        <v>-139000</v>
      </c>
      <c r="GZ107" s="450">
        <v>0</v>
      </c>
      <c r="HA107" s="450" t="s">
        <v>888</v>
      </c>
      <c r="HB107" s="450" t="s">
        <v>888</v>
      </c>
      <c r="HC107" s="450">
        <v>0</v>
      </c>
      <c r="HD107" s="450">
        <v>0</v>
      </c>
      <c r="HE107" s="450">
        <v>0</v>
      </c>
      <c r="HF107" s="450">
        <v>0</v>
      </c>
      <c r="HG107" s="472">
        <v>0</v>
      </c>
    </row>
    <row r="108" spans="2:215" ht="12.75">
      <c r="B108" s="445" t="s">
        <v>787</v>
      </c>
      <c r="C108" s="446">
        <v>3423</v>
      </c>
      <c r="D108" s="447">
        <v>828359</v>
      </c>
      <c r="E108" s="447">
        <v>710732.022</v>
      </c>
      <c r="F108" s="447">
        <v>48543.691881674364</v>
      </c>
      <c r="G108" s="447">
        <v>117626.97800000002</v>
      </c>
      <c r="H108" s="448">
        <v>0.20326906222611743</v>
      </c>
      <c r="I108" s="449">
        <v>293.7</v>
      </c>
      <c r="J108" s="449">
        <v>402.09</v>
      </c>
      <c r="K108" s="447">
        <v>759275.7138816743</v>
      </c>
      <c r="L108" s="447">
        <v>607420.5711053394</v>
      </c>
      <c r="M108" s="447">
        <v>154277.37204761378</v>
      </c>
      <c r="N108" s="447">
        <v>151855.14277633483</v>
      </c>
      <c r="O108" s="450">
        <v>1.0159509202453987</v>
      </c>
      <c r="P108" s="451">
        <v>0.9877300613496932</v>
      </c>
      <c r="Q108" s="452">
        <v>0.012269938650306749</v>
      </c>
      <c r="R108" s="447">
        <v>761697.9431529532</v>
      </c>
      <c r="S108" s="447">
        <v>514907.8095713964</v>
      </c>
      <c r="T108" s="447">
        <v>70333.06705649008</v>
      </c>
      <c r="U108" s="447">
        <v>67357.80273252494</v>
      </c>
      <c r="V108" s="447">
        <v>173667.13103887334</v>
      </c>
      <c r="W108" s="450">
        <v>0.3878557924553247</v>
      </c>
      <c r="X108" s="452">
        <v>6.808614917869945</v>
      </c>
      <c r="Y108" s="447">
        <v>70333.06705649008</v>
      </c>
      <c r="Z108" s="447">
        <v>73123.0025426835</v>
      </c>
      <c r="AA108" s="448">
        <v>0.9618459938845525</v>
      </c>
      <c r="AB108" s="448">
        <v>0.07566462167689161</v>
      </c>
      <c r="AC108" s="449">
        <v>248</v>
      </c>
      <c r="AD108" s="449">
        <v>270</v>
      </c>
      <c r="AE108" s="447">
        <v>652598.6793604115</v>
      </c>
      <c r="AF108" s="447">
        <v>0</v>
      </c>
      <c r="AG108" s="451">
        <v>0</v>
      </c>
      <c r="AH108" s="450">
        <v>0.0010690829745886967</v>
      </c>
      <c r="AI108" s="452">
        <v>0.000900285376701504</v>
      </c>
      <c r="AJ108" s="447">
        <v>652598.6793604115</v>
      </c>
      <c r="AK108" s="453">
        <v>1</v>
      </c>
      <c r="AL108" s="447">
        <v>652598.6793604115</v>
      </c>
      <c r="AM108" s="447">
        <v>1535213.5527103143</v>
      </c>
      <c r="AN108" s="447">
        <v>1520060.6911062063</v>
      </c>
      <c r="AO108" s="447">
        <v>1440066.8019175043</v>
      </c>
      <c r="AP108" s="447">
        <v>1520060.6911062063</v>
      </c>
      <c r="AQ108" s="447">
        <v>13692</v>
      </c>
      <c r="AR108" s="447">
        <v>1533752.6911062063</v>
      </c>
      <c r="AS108" s="454">
        <v>448.07265296704827</v>
      </c>
      <c r="AT108" s="450">
        <v>3414</v>
      </c>
      <c r="AU108" s="450">
        <v>21</v>
      </c>
      <c r="AV108" s="450">
        <v>531</v>
      </c>
      <c r="AW108" s="450">
        <v>128</v>
      </c>
      <c r="AX108" s="450">
        <v>0</v>
      </c>
      <c r="AY108" s="450">
        <v>517</v>
      </c>
      <c r="AZ108" s="450">
        <v>100</v>
      </c>
      <c r="BA108" s="450">
        <v>242</v>
      </c>
      <c r="BB108" s="450">
        <v>69</v>
      </c>
      <c r="BC108" s="450">
        <v>0</v>
      </c>
      <c r="BD108" s="450">
        <v>287</v>
      </c>
      <c r="BE108" s="450">
        <v>42</v>
      </c>
      <c r="BF108" s="450">
        <v>0</v>
      </c>
      <c r="BG108" s="450">
        <v>1477</v>
      </c>
      <c r="BH108" s="450">
        <v>0</v>
      </c>
      <c r="BI108" s="450">
        <v>0</v>
      </c>
      <c r="BJ108" s="452">
        <v>1.1403894467473834</v>
      </c>
      <c r="BK108" s="452">
        <v>4.66552530705585</v>
      </c>
      <c r="BL108" s="452">
        <v>2.9627291579644655</v>
      </c>
      <c r="BM108" s="452">
        <v>3.4055922981827695</v>
      </c>
      <c r="BN108" s="449">
        <v>3372</v>
      </c>
      <c r="BO108" s="449">
        <v>42</v>
      </c>
      <c r="BP108" s="447">
        <v>917463.8369183114</v>
      </c>
      <c r="BQ108" s="447">
        <v>3328558</v>
      </c>
      <c r="BR108" s="447">
        <v>4570904</v>
      </c>
      <c r="BS108" s="448">
        <v>0.07586408904510837</v>
      </c>
      <c r="BT108" s="449">
        <v>248</v>
      </c>
      <c r="BU108" s="449">
        <v>270</v>
      </c>
      <c r="BV108" s="447">
        <v>346767.46807264205</v>
      </c>
      <c r="BW108" s="448">
        <v>0.01054441973615329</v>
      </c>
      <c r="BX108" s="447">
        <v>2654.550524094882</v>
      </c>
      <c r="BY108" s="447">
        <v>4595443.855515048</v>
      </c>
      <c r="BZ108" s="455">
        <v>0.9566666666666667</v>
      </c>
      <c r="CA108" s="447">
        <v>4396307.955109396</v>
      </c>
      <c r="CB108" s="447">
        <v>3306142.748311946</v>
      </c>
      <c r="CC108" s="447">
        <v>3302096.2923378856</v>
      </c>
      <c r="CD108" s="447">
        <v>3200354.3755358206</v>
      </c>
      <c r="CE108" s="447">
        <v>3302096.2923378856</v>
      </c>
      <c r="CF108" s="454">
        <v>967.2221125770022</v>
      </c>
      <c r="CG108" s="450">
        <v>3414</v>
      </c>
      <c r="CH108" s="450">
        <v>21</v>
      </c>
      <c r="CI108" s="450">
        <v>531</v>
      </c>
      <c r="CJ108" s="450">
        <v>128</v>
      </c>
      <c r="CK108" s="450">
        <v>0</v>
      </c>
      <c r="CL108" s="450">
        <v>517</v>
      </c>
      <c r="CM108" s="450">
        <v>100</v>
      </c>
      <c r="CN108" s="450">
        <v>242</v>
      </c>
      <c r="CO108" s="450">
        <v>69</v>
      </c>
      <c r="CP108" s="450">
        <v>0</v>
      </c>
      <c r="CQ108" s="450">
        <v>287</v>
      </c>
      <c r="CR108" s="450">
        <v>42</v>
      </c>
      <c r="CS108" s="450">
        <v>0</v>
      </c>
      <c r="CT108" s="450">
        <v>1477</v>
      </c>
      <c r="CU108" s="450">
        <v>0</v>
      </c>
      <c r="CV108" s="450">
        <v>0</v>
      </c>
      <c r="CW108" s="447">
        <v>2253164.249573874</v>
      </c>
      <c r="CX108" s="452">
        <v>0.9339107690364513</v>
      </c>
      <c r="CY108" s="452">
        <v>0.9566666666666667</v>
      </c>
      <c r="CZ108" s="447">
        <v>2104254.357084975</v>
      </c>
      <c r="DA108" s="454">
        <v>616.3603857893893</v>
      </c>
      <c r="DB108" s="449">
        <v>3423</v>
      </c>
      <c r="DC108" s="452">
        <v>1.014957639497517</v>
      </c>
      <c r="DD108" s="454">
        <v>304.3</v>
      </c>
      <c r="DE108" s="447">
        <v>41007</v>
      </c>
      <c r="DF108" s="454">
        <v>50.828192940889664</v>
      </c>
      <c r="DG108" s="454">
        <v>53.01380523734792</v>
      </c>
      <c r="DH108" s="454">
        <v>54.18010895256956</v>
      </c>
      <c r="DI108" s="454">
        <v>55.37207134952608</v>
      </c>
      <c r="DJ108" s="454">
        <v>57.19934970406044</v>
      </c>
      <c r="DK108" s="454">
        <v>59.258526293406604</v>
      </c>
      <c r="DL108" s="454">
        <v>61.1547991347956</v>
      </c>
      <c r="DM108" s="454">
        <v>63.66214589932222</v>
      </c>
      <c r="DN108" s="454">
        <v>66.46328031889239</v>
      </c>
      <c r="DO108" s="454">
        <v>70.11876073643147</v>
      </c>
      <c r="DP108" s="454">
        <v>69.48769188980359</v>
      </c>
      <c r="DQ108" s="454">
        <v>73.03156417618356</v>
      </c>
      <c r="DR108" s="454">
        <v>77.48648959093076</v>
      </c>
      <c r="DS108" s="454">
        <v>43.92</v>
      </c>
      <c r="DT108" s="454">
        <v>45.81562689525695</v>
      </c>
      <c r="DU108" s="454">
        <v>47.7734040939052</v>
      </c>
      <c r="DV108" s="454">
        <v>50.33110433838611</v>
      </c>
      <c r="DW108" s="454">
        <v>53.15952440868781</v>
      </c>
      <c r="DX108" s="454">
        <v>55.90965751393744</v>
      </c>
      <c r="DY108" s="454">
        <v>59.29399195747154</v>
      </c>
      <c r="DZ108" s="454">
        <v>62.409633460854955</v>
      </c>
      <c r="EA108" s="454">
        <v>64.19257115959745</v>
      </c>
      <c r="EB108" s="454">
        <v>65.52781973598273</v>
      </c>
      <c r="EC108" s="454">
        <v>69.70210366925099</v>
      </c>
      <c r="ED108" s="454">
        <v>74.83707139253917</v>
      </c>
      <c r="EE108" s="454">
        <v>-0.67</v>
      </c>
      <c r="EF108" s="454">
        <v>74.16707139253917</v>
      </c>
      <c r="EG108" s="454">
        <v>3856.687712412037</v>
      </c>
      <c r="EH108" s="447">
        <v>12937413.198794674</v>
      </c>
      <c r="EI108" s="454">
        <v>46.55</v>
      </c>
      <c r="EJ108" s="454">
        <v>48.23470089525694</v>
      </c>
      <c r="EK108" s="454">
        <v>49.9709984299052</v>
      </c>
      <c r="EL108" s="454">
        <v>52.317454918838116</v>
      </c>
      <c r="EM108" s="454">
        <v>54.92340372412918</v>
      </c>
      <c r="EN108" s="454">
        <v>57.42659372521702</v>
      </c>
      <c r="EO108" s="454">
        <v>60.55729643422517</v>
      </c>
      <c r="EP108" s="454">
        <v>63.581980015282326</v>
      </c>
      <c r="EQ108" s="454">
        <v>65.31059899033635</v>
      </c>
      <c r="ER108" s="454">
        <v>66.27488447576869</v>
      </c>
      <c r="ES108" s="454">
        <v>70.33023570246301</v>
      </c>
      <c r="ET108" s="454">
        <v>75.33690745796763</v>
      </c>
      <c r="EU108" s="447">
        <v>20508243</v>
      </c>
      <c r="EV108" s="447">
        <v>0</v>
      </c>
      <c r="EW108" s="447">
        <v>0</v>
      </c>
      <c r="EX108" s="447">
        <v>0</v>
      </c>
      <c r="EY108" s="447">
        <v>0</v>
      </c>
      <c r="EZ108" s="447">
        <v>0</v>
      </c>
      <c r="FA108" s="447">
        <v>0</v>
      </c>
      <c r="FB108" s="447">
        <v>0</v>
      </c>
      <c r="FC108" s="447">
        <v>0</v>
      </c>
      <c r="FD108" s="447">
        <v>20508243</v>
      </c>
      <c r="FE108" s="447">
        <v>50547.59776493562</v>
      </c>
      <c r="FF108" s="447">
        <v>0</v>
      </c>
      <c r="FG108" s="447">
        <v>0</v>
      </c>
      <c r="FH108" s="447">
        <v>13000</v>
      </c>
      <c r="FI108" s="456">
        <v>0.08800000000000001</v>
      </c>
      <c r="FJ108" s="447">
        <v>1144</v>
      </c>
      <c r="FK108" s="471">
        <v>1144</v>
      </c>
      <c r="FL108" s="446">
        <v>73.04</v>
      </c>
      <c r="FM108" s="450">
        <v>70.48</v>
      </c>
      <c r="FN108" s="450">
        <v>69.81</v>
      </c>
      <c r="FO108" s="450">
        <v>-0.67</v>
      </c>
      <c r="FP108" s="472">
        <v>69.81</v>
      </c>
      <c r="FQ108" s="446">
        <v>214</v>
      </c>
      <c r="FR108" s="450">
        <v>49286</v>
      </c>
      <c r="FS108" s="450">
        <v>0</v>
      </c>
      <c r="FT108" s="450">
        <v>0</v>
      </c>
      <c r="FU108" s="450">
        <v>0</v>
      </c>
      <c r="FV108" s="450">
        <v>0</v>
      </c>
      <c r="FW108" s="450">
        <v>0</v>
      </c>
      <c r="FX108" s="450">
        <v>0</v>
      </c>
      <c r="FY108" s="450">
        <v>0</v>
      </c>
      <c r="FZ108" s="450">
        <v>0</v>
      </c>
      <c r="GA108" s="450">
        <v>0</v>
      </c>
      <c r="GB108" s="450">
        <v>0</v>
      </c>
      <c r="GC108" s="450">
        <v>0</v>
      </c>
      <c r="GD108" s="450">
        <v>0</v>
      </c>
      <c r="GE108" s="450">
        <v>0</v>
      </c>
      <c r="GF108" s="450">
        <v>0</v>
      </c>
      <c r="GG108" s="450">
        <v>0</v>
      </c>
      <c r="GH108" s="450">
        <v>0</v>
      </c>
      <c r="GI108" s="450">
        <v>0</v>
      </c>
      <c r="GJ108" s="450">
        <v>0</v>
      </c>
      <c r="GK108" s="450">
        <v>0</v>
      </c>
      <c r="GL108" s="450">
        <v>0</v>
      </c>
      <c r="GM108" s="450">
        <v>0</v>
      </c>
      <c r="GN108" s="450">
        <v>0</v>
      </c>
      <c r="GO108" s="450">
        <v>0</v>
      </c>
      <c r="GP108" s="450">
        <v>0</v>
      </c>
      <c r="GQ108" s="450">
        <v>0</v>
      </c>
      <c r="GR108" s="450">
        <v>0</v>
      </c>
      <c r="GS108" s="450">
        <v>0</v>
      </c>
      <c r="GT108" s="450">
        <v>0</v>
      </c>
      <c r="GU108" s="450">
        <v>0</v>
      </c>
      <c r="GV108" s="450">
        <v>0</v>
      </c>
      <c r="GW108" s="450">
        <v>0</v>
      </c>
      <c r="GX108" s="450">
        <v>25106724</v>
      </c>
      <c r="GY108" s="450">
        <v>33644174</v>
      </c>
      <c r="GZ108" s="450">
        <v>6</v>
      </c>
      <c r="HA108" s="450" t="s">
        <v>888</v>
      </c>
      <c r="HB108" s="450" t="s">
        <v>888</v>
      </c>
      <c r="HC108" s="450">
        <v>0</v>
      </c>
      <c r="HD108" s="450">
        <v>18</v>
      </c>
      <c r="HE108" s="450">
        <v>20</v>
      </c>
      <c r="HF108" s="450">
        <v>19</v>
      </c>
      <c r="HG108" s="472">
        <v>20</v>
      </c>
    </row>
    <row r="109" spans="2:215" ht="12.75">
      <c r="B109" s="445" t="s">
        <v>788</v>
      </c>
      <c r="C109" s="446">
        <v>12479.15</v>
      </c>
      <c r="D109" s="447">
        <v>2938441.95</v>
      </c>
      <c r="E109" s="447">
        <v>2521183.1931</v>
      </c>
      <c r="F109" s="447">
        <v>288793.7786838004</v>
      </c>
      <c r="G109" s="447">
        <v>417258.7569</v>
      </c>
      <c r="H109" s="448">
        <v>0.3409006222378928</v>
      </c>
      <c r="I109" s="449">
        <v>3082.07</v>
      </c>
      <c r="J109" s="449">
        <v>1172.08</v>
      </c>
      <c r="K109" s="447">
        <v>2809976.9717838</v>
      </c>
      <c r="L109" s="447">
        <v>2247981.5774270403</v>
      </c>
      <c r="M109" s="447">
        <v>640907.5341869273</v>
      </c>
      <c r="N109" s="447">
        <v>561995.3943567598</v>
      </c>
      <c r="O109" s="450">
        <v>1.1404142109037876</v>
      </c>
      <c r="P109" s="451">
        <v>0.8919678022942268</v>
      </c>
      <c r="Q109" s="452">
        <v>0.10802017765633076</v>
      </c>
      <c r="R109" s="447">
        <v>2888889.1116139675</v>
      </c>
      <c r="S109" s="447">
        <v>1952889.0394510422</v>
      </c>
      <c r="T109" s="447">
        <v>245075.13980928628</v>
      </c>
      <c r="U109" s="447">
        <v>954407.992669828</v>
      </c>
      <c r="V109" s="447">
        <v>658666.7174479846</v>
      </c>
      <c r="W109" s="450">
        <v>1.4489998771574462</v>
      </c>
      <c r="X109" s="452">
        <v>25.43646987234898</v>
      </c>
      <c r="Y109" s="447">
        <v>245075.13980928628</v>
      </c>
      <c r="Z109" s="447">
        <v>277333.3547149409</v>
      </c>
      <c r="AA109" s="448">
        <v>0.883684330221255</v>
      </c>
      <c r="AB109" s="448">
        <v>0.06951595260895173</v>
      </c>
      <c r="AC109" s="449">
        <v>790</v>
      </c>
      <c r="AD109" s="449">
        <v>945</v>
      </c>
      <c r="AE109" s="447">
        <v>3152372.1719301566</v>
      </c>
      <c r="AF109" s="447">
        <v>54694.99369557816</v>
      </c>
      <c r="AG109" s="451">
        <v>0.25</v>
      </c>
      <c r="AH109" s="450">
        <v>0.11806066352119794</v>
      </c>
      <c r="AI109" s="452">
        <v>0.09942005574703217</v>
      </c>
      <c r="AJ109" s="447">
        <v>3207067.1656257347</v>
      </c>
      <c r="AK109" s="453">
        <v>1.08</v>
      </c>
      <c r="AL109" s="447">
        <v>3463632.5388757936</v>
      </c>
      <c r="AM109" s="447">
        <v>8148063.708161287</v>
      </c>
      <c r="AN109" s="447">
        <v>8067640.7067532735</v>
      </c>
      <c r="AO109" s="447">
        <v>7823234.40901464</v>
      </c>
      <c r="AP109" s="447">
        <v>8067640.7067532735</v>
      </c>
      <c r="AQ109" s="447">
        <v>49916.6</v>
      </c>
      <c r="AR109" s="447">
        <v>8117557.306753273</v>
      </c>
      <c r="AS109" s="454">
        <v>650.4896011950552</v>
      </c>
      <c r="AT109" s="450">
        <v>11477</v>
      </c>
      <c r="AU109" s="450">
        <v>143</v>
      </c>
      <c r="AV109" s="450">
        <v>197</v>
      </c>
      <c r="AW109" s="450">
        <v>14</v>
      </c>
      <c r="AX109" s="450">
        <v>362</v>
      </c>
      <c r="AY109" s="450">
        <v>476</v>
      </c>
      <c r="AZ109" s="450">
        <v>912</v>
      </c>
      <c r="BA109" s="450">
        <v>2611</v>
      </c>
      <c r="BB109" s="450">
        <v>695</v>
      </c>
      <c r="BC109" s="450">
        <v>41</v>
      </c>
      <c r="BD109" s="450">
        <v>2005</v>
      </c>
      <c r="BE109" s="450">
        <v>1166</v>
      </c>
      <c r="BF109" s="450">
        <v>170</v>
      </c>
      <c r="BG109" s="450">
        <v>2653</v>
      </c>
      <c r="BH109" s="450">
        <v>20</v>
      </c>
      <c r="BI109" s="450">
        <v>12</v>
      </c>
      <c r="BJ109" s="452">
        <v>1.654444047322966</v>
      </c>
      <c r="BK109" s="452">
        <v>17.490304487179486</v>
      </c>
      <c r="BL109" s="452">
        <v>11.677564102564103</v>
      </c>
      <c r="BM109" s="452">
        <v>11.62548076923077</v>
      </c>
      <c r="BN109" s="449">
        <v>10141</v>
      </c>
      <c r="BO109" s="449">
        <v>1336</v>
      </c>
      <c r="BP109" s="447">
        <v>3928224.2604291425</v>
      </c>
      <c r="BQ109" s="447">
        <v>11751367</v>
      </c>
      <c r="BR109" s="447">
        <v>15544624</v>
      </c>
      <c r="BS109" s="448">
        <v>0.07558595451773112</v>
      </c>
      <c r="BT109" s="449">
        <v>790</v>
      </c>
      <c r="BU109" s="449">
        <v>945</v>
      </c>
      <c r="BV109" s="447">
        <v>1174955.2426592316</v>
      </c>
      <c r="BW109" s="448">
        <v>0.008346179679440449</v>
      </c>
      <c r="BX109" s="447">
        <v>26479.984465135625</v>
      </c>
      <c r="BY109" s="447">
        <v>16881026.48755351</v>
      </c>
      <c r="BZ109" s="455">
        <v>1.0466666666666666</v>
      </c>
      <c r="CA109" s="447">
        <v>17668807.72363934</v>
      </c>
      <c r="CB109" s="447">
        <v>13287422.337859113</v>
      </c>
      <c r="CC109" s="447">
        <v>13271159.588912066</v>
      </c>
      <c r="CD109" s="447">
        <v>13030132.99672291</v>
      </c>
      <c r="CE109" s="447">
        <v>13271159.588912066</v>
      </c>
      <c r="CF109" s="454">
        <v>1156.3265303574162</v>
      </c>
      <c r="CG109" s="450">
        <v>11477</v>
      </c>
      <c r="CH109" s="450">
        <v>143</v>
      </c>
      <c r="CI109" s="450">
        <v>197</v>
      </c>
      <c r="CJ109" s="450">
        <v>14</v>
      </c>
      <c r="CK109" s="450">
        <v>362</v>
      </c>
      <c r="CL109" s="450">
        <v>476</v>
      </c>
      <c r="CM109" s="450">
        <v>912</v>
      </c>
      <c r="CN109" s="450">
        <v>2611</v>
      </c>
      <c r="CO109" s="450">
        <v>695</v>
      </c>
      <c r="CP109" s="450">
        <v>41</v>
      </c>
      <c r="CQ109" s="450">
        <v>2005</v>
      </c>
      <c r="CR109" s="450">
        <v>1166</v>
      </c>
      <c r="CS109" s="450">
        <v>170</v>
      </c>
      <c r="CT109" s="450">
        <v>2653</v>
      </c>
      <c r="CU109" s="450">
        <v>20</v>
      </c>
      <c r="CV109" s="450">
        <v>12</v>
      </c>
      <c r="CW109" s="447">
        <v>8138455.002235383</v>
      </c>
      <c r="CX109" s="452">
        <v>1.0217699703046887</v>
      </c>
      <c r="CY109" s="452">
        <v>1.0466666666666666</v>
      </c>
      <c r="CZ109" s="447">
        <v>8315628.925960093</v>
      </c>
      <c r="DA109" s="454">
        <v>724.5472619987883</v>
      </c>
      <c r="DB109" s="449">
        <v>12479.15</v>
      </c>
      <c r="DC109" s="452">
        <v>1.0147506040074843</v>
      </c>
      <c r="DD109" s="454">
        <v>328.3</v>
      </c>
      <c r="DE109" s="447">
        <v>38573</v>
      </c>
      <c r="DF109" s="454">
        <v>52.9618573467042</v>
      </c>
      <c r="DG109" s="454">
        <v>55.23921721261247</v>
      </c>
      <c r="DH109" s="454">
        <v>56.454479991289936</v>
      </c>
      <c r="DI109" s="454">
        <v>57.6964785510983</v>
      </c>
      <c r="DJ109" s="454">
        <v>59.60046234328454</v>
      </c>
      <c r="DK109" s="454">
        <v>61.746078987642775</v>
      </c>
      <c r="DL109" s="454">
        <v>63.721953515247336</v>
      </c>
      <c r="DM109" s="454">
        <v>66.33455360937248</v>
      </c>
      <c r="DN109" s="454">
        <v>69.25327396818486</v>
      </c>
      <c r="DO109" s="454">
        <v>73.06220403643502</v>
      </c>
      <c r="DP109" s="454">
        <v>72.4046442001071</v>
      </c>
      <c r="DQ109" s="454">
        <v>76.09728105431256</v>
      </c>
      <c r="DR109" s="454">
        <v>80.73921519862562</v>
      </c>
      <c r="DS109" s="454">
        <v>41.89</v>
      </c>
      <c r="DT109" s="454">
        <v>44.175869999128984</v>
      </c>
      <c r="DU109" s="454">
        <v>46.54204351821965</v>
      </c>
      <c r="DV109" s="454">
        <v>49.51824737794135</v>
      </c>
      <c r="DW109" s="454">
        <v>52.793072098418016</v>
      </c>
      <c r="DX109" s="454">
        <v>56.022367590514044</v>
      </c>
      <c r="DY109" s="454">
        <v>59.92233845125459</v>
      </c>
      <c r="DZ109" s="454">
        <v>63.302738301451456</v>
      </c>
      <c r="EA109" s="454">
        <v>65.24052502924654</v>
      </c>
      <c r="EB109" s="454">
        <v>67.17820847861647</v>
      </c>
      <c r="EC109" s="454">
        <v>71.70289389968323</v>
      </c>
      <c r="ED109" s="454">
        <v>77.24238162032933</v>
      </c>
      <c r="EE109" s="454">
        <v>0</v>
      </c>
      <c r="EF109" s="454">
        <v>77.24238162032933</v>
      </c>
      <c r="EG109" s="454">
        <v>4016.603844257125</v>
      </c>
      <c r="EH109" s="447">
        <v>49121325.825800076</v>
      </c>
      <c r="EI109" s="454">
        <v>42.26</v>
      </c>
      <c r="EJ109" s="454">
        <v>44.51619599912898</v>
      </c>
      <c r="EK109" s="454">
        <v>46.851210782219646</v>
      </c>
      <c r="EL109" s="454">
        <v>49.797695938689344</v>
      </c>
      <c r="EM109" s="454">
        <v>53.04122242036224</v>
      </c>
      <c r="EN109" s="454">
        <v>56.23577686738608</v>
      </c>
      <c r="EO109" s="454">
        <v>60.10006569703362</v>
      </c>
      <c r="EP109" s="454">
        <v>63.4676691855344</v>
      </c>
      <c r="EQ109" s="454">
        <v>65.3978141157003</v>
      </c>
      <c r="ER109" s="454">
        <v>67.28330884124796</v>
      </c>
      <c r="ES109" s="454">
        <v>71.7912622845838</v>
      </c>
      <c r="ET109" s="454">
        <v>77.31270076261396</v>
      </c>
      <c r="EU109" s="447">
        <v>88881749</v>
      </c>
      <c r="EV109" s="447">
        <v>0</v>
      </c>
      <c r="EW109" s="447">
        <v>0</v>
      </c>
      <c r="EX109" s="447">
        <v>50400</v>
      </c>
      <c r="EY109" s="447">
        <v>0</v>
      </c>
      <c r="EZ109" s="447">
        <v>0</v>
      </c>
      <c r="FA109" s="447">
        <v>0</v>
      </c>
      <c r="FB109" s="447">
        <v>0</v>
      </c>
      <c r="FC109" s="447">
        <v>0</v>
      </c>
      <c r="FD109" s="447">
        <v>88932149</v>
      </c>
      <c r="FE109" s="447">
        <v>83995.55412842645</v>
      </c>
      <c r="FF109" s="447">
        <v>0</v>
      </c>
      <c r="FG109" s="447">
        <v>0</v>
      </c>
      <c r="FH109" s="447">
        <v>27000</v>
      </c>
      <c r="FI109" s="456">
        <v>0.053399999999999996</v>
      </c>
      <c r="FJ109" s="447">
        <v>1441.8</v>
      </c>
      <c r="FK109" s="471">
        <v>1441.8</v>
      </c>
      <c r="FL109" s="446">
        <v>76.1</v>
      </c>
      <c r="FM109" s="450">
        <v>73.58</v>
      </c>
      <c r="FN109" s="450">
        <v>73.4</v>
      </c>
      <c r="FO109" s="450">
        <v>-0.18</v>
      </c>
      <c r="FP109" s="472">
        <v>74.68</v>
      </c>
      <c r="FQ109" s="446">
        <v>38155</v>
      </c>
      <c r="FR109" s="450">
        <v>123668</v>
      </c>
      <c r="FS109" s="450">
        <v>0</v>
      </c>
      <c r="FT109" s="450">
        <v>0</v>
      </c>
      <c r="FU109" s="450">
        <v>0</v>
      </c>
      <c r="FV109" s="450">
        <v>0</v>
      </c>
      <c r="FW109" s="450">
        <v>0</v>
      </c>
      <c r="FX109" s="450">
        <v>0</v>
      </c>
      <c r="FY109" s="450">
        <v>0</v>
      </c>
      <c r="FZ109" s="450">
        <v>0</v>
      </c>
      <c r="GA109" s="450">
        <v>0</v>
      </c>
      <c r="GB109" s="450">
        <v>0</v>
      </c>
      <c r="GC109" s="450">
        <v>0</v>
      </c>
      <c r="GD109" s="450">
        <v>0</v>
      </c>
      <c r="GE109" s="450">
        <v>0</v>
      </c>
      <c r="GF109" s="450">
        <v>0</v>
      </c>
      <c r="GG109" s="450">
        <v>0</v>
      </c>
      <c r="GH109" s="450">
        <v>0</v>
      </c>
      <c r="GI109" s="450">
        <v>0</v>
      </c>
      <c r="GJ109" s="450">
        <v>0</v>
      </c>
      <c r="GK109" s="450">
        <v>0</v>
      </c>
      <c r="GL109" s="450">
        <v>0</v>
      </c>
      <c r="GM109" s="450">
        <v>0</v>
      </c>
      <c r="GN109" s="450">
        <v>0</v>
      </c>
      <c r="GO109" s="450">
        <v>0</v>
      </c>
      <c r="GP109" s="450">
        <v>0</v>
      </c>
      <c r="GQ109" s="450">
        <v>0</v>
      </c>
      <c r="GR109" s="450">
        <v>0</v>
      </c>
      <c r="GS109" s="450">
        <v>0</v>
      </c>
      <c r="GT109" s="450">
        <v>0</v>
      </c>
      <c r="GU109" s="450">
        <v>0</v>
      </c>
      <c r="GV109" s="450">
        <v>0</v>
      </c>
      <c r="GW109" s="450">
        <v>0</v>
      </c>
      <c r="GX109" s="450">
        <v>83719037</v>
      </c>
      <c r="GY109" s="450">
        <v>83622620</v>
      </c>
      <c r="GZ109" s="450">
        <v>13</v>
      </c>
      <c r="HA109" s="450" t="s">
        <v>888</v>
      </c>
      <c r="HB109" s="450" t="s">
        <v>888</v>
      </c>
      <c r="HC109" s="450">
        <v>0</v>
      </c>
      <c r="HD109" s="450">
        <v>0</v>
      </c>
      <c r="HE109" s="450">
        <v>0</v>
      </c>
      <c r="HF109" s="450">
        <v>0</v>
      </c>
      <c r="HG109" s="472">
        <v>0</v>
      </c>
    </row>
    <row r="110" spans="2:215" ht="12.75">
      <c r="B110" s="445" t="s">
        <v>789</v>
      </c>
      <c r="C110" s="446">
        <v>8151</v>
      </c>
      <c r="D110" s="447">
        <v>1929983</v>
      </c>
      <c r="E110" s="447">
        <v>1655925.4139999999</v>
      </c>
      <c r="F110" s="447">
        <v>133448.06548168804</v>
      </c>
      <c r="G110" s="447">
        <v>274057.586</v>
      </c>
      <c r="H110" s="448">
        <v>0.23983682983682986</v>
      </c>
      <c r="I110" s="449">
        <v>1048.42</v>
      </c>
      <c r="J110" s="449">
        <v>906.49</v>
      </c>
      <c r="K110" s="447">
        <v>1789373.479481688</v>
      </c>
      <c r="L110" s="447">
        <v>1431498.7835853505</v>
      </c>
      <c r="M110" s="447">
        <v>367920.3013951821</v>
      </c>
      <c r="N110" s="447">
        <v>357874.6958963375</v>
      </c>
      <c r="O110" s="450">
        <v>1.0280701754385966</v>
      </c>
      <c r="P110" s="451">
        <v>0.9784075573549258</v>
      </c>
      <c r="Q110" s="452">
        <v>0.021592442645074223</v>
      </c>
      <c r="R110" s="447">
        <v>1799419.0849805325</v>
      </c>
      <c r="S110" s="447">
        <v>1216407.3014468402</v>
      </c>
      <c r="T110" s="447">
        <v>140764.01075820022</v>
      </c>
      <c r="U110" s="447">
        <v>185425.27527286313</v>
      </c>
      <c r="V110" s="447">
        <v>410267.55137556145</v>
      </c>
      <c r="W110" s="450">
        <v>0.4519618347860118</v>
      </c>
      <c r="X110" s="452">
        <v>7.933964505600013</v>
      </c>
      <c r="Y110" s="447">
        <v>140764.01075820022</v>
      </c>
      <c r="Z110" s="447">
        <v>172744.2321581311</v>
      </c>
      <c r="AA110" s="448">
        <v>0.8148695270435657</v>
      </c>
      <c r="AB110" s="448">
        <v>0.0641025641025641</v>
      </c>
      <c r="AC110" s="449">
        <v>512</v>
      </c>
      <c r="AD110" s="449">
        <v>533</v>
      </c>
      <c r="AE110" s="447">
        <v>1542596.5874779036</v>
      </c>
      <c r="AF110" s="447">
        <v>0</v>
      </c>
      <c r="AG110" s="451">
        <v>0</v>
      </c>
      <c r="AH110" s="450">
        <v>0.10366119925595933</v>
      </c>
      <c r="AI110" s="452">
        <v>0.08729412406682968</v>
      </c>
      <c r="AJ110" s="447">
        <v>1542596.5874779036</v>
      </c>
      <c r="AK110" s="453">
        <v>1</v>
      </c>
      <c r="AL110" s="447">
        <v>1542596.5874779036</v>
      </c>
      <c r="AM110" s="447">
        <v>3628899.754718723</v>
      </c>
      <c r="AN110" s="447">
        <v>3593081.7959328876</v>
      </c>
      <c r="AO110" s="447">
        <v>3544581.257808065</v>
      </c>
      <c r="AP110" s="447">
        <v>3593081.7959328876</v>
      </c>
      <c r="AQ110" s="447">
        <v>32604</v>
      </c>
      <c r="AR110" s="447">
        <v>3625685.7959328876</v>
      </c>
      <c r="AS110" s="454">
        <v>444.8148443053475</v>
      </c>
      <c r="AT110" s="450">
        <v>8151</v>
      </c>
      <c r="AU110" s="450">
        <v>46</v>
      </c>
      <c r="AV110" s="450">
        <v>540</v>
      </c>
      <c r="AW110" s="450">
        <v>211</v>
      </c>
      <c r="AX110" s="450">
        <v>24</v>
      </c>
      <c r="AY110" s="450">
        <v>1030</v>
      </c>
      <c r="AZ110" s="450">
        <v>274</v>
      </c>
      <c r="BA110" s="450">
        <v>299</v>
      </c>
      <c r="BB110" s="450">
        <v>2702</v>
      </c>
      <c r="BC110" s="450">
        <v>0</v>
      </c>
      <c r="BD110" s="450">
        <v>1002</v>
      </c>
      <c r="BE110" s="450">
        <v>176</v>
      </c>
      <c r="BF110" s="450">
        <v>0</v>
      </c>
      <c r="BG110" s="450">
        <v>1847</v>
      </c>
      <c r="BH110" s="450">
        <v>0</v>
      </c>
      <c r="BI110" s="450">
        <v>0</v>
      </c>
      <c r="BJ110" s="452">
        <v>1.2658870450128643</v>
      </c>
      <c r="BK110" s="452">
        <v>8.648240542377547</v>
      </c>
      <c r="BL110" s="452">
        <v>5.544943602715329</v>
      </c>
      <c r="BM110" s="452">
        <v>6.206593879324437</v>
      </c>
      <c r="BN110" s="449">
        <v>7975</v>
      </c>
      <c r="BO110" s="449">
        <v>176</v>
      </c>
      <c r="BP110" s="447">
        <v>2276388.9740166534</v>
      </c>
      <c r="BQ110" s="447">
        <v>8579900</v>
      </c>
      <c r="BR110" s="447">
        <v>11600852</v>
      </c>
      <c r="BS110" s="448">
        <v>0.0641025641025641</v>
      </c>
      <c r="BT110" s="449">
        <v>512</v>
      </c>
      <c r="BU110" s="449">
        <v>533</v>
      </c>
      <c r="BV110" s="447">
        <v>743644.3589743589</v>
      </c>
      <c r="BW110" s="448">
        <v>0.006638993357471113</v>
      </c>
      <c r="BX110" s="447">
        <v>7396.821389201704</v>
      </c>
      <c r="BY110" s="447">
        <v>11607330.154380213</v>
      </c>
      <c r="BZ110" s="455">
        <v>0.9133333333333334</v>
      </c>
      <c r="CA110" s="447">
        <v>10601361.541000595</v>
      </c>
      <c r="CB110" s="447">
        <v>7972511.238726477</v>
      </c>
      <c r="CC110" s="447">
        <v>7962753.518571568</v>
      </c>
      <c r="CD110" s="447">
        <v>7896973.938225146</v>
      </c>
      <c r="CE110" s="447">
        <v>7962753.518571568</v>
      </c>
      <c r="CF110" s="454">
        <v>976.905105946702</v>
      </c>
      <c r="CG110" s="450">
        <v>8151</v>
      </c>
      <c r="CH110" s="450">
        <v>46</v>
      </c>
      <c r="CI110" s="450">
        <v>540</v>
      </c>
      <c r="CJ110" s="450">
        <v>211</v>
      </c>
      <c r="CK110" s="450">
        <v>24</v>
      </c>
      <c r="CL110" s="450">
        <v>1030</v>
      </c>
      <c r="CM110" s="450">
        <v>274</v>
      </c>
      <c r="CN110" s="450">
        <v>299</v>
      </c>
      <c r="CO110" s="450">
        <v>2702</v>
      </c>
      <c r="CP110" s="450">
        <v>0</v>
      </c>
      <c r="CQ110" s="450">
        <v>1002</v>
      </c>
      <c r="CR110" s="450">
        <v>176</v>
      </c>
      <c r="CS110" s="450">
        <v>0</v>
      </c>
      <c r="CT110" s="450">
        <v>1847</v>
      </c>
      <c r="CU110" s="450">
        <v>0</v>
      </c>
      <c r="CV110" s="450">
        <v>0</v>
      </c>
      <c r="CW110" s="447">
        <v>5571870.332147832</v>
      </c>
      <c r="CX110" s="452">
        <v>0.8916081906480408</v>
      </c>
      <c r="CY110" s="452">
        <v>0.9133333333333334</v>
      </c>
      <c r="CZ110" s="447">
        <v>4967925.225371826</v>
      </c>
      <c r="DA110" s="454">
        <v>609.4865937151056</v>
      </c>
      <c r="DB110" s="449">
        <v>8151</v>
      </c>
      <c r="DC110" s="452">
        <v>1.0296037296037295</v>
      </c>
      <c r="DD110" s="454">
        <v>321.1</v>
      </c>
      <c r="DE110" s="447">
        <v>30847</v>
      </c>
      <c r="DF110" s="454">
        <v>50.11061253629639</v>
      </c>
      <c r="DG110" s="454">
        <v>52.265368875357126</v>
      </c>
      <c r="DH110" s="454">
        <v>53.41520699061497</v>
      </c>
      <c r="DI110" s="454">
        <v>54.59034154440849</v>
      </c>
      <c r="DJ110" s="454">
        <v>56.39182281537396</v>
      </c>
      <c r="DK110" s="454">
        <v>58.42192843672741</v>
      </c>
      <c r="DL110" s="454">
        <v>60.29143014670268</v>
      </c>
      <c r="DM110" s="454">
        <v>62.76337878271749</v>
      </c>
      <c r="DN110" s="454">
        <v>65.52496744915705</v>
      </c>
      <c r="DO110" s="454">
        <v>69.12884065886068</v>
      </c>
      <c r="DP110" s="454">
        <v>68.50668109293093</v>
      </c>
      <c r="DQ110" s="454">
        <v>72.0005218286704</v>
      </c>
      <c r="DR110" s="454">
        <v>76.39255366021929</v>
      </c>
      <c r="DS110" s="454">
        <v>35.9</v>
      </c>
      <c r="DT110" s="454">
        <v>38.36234069906149</v>
      </c>
      <c r="DU110" s="454">
        <v>40.91564878888168</v>
      </c>
      <c r="DV110" s="454">
        <v>44.03160990097217</v>
      </c>
      <c r="DW110" s="454">
        <v>47.446059368738624</v>
      </c>
      <c r="DX110" s="454">
        <v>50.85218274823232</v>
      </c>
      <c r="DY110" s="454">
        <v>54.902373549271374</v>
      </c>
      <c r="DZ110" s="454">
        <v>58.22995459251905</v>
      </c>
      <c r="EA110" s="454">
        <v>60.14055607365638</v>
      </c>
      <c r="EB110" s="454">
        <v>62.5007210442174</v>
      </c>
      <c r="EC110" s="454">
        <v>66.95071061971207</v>
      </c>
      <c r="ED110" s="454">
        <v>72.3741663906907</v>
      </c>
      <c r="EE110" s="454">
        <v>-3.58</v>
      </c>
      <c r="EF110" s="454">
        <v>68.7941663906907</v>
      </c>
      <c r="EG110" s="454">
        <v>3577.2966523159166</v>
      </c>
      <c r="EH110" s="447">
        <v>28575374.112766493</v>
      </c>
      <c r="EI110" s="454">
        <v>36.37</v>
      </c>
      <c r="EJ110" s="454">
        <v>38.79464669906149</v>
      </c>
      <c r="EK110" s="454">
        <v>41.308374772881685</v>
      </c>
      <c r="EL110" s="454">
        <v>44.386585099760175</v>
      </c>
      <c r="EM110" s="454">
        <v>47.76127734526238</v>
      </c>
      <c r="EN110" s="454">
        <v>51.12327020804275</v>
      </c>
      <c r="EO110" s="454">
        <v>55.12813518580149</v>
      </c>
      <c r="EP110" s="454">
        <v>58.439461391219005</v>
      </c>
      <c r="EQ110" s="454">
        <v>60.340355724016575</v>
      </c>
      <c r="ER110" s="454">
        <v>62.63422691026281</v>
      </c>
      <c r="ES110" s="454">
        <v>67.06296235188304</v>
      </c>
      <c r="ET110" s="454">
        <v>72.46349070656575</v>
      </c>
      <c r="EU110" s="447">
        <v>51061946</v>
      </c>
      <c r="EV110" s="447">
        <v>0</v>
      </c>
      <c r="EW110" s="447">
        <v>0</v>
      </c>
      <c r="EX110" s="447">
        <v>0</v>
      </c>
      <c r="EY110" s="447">
        <v>0</v>
      </c>
      <c r="EZ110" s="447">
        <v>0</v>
      </c>
      <c r="FA110" s="447">
        <v>0</v>
      </c>
      <c r="FB110" s="447">
        <v>0</v>
      </c>
      <c r="FC110" s="447">
        <v>0</v>
      </c>
      <c r="FD110" s="447">
        <v>51061946</v>
      </c>
      <c r="FE110" s="447">
        <v>65483.29764572084</v>
      </c>
      <c r="FF110" s="447">
        <v>0</v>
      </c>
      <c r="FG110" s="447">
        <v>0</v>
      </c>
      <c r="FH110" s="447">
        <v>34933</v>
      </c>
      <c r="FI110" s="456">
        <v>0.07139999999999999</v>
      </c>
      <c r="FJ110" s="447">
        <v>2494.2162</v>
      </c>
      <c r="FK110" s="471">
        <v>2494.2162</v>
      </c>
      <c r="FL110" s="446">
        <v>71.96</v>
      </c>
      <c r="FM110" s="450">
        <v>66.49</v>
      </c>
      <c r="FN110" s="450">
        <v>62.91</v>
      </c>
      <c r="FO110" s="450">
        <v>-3.58</v>
      </c>
      <c r="FP110" s="472">
        <v>62.74</v>
      </c>
      <c r="FQ110" s="446">
        <v>0</v>
      </c>
      <c r="FR110" s="450">
        <v>0</v>
      </c>
      <c r="FS110" s="450">
        <v>0</v>
      </c>
      <c r="FT110" s="450">
        <v>0</v>
      </c>
      <c r="FU110" s="450">
        <v>0</v>
      </c>
      <c r="FV110" s="450">
        <v>0</v>
      </c>
      <c r="FW110" s="450">
        <v>0</v>
      </c>
      <c r="FX110" s="450">
        <v>0</v>
      </c>
      <c r="FY110" s="450">
        <v>0</v>
      </c>
      <c r="FZ110" s="450">
        <v>0</v>
      </c>
      <c r="GA110" s="450">
        <v>0</v>
      </c>
      <c r="GB110" s="450">
        <v>0</v>
      </c>
      <c r="GC110" s="450">
        <v>0</v>
      </c>
      <c r="GD110" s="450">
        <v>0</v>
      </c>
      <c r="GE110" s="450">
        <v>0</v>
      </c>
      <c r="GF110" s="450">
        <v>0</v>
      </c>
      <c r="GG110" s="450">
        <v>0</v>
      </c>
      <c r="GH110" s="450">
        <v>0</v>
      </c>
      <c r="GI110" s="450">
        <v>0</v>
      </c>
      <c r="GJ110" s="450">
        <v>0</v>
      </c>
      <c r="GK110" s="450">
        <v>0</v>
      </c>
      <c r="GL110" s="450">
        <v>0</v>
      </c>
      <c r="GM110" s="450">
        <v>0</v>
      </c>
      <c r="GN110" s="450">
        <v>0</v>
      </c>
      <c r="GO110" s="450">
        <v>0</v>
      </c>
      <c r="GP110" s="450">
        <v>0</v>
      </c>
      <c r="GQ110" s="450">
        <v>0</v>
      </c>
      <c r="GR110" s="450">
        <v>0</v>
      </c>
      <c r="GS110" s="450">
        <v>0</v>
      </c>
      <c r="GT110" s="450">
        <v>0</v>
      </c>
      <c r="GU110" s="450">
        <v>0</v>
      </c>
      <c r="GV110" s="450">
        <v>0</v>
      </c>
      <c r="GW110" s="450">
        <v>0</v>
      </c>
      <c r="GX110" s="450">
        <v>31932914</v>
      </c>
      <c r="GY110" s="450">
        <v>40422714</v>
      </c>
      <c r="GZ110" s="450">
        <v>0</v>
      </c>
      <c r="HA110" s="450" t="s">
        <v>888</v>
      </c>
      <c r="HB110" s="450" t="s">
        <v>888</v>
      </c>
      <c r="HC110" s="450">
        <v>0</v>
      </c>
      <c r="HD110" s="450">
        <v>0</v>
      </c>
      <c r="HE110" s="450">
        <v>0</v>
      </c>
      <c r="HF110" s="450">
        <v>0</v>
      </c>
      <c r="HG110" s="472">
        <v>0</v>
      </c>
    </row>
    <row r="111" spans="2:215" ht="12.75">
      <c r="B111" s="445" t="s">
        <v>790</v>
      </c>
      <c r="C111" s="446">
        <v>5007.25</v>
      </c>
      <c r="D111" s="447">
        <v>1197489.25</v>
      </c>
      <c r="E111" s="447">
        <v>1027445.7765</v>
      </c>
      <c r="F111" s="447">
        <v>115093.88952519633</v>
      </c>
      <c r="G111" s="447">
        <v>170043.47350000002</v>
      </c>
      <c r="H111" s="448">
        <v>0.33337860102850864</v>
      </c>
      <c r="I111" s="449">
        <v>1192.6</v>
      </c>
      <c r="J111" s="449">
        <v>476.71</v>
      </c>
      <c r="K111" s="447">
        <v>1142539.6660251964</v>
      </c>
      <c r="L111" s="447">
        <v>914031.7328201572</v>
      </c>
      <c r="M111" s="447">
        <v>251633.67990265845</v>
      </c>
      <c r="N111" s="447">
        <v>228507.93320503924</v>
      </c>
      <c r="O111" s="450">
        <v>1.1012032552798443</v>
      </c>
      <c r="P111" s="451">
        <v>0.9220630086374757</v>
      </c>
      <c r="Q111" s="452">
        <v>0.07788706375755156</v>
      </c>
      <c r="R111" s="447">
        <v>1165665.4127228158</v>
      </c>
      <c r="S111" s="447">
        <v>787989.8190006235</v>
      </c>
      <c r="T111" s="447">
        <v>89915.0226690553</v>
      </c>
      <c r="U111" s="447">
        <v>184071.0280388208</v>
      </c>
      <c r="V111" s="447">
        <v>265771.714100802</v>
      </c>
      <c r="W111" s="450">
        <v>0.6925907396187626</v>
      </c>
      <c r="X111" s="452">
        <v>12.158084869365595</v>
      </c>
      <c r="Y111" s="447">
        <v>89915.0226690553</v>
      </c>
      <c r="Z111" s="447">
        <v>111903.87962139031</v>
      </c>
      <c r="AA111" s="448">
        <v>0.8035022822557095</v>
      </c>
      <c r="AB111" s="448">
        <v>0.06320834789555145</v>
      </c>
      <c r="AC111" s="449">
        <v>317</v>
      </c>
      <c r="AD111" s="449">
        <v>316</v>
      </c>
      <c r="AE111" s="447">
        <v>1061975.8697084996</v>
      </c>
      <c r="AF111" s="447">
        <v>0</v>
      </c>
      <c r="AG111" s="451">
        <v>0</v>
      </c>
      <c r="AH111" s="450">
        <v>0.0121779758707017</v>
      </c>
      <c r="AI111" s="452">
        <v>0.010255194269120693</v>
      </c>
      <c r="AJ111" s="447">
        <v>1061975.8697084996</v>
      </c>
      <c r="AK111" s="453">
        <v>1.0362</v>
      </c>
      <c r="AL111" s="447">
        <v>1100419.3961919474</v>
      </c>
      <c r="AM111" s="447">
        <v>2588694.743230063</v>
      </c>
      <c r="AN111" s="447">
        <v>2563143.813777808</v>
      </c>
      <c r="AO111" s="447">
        <v>2428686.1480490696</v>
      </c>
      <c r="AP111" s="447">
        <v>2563143.813777808</v>
      </c>
      <c r="AQ111" s="447">
        <v>20029</v>
      </c>
      <c r="AR111" s="447">
        <v>2583172.813777808</v>
      </c>
      <c r="AS111" s="454">
        <v>515.8865272909896</v>
      </c>
      <c r="AT111" s="450">
        <v>5007</v>
      </c>
      <c r="AU111" s="450">
        <v>34</v>
      </c>
      <c r="AV111" s="450">
        <v>311</v>
      </c>
      <c r="AW111" s="450">
        <v>9</v>
      </c>
      <c r="AX111" s="450">
        <v>81</v>
      </c>
      <c r="AY111" s="450">
        <v>1225</v>
      </c>
      <c r="AZ111" s="450">
        <v>414</v>
      </c>
      <c r="BA111" s="450">
        <v>450</v>
      </c>
      <c r="BB111" s="450">
        <v>240</v>
      </c>
      <c r="BC111" s="450">
        <v>0</v>
      </c>
      <c r="BD111" s="450">
        <v>950</v>
      </c>
      <c r="BE111" s="450">
        <v>390</v>
      </c>
      <c r="BF111" s="450">
        <v>0</v>
      </c>
      <c r="BG111" s="450">
        <v>880</v>
      </c>
      <c r="BH111" s="450">
        <v>10</v>
      </c>
      <c r="BI111" s="450">
        <v>13</v>
      </c>
      <c r="BJ111" s="452">
        <v>1.2427532205249745</v>
      </c>
      <c r="BK111" s="452">
        <v>6.994389627756108</v>
      </c>
      <c r="BL111" s="452">
        <v>4.466726213150141</v>
      </c>
      <c r="BM111" s="452">
        <v>5.0553268292119355</v>
      </c>
      <c r="BN111" s="449">
        <v>4617</v>
      </c>
      <c r="BO111" s="449">
        <v>390</v>
      </c>
      <c r="BP111" s="447">
        <v>1309441.8438447856</v>
      </c>
      <c r="BQ111" s="447">
        <v>5069088</v>
      </c>
      <c r="BR111" s="447">
        <v>6983045</v>
      </c>
      <c r="BS111" s="448">
        <v>0.06321150389454763</v>
      </c>
      <c r="BT111" s="449">
        <v>317</v>
      </c>
      <c r="BU111" s="449">
        <v>316</v>
      </c>
      <c r="BV111" s="447">
        <v>441408.77621330135</v>
      </c>
      <c r="BW111" s="448">
        <v>0.00451091088172406</v>
      </c>
      <c r="BX111" s="447">
        <v>2496.8698430840695</v>
      </c>
      <c r="BY111" s="447">
        <v>6822435.489901171</v>
      </c>
      <c r="BZ111" s="455">
        <v>1.0266666666666666</v>
      </c>
      <c r="CA111" s="447">
        <v>7004367.102965202</v>
      </c>
      <c r="CB111" s="447">
        <v>5267473.92140024</v>
      </c>
      <c r="CC111" s="447">
        <v>5261026.95194366</v>
      </c>
      <c r="CD111" s="447">
        <v>5089972.889753887</v>
      </c>
      <c r="CE111" s="447">
        <v>5261026.95194366</v>
      </c>
      <c r="CF111" s="454">
        <v>1050.7343622815379</v>
      </c>
      <c r="CG111" s="450">
        <v>5007</v>
      </c>
      <c r="CH111" s="450">
        <v>34</v>
      </c>
      <c r="CI111" s="450">
        <v>311</v>
      </c>
      <c r="CJ111" s="450">
        <v>9</v>
      </c>
      <c r="CK111" s="450">
        <v>81</v>
      </c>
      <c r="CL111" s="450">
        <v>1225</v>
      </c>
      <c r="CM111" s="450">
        <v>414</v>
      </c>
      <c r="CN111" s="450">
        <v>450</v>
      </c>
      <c r="CO111" s="450">
        <v>240</v>
      </c>
      <c r="CP111" s="450">
        <v>0</v>
      </c>
      <c r="CQ111" s="450">
        <v>950</v>
      </c>
      <c r="CR111" s="450">
        <v>390</v>
      </c>
      <c r="CS111" s="450">
        <v>0</v>
      </c>
      <c r="CT111" s="450">
        <v>880</v>
      </c>
      <c r="CU111" s="450">
        <v>10</v>
      </c>
      <c r="CV111" s="450">
        <v>13</v>
      </c>
      <c r="CW111" s="447">
        <v>3686485.6975229373</v>
      </c>
      <c r="CX111" s="452">
        <v>1.0022457033561916</v>
      </c>
      <c r="CY111" s="452">
        <v>1.0266666666666666</v>
      </c>
      <c r="CZ111" s="447">
        <v>3694764.4508264167</v>
      </c>
      <c r="DA111" s="454">
        <v>737.9198024418647</v>
      </c>
      <c r="DB111" s="449">
        <v>5007.25</v>
      </c>
      <c r="DC111" s="452">
        <v>1.0140246642368567</v>
      </c>
      <c r="DD111" s="454">
        <v>328.7</v>
      </c>
      <c r="DE111" s="447">
        <v>63986</v>
      </c>
      <c r="DF111" s="454">
        <v>61.35227140102363</v>
      </c>
      <c r="DG111" s="454">
        <v>63.99041907126764</v>
      </c>
      <c r="DH111" s="454">
        <v>65.39820829083551</v>
      </c>
      <c r="DI111" s="454">
        <v>66.83696887323389</v>
      </c>
      <c r="DJ111" s="454">
        <v>69.04258884605059</v>
      </c>
      <c r="DK111" s="454">
        <v>71.5281220445084</v>
      </c>
      <c r="DL111" s="454">
        <v>73.81702194993265</v>
      </c>
      <c r="DM111" s="454">
        <v>76.84351984987988</v>
      </c>
      <c r="DN111" s="454">
        <v>80.22463472327459</v>
      </c>
      <c r="DO111" s="454">
        <v>84.63698963305468</v>
      </c>
      <c r="DP111" s="454">
        <v>83.8752567263572</v>
      </c>
      <c r="DQ111" s="454">
        <v>88.15289481940141</v>
      </c>
      <c r="DR111" s="454">
        <v>93.53022140338489</v>
      </c>
      <c r="DS111" s="454">
        <v>49.21</v>
      </c>
      <c r="DT111" s="454">
        <v>51.80317882908354</v>
      </c>
      <c r="DU111" s="454">
        <v>54.486639886646756</v>
      </c>
      <c r="DV111" s="454">
        <v>57.879435233299155</v>
      </c>
      <c r="DW111" s="454">
        <v>61.61524163638513</v>
      </c>
      <c r="DX111" s="454">
        <v>65.29194479894664</v>
      </c>
      <c r="DY111" s="454">
        <v>69.74383559853874</v>
      </c>
      <c r="DZ111" s="454">
        <v>73.63612773803001</v>
      </c>
      <c r="EA111" s="454">
        <v>75.86678646170493</v>
      </c>
      <c r="EB111" s="454">
        <v>78.01501839423611</v>
      </c>
      <c r="EC111" s="454">
        <v>83.225606429754</v>
      </c>
      <c r="ED111" s="454">
        <v>89.60933166732295</v>
      </c>
      <c r="EE111" s="454">
        <v>-0.49</v>
      </c>
      <c r="EF111" s="454">
        <v>89.11933166732295</v>
      </c>
      <c r="EG111" s="454">
        <v>4634.205246700793</v>
      </c>
      <c r="EH111" s="447">
        <v>22740531.7371117</v>
      </c>
      <c r="EI111" s="454">
        <v>53.82</v>
      </c>
      <c r="EJ111" s="454">
        <v>56.04345682908354</v>
      </c>
      <c r="EK111" s="454">
        <v>58.33869687864676</v>
      </c>
      <c r="EL111" s="454">
        <v>61.36121324694316</v>
      </c>
      <c r="EM111" s="454">
        <v>64.707060512501</v>
      </c>
      <c r="EN111" s="454">
        <v>67.95090903240629</v>
      </c>
      <c r="EO111" s="454">
        <v>71.95822101216392</v>
      </c>
      <c r="EP111" s="454">
        <v>75.69107740187417</v>
      </c>
      <c r="EQ111" s="454">
        <v>77.82652345779098</v>
      </c>
      <c r="ER111" s="454">
        <v>79.32451210161756</v>
      </c>
      <c r="ES111" s="454">
        <v>84.32662873892032</v>
      </c>
      <c r="ET111" s="454">
        <v>90.48547016984207</v>
      </c>
      <c r="EU111" s="447">
        <v>12832795</v>
      </c>
      <c r="EV111" s="447">
        <v>0</v>
      </c>
      <c r="EW111" s="447">
        <v>0</v>
      </c>
      <c r="EX111" s="447">
        <v>0</v>
      </c>
      <c r="EY111" s="447">
        <v>0</v>
      </c>
      <c r="EZ111" s="447">
        <v>0</v>
      </c>
      <c r="FA111" s="447">
        <v>0</v>
      </c>
      <c r="FB111" s="447">
        <v>0</v>
      </c>
      <c r="FC111" s="447">
        <v>0</v>
      </c>
      <c r="FD111" s="447">
        <v>12832795</v>
      </c>
      <c r="FE111" s="447">
        <v>46795.57504681948</v>
      </c>
      <c r="FF111" s="447">
        <v>0</v>
      </c>
      <c r="FG111" s="447">
        <v>0</v>
      </c>
      <c r="FH111" s="447">
        <v>9100</v>
      </c>
      <c r="FI111" s="456">
        <v>0.0313</v>
      </c>
      <c r="FJ111" s="447">
        <v>284.83</v>
      </c>
      <c r="FK111" s="471">
        <v>284.83</v>
      </c>
      <c r="FL111" s="446">
        <v>88.09</v>
      </c>
      <c r="FM111" s="450">
        <v>84.93</v>
      </c>
      <c r="FN111" s="450">
        <v>84.42</v>
      </c>
      <c r="FO111" s="450">
        <v>-0.51</v>
      </c>
      <c r="FP111" s="472">
        <v>84.44</v>
      </c>
      <c r="FQ111" s="446">
        <v>108964</v>
      </c>
      <c r="FR111" s="450">
        <v>0</v>
      </c>
      <c r="FS111" s="450">
        <v>0</v>
      </c>
      <c r="FT111" s="450">
        <v>0</v>
      </c>
      <c r="FU111" s="450">
        <v>0</v>
      </c>
      <c r="FV111" s="450">
        <v>0</v>
      </c>
      <c r="FW111" s="450">
        <v>0</v>
      </c>
      <c r="FX111" s="450">
        <v>0</v>
      </c>
      <c r="FY111" s="450">
        <v>0</v>
      </c>
      <c r="FZ111" s="450">
        <v>0</v>
      </c>
      <c r="GA111" s="450">
        <v>0</v>
      </c>
      <c r="GB111" s="450">
        <v>0</v>
      </c>
      <c r="GC111" s="450">
        <v>0</v>
      </c>
      <c r="GD111" s="450">
        <v>0</v>
      </c>
      <c r="GE111" s="450">
        <v>0</v>
      </c>
      <c r="GF111" s="450">
        <v>0</v>
      </c>
      <c r="GG111" s="450">
        <v>0</v>
      </c>
      <c r="GH111" s="450">
        <v>0</v>
      </c>
      <c r="GI111" s="450">
        <v>0</v>
      </c>
      <c r="GJ111" s="450">
        <v>0</v>
      </c>
      <c r="GK111" s="450">
        <v>0</v>
      </c>
      <c r="GL111" s="450">
        <v>0</v>
      </c>
      <c r="GM111" s="450">
        <v>0</v>
      </c>
      <c r="GN111" s="450">
        <v>0</v>
      </c>
      <c r="GO111" s="450">
        <v>0</v>
      </c>
      <c r="GP111" s="450">
        <v>0</v>
      </c>
      <c r="GQ111" s="450">
        <v>0</v>
      </c>
      <c r="GR111" s="450">
        <v>0</v>
      </c>
      <c r="GS111" s="450">
        <v>0</v>
      </c>
      <c r="GT111" s="450">
        <v>0</v>
      </c>
      <c r="GU111" s="450">
        <v>0</v>
      </c>
      <c r="GV111" s="450">
        <v>0</v>
      </c>
      <c r="GW111" s="450">
        <v>800000</v>
      </c>
      <c r="GX111" s="450">
        <v>1897105</v>
      </c>
      <c r="GY111" s="450">
        <v>1897105</v>
      </c>
      <c r="GZ111" s="450">
        <v>0</v>
      </c>
      <c r="HA111" s="450" t="s">
        <v>888</v>
      </c>
      <c r="HB111" s="450" t="s">
        <v>888</v>
      </c>
      <c r="HC111" s="450">
        <v>0</v>
      </c>
      <c r="HD111" s="450">
        <v>0</v>
      </c>
      <c r="HE111" s="450">
        <v>0</v>
      </c>
      <c r="HF111" s="450">
        <v>0</v>
      </c>
      <c r="HG111" s="472">
        <v>0</v>
      </c>
    </row>
    <row r="112" spans="2:215" ht="12.75">
      <c r="B112" s="445" t="s">
        <v>791</v>
      </c>
      <c r="C112" s="446">
        <v>5387</v>
      </c>
      <c r="D112" s="447">
        <v>1285971</v>
      </c>
      <c r="E112" s="447">
        <v>1103363.118</v>
      </c>
      <c r="F112" s="447">
        <v>123829.31258106748</v>
      </c>
      <c r="G112" s="447">
        <v>182607.882</v>
      </c>
      <c r="H112" s="448">
        <v>0.33400222758492665</v>
      </c>
      <c r="I112" s="449">
        <v>1286.94</v>
      </c>
      <c r="J112" s="449">
        <v>512.33</v>
      </c>
      <c r="K112" s="447">
        <v>1227192.4305810675</v>
      </c>
      <c r="L112" s="447">
        <v>981753.944464854</v>
      </c>
      <c r="M112" s="447">
        <v>273513.33206847083</v>
      </c>
      <c r="N112" s="447">
        <v>245438.48611621343</v>
      </c>
      <c r="O112" s="450">
        <v>1.114386485984778</v>
      </c>
      <c r="P112" s="451">
        <v>0.9120103953963244</v>
      </c>
      <c r="Q112" s="452">
        <v>0.08798960460367551</v>
      </c>
      <c r="R112" s="447">
        <v>1255267.2765333247</v>
      </c>
      <c r="S112" s="447">
        <v>848560.6789365276</v>
      </c>
      <c r="T112" s="447">
        <v>113745.21389926135</v>
      </c>
      <c r="U112" s="447">
        <v>194058.63913508234</v>
      </c>
      <c r="V112" s="447">
        <v>286200.93904959806</v>
      </c>
      <c r="W112" s="450">
        <v>0.6780503228937776</v>
      </c>
      <c r="X112" s="452">
        <v>11.902835108625768</v>
      </c>
      <c r="Y112" s="447">
        <v>113745.21389926135</v>
      </c>
      <c r="Z112" s="447">
        <v>120505.65854719917</v>
      </c>
      <c r="AA112" s="448">
        <v>0.943899359337637</v>
      </c>
      <c r="AB112" s="448">
        <v>0.07425283088917765</v>
      </c>
      <c r="AC112" s="449">
        <v>400</v>
      </c>
      <c r="AD112" s="449">
        <v>400</v>
      </c>
      <c r="AE112" s="447">
        <v>1156364.5319708714</v>
      </c>
      <c r="AF112" s="447">
        <v>0</v>
      </c>
      <c r="AG112" s="451">
        <v>0</v>
      </c>
      <c r="AH112" s="450">
        <v>0.1460595643058664</v>
      </c>
      <c r="AI112" s="452">
        <v>0.1229982078075409</v>
      </c>
      <c r="AJ112" s="447">
        <v>1156364.5319708714</v>
      </c>
      <c r="AK112" s="453">
        <v>1</v>
      </c>
      <c r="AL112" s="447">
        <v>1156364.5319708714</v>
      </c>
      <c r="AM112" s="447">
        <v>2720303.5456569972</v>
      </c>
      <c r="AN112" s="447">
        <v>2693453.6112776836</v>
      </c>
      <c r="AO112" s="447">
        <v>2591131.1926416703</v>
      </c>
      <c r="AP112" s="447">
        <v>2693453.6112776836</v>
      </c>
      <c r="AQ112" s="447">
        <v>21548</v>
      </c>
      <c r="AR112" s="447">
        <v>2715001.6112776836</v>
      </c>
      <c r="AS112" s="454">
        <v>503.9913887651167</v>
      </c>
      <c r="AT112" s="450">
        <v>5387</v>
      </c>
      <c r="AU112" s="450">
        <v>69</v>
      </c>
      <c r="AV112" s="450">
        <v>302</v>
      </c>
      <c r="AW112" s="450">
        <v>93</v>
      </c>
      <c r="AX112" s="450">
        <v>33</v>
      </c>
      <c r="AY112" s="450">
        <v>947</v>
      </c>
      <c r="AZ112" s="450">
        <v>185</v>
      </c>
      <c r="BA112" s="450">
        <v>209</v>
      </c>
      <c r="BB112" s="450">
        <v>326</v>
      </c>
      <c r="BC112" s="450">
        <v>21</v>
      </c>
      <c r="BD112" s="450">
        <v>951</v>
      </c>
      <c r="BE112" s="450">
        <v>474</v>
      </c>
      <c r="BF112" s="450">
        <v>0</v>
      </c>
      <c r="BG112" s="450">
        <v>1777</v>
      </c>
      <c r="BH112" s="450">
        <v>0</v>
      </c>
      <c r="BI112" s="450">
        <v>0</v>
      </c>
      <c r="BJ112" s="452">
        <v>1.4373141432003296</v>
      </c>
      <c r="BK112" s="452">
        <v>12.347376086764747</v>
      </c>
      <c r="BL112" s="452">
        <v>8.748612419502505</v>
      </c>
      <c r="BM112" s="452">
        <v>7.197527334524484</v>
      </c>
      <c r="BN112" s="449">
        <v>4913</v>
      </c>
      <c r="BO112" s="449">
        <v>474</v>
      </c>
      <c r="BP112" s="447">
        <v>1645987.722452583</v>
      </c>
      <c r="BQ112" s="447">
        <v>5445335</v>
      </c>
      <c r="BR112" s="447">
        <v>7075563</v>
      </c>
      <c r="BS112" s="448">
        <v>0.07425283088917765</v>
      </c>
      <c r="BT112" s="449">
        <v>400</v>
      </c>
      <c r="BU112" s="449">
        <v>400</v>
      </c>
      <c r="BV112" s="447">
        <v>525380.5828847225</v>
      </c>
      <c r="BW112" s="448">
        <v>0.008782822790532862</v>
      </c>
      <c r="BX112" s="447">
        <v>9233.365264502252</v>
      </c>
      <c r="BY112" s="447">
        <v>7625936.670601808</v>
      </c>
      <c r="BZ112" s="455">
        <v>0.9</v>
      </c>
      <c r="CA112" s="447">
        <v>6863343.003541627</v>
      </c>
      <c r="CB112" s="447">
        <v>5161419.9760426115</v>
      </c>
      <c r="CC112" s="447">
        <v>5155102.8081867</v>
      </c>
      <c r="CD112" s="447">
        <v>5088043.227659262</v>
      </c>
      <c r="CE112" s="447">
        <v>5155102.8081867</v>
      </c>
      <c r="CF112" s="454">
        <v>956.9524425815296</v>
      </c>
      <c r="CG112" s="450">
        <v>5387</v>
      </c>
      <c r="CH112" s="450">
        <v>69</v>
      </c>
      <c r="CI112" s="450">
        <v>302</v>
      </c>
      <c r="CJ112" s="450">
        <v>93</v>
      </c>
      <c r="CK112" s="450">
        <v>33</v>
      </c>
      <c r="CL112" s="450">
        <v>947</v>
      </c>
      <c r="CM112" s="450">
        <v>185</v>
      </c>
      <c r="CN112" s="450">
        <v>209</v>
      </c>
      <c r="CO112" s="450">
        <v>326</v>
      </c>
      <c r="CP112" s="450">
        <v>21</v>
      </c>
      <c r="CQ112" s="450">
        <v>951</v>
      </c>
      <c r="CR112" s="450">
        <v>474</v>
      </c>
      <c r="CS112" s="450">
        <v>0</v>
      </c>
      <c r="CT112" s="450">
        <v>1777</v>
      </c>
      <c r="CU112" s="450">
        <v>0</v>
      </c>
      <c r="CV112" s="450">
        <v>0</v>
      </c>
      <c r="CW112" s="447">
        <v>3859223.528762619</v>
      </c>
      <c r="CX112" s="452">
        <v>0.8785920126823759</v>
      </c>
      <c r="CY112" s="452">
        <v>0.9</v>
      </c>
      <c r="CZ112" s="447">
        <v>3390682.96752673</v>
      </c>
      <c r="DA112" s="454">
        <v>629.4195224664434</v>
      </c>
      <c r="DB112" s="449">
        <v>5387</v>
      </c>
      <c r="DC112" s="452">
        <v>1.0217003898273622</v>
      </c>
      <c r="DD112" s="454">
        <v>298</v>
      </c>
      <c r="DE112" s="447">
        <v>35214</v>
      </c>
      <c r="DF112" s="454">
        <v>48.39029723195799</v>
      </c>
      <c r="DG112" s="454">
        <v>50.47108001293218</v>
      </c>
      <c r="DH112" s="454">
        <v>51.58144377321668</v>
      </c>
      <c r="DI112" s="454">
        <v>52.71623553622743</v>
      </c>
      <c r="DJ112" s="454">
        <v>54.45587130892293</v>
      </c>
      <c r="DK112" s="454">
        <v>56.41628267604415</v>
      </c>
      <c r="DL112" s="454">
        <v>58.221603721677546</v>
      </c>
      <c r="DM112" s="454">
        <v>60.60868947426632</v>
      </c>
      <c r="DN112" s="454">
        <v>63.275471811134025</v>
      </c>
      <c r="DO112" s="454">
        <v>66.75562276074639</v>
      </c>
      <c r="DP112" s="454">
        <v>66.15482215589967</v>
      </c>
      <c r="DQ112" s="454">
        <v>69.52871808585054</v>
      </c>
      <c r="DR112" s="454">
        <v>73.76996988908742</v>
      </c>
      <c r="DS112" s="454">
        <v>36.94</v>
      </c>
      <c r="DT112" s="454">
        <v>39.13555637732166</v>
      </c>
      <c r="DU112" s="454">
        <v>41.40983827524548</v>
      </c>
      <c r="DV112" s="454">
        <v>44.23630148465287</v>
      </c>
      <c r="DW112" s="454">
        <v>47.341304672092335</v>
      </c>
      <c r="DX112" s="454">
        <v>50.41712263827899</v>
      </c>
      <c r="DY112" s="454">
        <v>54.10911762801201</v>
      </c>
      <c r="DZ112" s="454">
        <v>57.24386913781003</v>
      </c>
      <c r="EA112" s="454">
        <v>59.04194471847459</v>
      </c>
      <c r="EB112" s="454">
        <v>61.000552538448495</v>
      </c>
      <c r="EC112" s="454">
        <v>65.19500819149759</v>
      </c>
      <c r="ED112" s="454">
        <v>70.32142024065607</v>
      </c>
      <c r="EE112" s="454">
        <v>-1.28</v>
      </c>
      <c r="EF112" s="454">
        <v>69.04142024065607</v>
      </c>
      <c r="EG112" s="454">
        <v>3590.1538525141154</v>
      </c>
      <c r="EH112" s="447">
        <v>18953355.62742367</v>
      </c>
      <c r="EI112" s="454">
        <v>40.59</v>
      </c>
      <c r="EJ112" s="454">
        <v>42.49282637732166</v>
      </c>
      <c r="EK112" s="454">
        <v>44.459731555245476</v>
      </c>
      <c r="EL112" s="454">
        <v>46.99302377311287</v>
      </c>
      <c r="EM112" s="454">
        <v>49.78927406424481</v>
      </c>
      <c r="EN112" s="454">
        <v>52.52237631553012</v>
      </c>
      <c r="EO112" s="454">
        <v>55.86237289042675</v>
      </c>
      <c r="EP112" s="454">
        <v>58.8708900213309</v>
      </c>
      <c r="EQ112" s="454">
        <v>60.593580301059</v>
      </c>
      <c r="ER112" s="454">
        <v>62.03735341305637</v>
      </c>
      <c r="ES112" s="454">
        <v>66.06675036686791</v>
      </c>
      <c r="ET112" s="454">
        <v>71.01510907670698</v>
      </c>
      <c r="EU112" s="447">
        <v>74307399</v>
      </c>
      <c r="EV112" s="447">
        <v>0</v>
      </c>
      <c r="EW112" s="447">
        <v>0</v>
      </c>
      <c r="EX112" s="447">
        <v>0</v>
      </c>
      <c r="EY112" s="447">
        <v>0</v>
      </c>
      <c r="EZ112" s="447">
        <v>0</v>
      </c>
      <c r="FA112" s="447">
        <v>0</v>
      </c>
      <c r="FB112" s="447">
        <v>0</v>
      </c>
      <c r="FC112" s="447">
        <v>0</v>
      </c>
      <c r="FD112" s="447">
        <v>74307399</v>
      </c>
      <c r="FE112" s="447">
        <v>76846.47380806354</v>
      </c>
      <c r="FF112" s="447">
        <v>0</v>
      </c>
      <c r="FG112" s="447">
        <v>0</v>
      </c>
      <c r="FH112" s="447">
        <v>20468</v>
      </c>
      <c r="FI112" s="456">
        <v>0.0393</v>
      </c>
      <c r="FJ112" s="447">
        <v>804.3924000000001</v>
      </c>
      <c r="FK112" s="471">
        <v>804.3924000000001</v>
      </c>
      <c r="FL112" s="446">
        <v>69.44</v>
      </c>
      <c r="FM112" s="450">
        <v>66.24</v>
      </c>
      <c r="FN112" s="450">
        <v>64.96</v>
      </c>
      <c r="FO112" s="450">
        <v>-1.28</v>
      </c>
      <c r="FP112" s="472">
        <v>62.72</v>
      </c>
      <c r="FQ112" s="446">
        <v>166191</v>
      </c>
      <c r="FR112" s="450">
        <v>15679</v>
      </c>
      <c r="FS112" s="450">
        <v>0</v>
      </c>
      <c r="FT112" s="450">
        <v>0</v>
      </c>
      <c r="FU112" s="450">
        <v>0</v>
      </c>
      <c r="FV112" s="450">
        <v>0</v>
      </c>
      <c r="FW112" s="450">
        <v>0</v>
      </c>
      <c r="FX112" s="450">
        <v>0</v>
      </c>
      <c r="FY112" s="450">
        <v>0</v>
      </c>
      <c r="FZ112" s="450">
        <v>0</v>
      </c>
      <c r="GA112" s="450">
        <v>0</v>
      </c>
      <c r="GB112" s="450">
        <v>0</v>
      </c>
      <c r="GC112" s="450">
        <v>0</v>
      </c>
      <c r="GD112" s="450">
        <v>0</v>
      </c>
      <c r="GE112" s="450">
        <v>0</v>
      </c>
      <c r="GF112" s="450">
        <v>0</v>
      </c>
      <c r="GG112" s="450">
        <v>0</v>
      </c>
      <c r="GH112" s="450">
        <v>0</v>
      </c>
      <c r="GI112" s="450">
        <v>0</v>
      </c>
      <c r="GJ112" s="450">
        <v>0</v>
      </c>
      <c r="GK112" s="450">
        <v>0</v>
      </c>
      <c r="GL112" s="450">
        <v>0</v>
      </c>
      <c r="GM112" s="450">
        <v>0</v>
      </c>
      <c r="GN112" s="450">
        <v>0</v>
      </c>
      <c r="GO112" s="450">
        <v>0</v>
      </c>
      <c r="GP112" s="450">
        <v>0</v>
      </c>
      <c r="GQ112" s="450">
        <v>0</v>
      </c>
      <c r="GR112" s="450">
        <v>0</v>
      </c>
      <c r="GS112" s="450">
        <v>0</v>
      </c>
      <c r="GT112" s="450">
        <v>0</v>
      </c>
      <c r="GU112" s="450">
        <v>0</v>
      </c>
      <c r="GV112" s="450">
        <v>0</v>
      </c>
      <c r="GW112" s="450">
        <v>2089009</v>
      </c>
      <c r="GX112" s="450">
        <v>68910036</v>
      </c>
      <c r="GY112" s="450">
        <v>68910036</v>
      </c>
      <c r="GZ112" s="450">
        <v>1</v>
      </c>
      <c r="HA112" s="450" t="s">
        <v>888</v>
      </c>
      <c r="HB112" s="450" t="s">
        <v>888</v>
      </c>
      <c r="HC112" s="450">
        <v>0</v>
      </c>
      <c r="HD112" s="450">
        <v>0</v>
      </c>
      <c r="HE112" s="450">
        <v>0</v>
      </c>
      <c r="HF112" s="450">
        <v>0</v>
      </c>
      <c r="HG112" s="472">
        <v>0</v>
      </c>
    </row>
    <row r="113" spans="2:215" ht="12.75">
      <c r="B113" s="445" t="s">
        <v>792</v>
      </c>
      <c r="C113" s="446">
        <v>28682</v>
      </c>
      <c r="D113" s="447">
        <v>6713706</v>
      </c>
      <c r="E113" s="447">
        <v>5760359.748</v>
      </c>
      <c r="F113" s="447">
        <v>876813.5556578998</v>
      </c>
      <c r="G113" s="447">
        <v>953346.2520000001</v>
      </c>
      <c r="H113" s="448">
        <v>0.4530039746182275</v>
      </c>
      <c r="I113" s="449">
        <v>10849.1</v>
      </c>
      <c r="J113" s="449">
        <v>2143.96</v>
      </c>
      <c r="K113" s="447">
        <v>6637173.3036579</v>
      </c>
      <c r="L113" s="447">
        <v>5309738.64292632</v>
      </c>
      <c r="M113" s="447">
        <v>1834809.789458106</v>
      </c>
      <c r="N113" s="447">
        <v>1327434.6607315796</v>
      </c>
      <c r="O113" s="450">
        <v>1.3822222997001603</v>
      </c>
      <c r="P113" s="451">
        <v>0.705982846384492</v>
      </c>
      <c r="Q113" s="452">
        <v>0.294017153615508</v>
      </c>
      <c r="R113" s="447">
        <v>7144548.432384427</v>
      </c>
      <c r="S113" s="447">
        <v>4829714.740291873</v>
      </c>
      <c r="T113" s="447">
        <v>882614.5693884981</v>
      </c>
      <c r="U113" s="447">
        <v>1533153.820157785</v>
      </c>
      <c r="V113" s="447">
        <v>1628957.0425836493</v>
      </c>
      <c r="W113" s="450">
        <v>0.9411873855961769</v>
      </c>
      <c r="X113" s="452">
        <v>16.522074953461654</v>
      </c>
      <c r="Y113" s="447">
        <v>882614.5693884981</v>
      </c>
      <c r="Z113" s="447">
        <v>685876.649508905</v>
      </c>
      <c r="AA113" s="448">
        <v>1.286841547996217</v>
      </c>
      <c r="AB113" s="448">
        <v>0.10123073704762568</v>
      </c>
      <c r="AC113" s="449">
        <v>2514</v>
      </c>
      <c r="AD113" s="449">
        <v>3293</v>
      </c>
      <c r="AE113" s="447">
        <v>7245483.129838156</v>
      </c>
      <c r="AF113" s="447">
        <v>1286454.6298637625</v>
      </c>
      <c r="AG113" s="451">
        <v>1</v>
      </c>
      <c r="AH113" s="450">
        <v>0.4751939021507249</v>
      </c>
      <c r="AI113" s="452">
        <v>0.40016549825668335</v>
      </c>
      <c r="AJ113" s="447">
        <v>8531937.759701919</v>
      </c>
      <c r="AK113" s="453">
        <v>1</v>
      </c>
      <c r="AL113" s="447">
        <v>8531937.759701919</v>
      </c>
      <c r="AM113" s="447">
        <v>20071058.820426177</v>
      </c>
      <c r="AN113" s="447">
        <v>19872953.497543313</v>
      </c>
      <c r="AO113" s="447">
        <v>18981566.06325414</v>
      </c>
      <c r="AP113" s="447">
        <v>19872953.497543313</v>
      </c>
      <c r="AQ113" s="447">
        <v>114728</v>
      </c>
      <c r="AR113" s="447">
        <v>19987681.497543313</v>
      </c>
      <c r="AS113" s="454">
        <v>696.8719579368005</v>
      </c>
      <c r="AT113" s="450">
        <v>28679</v>
      </c>
      <c r="AU113" s="450">
        <v>4569</v>
      </c>
      <c r="AV113" s="450">
        <v>1431</v>
      </c>
      <c r="AW113" s="450">
        <v>761</v>
      </c>
      <c r="AX113" s="450">
        <v>1046</v>
      </c>
      <c r="AY113" s="450">
        <v>2577</v>
      </c>
      <c r="AZ113" s="450">
        <v>1651</v>
      </c>
      <c r="BA113" s="450">
        <v>1434</v>
      </c>
      <c r="BB113" s="450">
        <v>1548</v>
      </c>
      <c r="BC113" s="450">
        <v>1193</v>
      </c>
      <c r="BD113" s="450">
        <v>2564</v>
      </c>
      <c r="BE113" s="450">
        <v>4094</v>
      </c>
      <c r="BF113" s="450">
        <v>4339</v>
      </c>
      <c r="BG113" s="450">
        <v>1428</v>
      </c>
      <c r="BH113" s="450">
        <v>0</v>
      </c>
      <c r="BI113" s="450">
        <v>44</v>
      </c>
      <c r="BJ113" s="452">
        <v>1.9368009885673552</v>
      </c>
      <c r="BK113" s="452">
        <v>18.766171828554562</v>
      </c>
      <c r="BL113" s="452">
        <v>12.65309838978998</v>
      </c>
      <c r="BM113" s="452">
        <v>12.226146877529168</v>
      </c>
      <c r="BN113" s="449">
        <v>20246</v>
      </c>
      <c r="BO113" s="449">
        <v>8433</v>
      </c>
      <c r="BP113" s="447">
        <v>10691255.728150126</v>
      </c>
      <c r="BQ113" s="447">
        <v>31423857</v>
      </c>
      <c r="BR113" s="447">
        <v>40734078</v>
      </c>
      <c r="BS113" s="448">
        <v>0.1012413264060811</v>
      </c>
      <c r="BT113" s="449">
        <v>2514</v>
      </c>
      <c r="BU113" s="449">
        <v>3293</v>
      </c>
      <c r="BV113" s="447">
        <v>4123972.0866487673</v>
      </c>
      <c r="BW113" s="448">
        <v>0.020351078925023358</v>
      </c>
      <c r="BX113" s="447">
        <v>173113.67464673475</v>
      </c>
      <c r="BY113" s="447">
        <v>46412198.48944563</v>
      </c>
      <c r="BZ113" s="455">
        <v>0.9333333333333335</v>
      </c>
      <c r="CA113" s="447">
        <v>43318051.92348259</v>
      </c>
      <c r="CB113" s="447">
        <v>32576349.223074067</v>
      </c>
      <c r="CC113" s="447">
        <v>32536478.360573016</v>
      </c>
      <c r="CD113" s="447">
        <v>32283336.52292935</v>
      </c>
      <c r="CE113" s="447">
        <v>32536478.360573016</v>
      </c>
      <c r="CF113" s="454">
        <v>1134.5053300524082</v>
      </c>
      <c r="CG113" s="450">
        <v>28679</v>
      </c>
      <c r="CH113" s="450">
        <v>4569</v>
      </c>
      <c r="CI113" s="450">
        <v>1431</v>
      </c>
      <c r="CJ113" s="450">
        <v>761</v>
      </c>
      <c r="CK113" s="450">
        <v>1046</v>
      </c>
      <c r="CL113" s="450">
        <v>2577</v>
      </c>
      <c r="CM113" s="450">
        <v>1651</v>
      </c>
      <c r="CN113" s="450">
        <v>1434</v>
      </c>
      <c r="CO113" s="450">
        <v>1548</v>
      </c>
      <c r="CP113" s="450">
        <v>1193</v>
      </c>
      <c r="CQ113" s="450">
        <v>2564</v>
      </c>
      <c r="CR113" s="450">
        <v>4094</v>
      </c>
      <c r="CS113" s="450">
        <v>4339</v>
      </c>
      <c r="CT113" s="450">
        <v>1428</v>
      </c>
      <c r="CU113" s="450">
        <v>0</v>
      </c>
      <c r="CV113" s="450">
        <v>44</v>
      </c>
      <c r="CW113" s="447">
        <v>20770874.075226452</v>
      </c>
      <c r="CX113" s="452">
        <v>0.9111324575965379</v>
      </c>
      <c r="CY113" s="452">
        <v>0.9333333333333335</v>
      </c>
      <c r="CZ113" s="447">
        <v>18925017.542589296</v>
      </c>
      <c r="DA113" s="454">
        <v>659.8911239091076</v>
      </c>
      <c r="DB113" s="449">
        <v>28682</v>
      </c>
      <c r="DC113" s="452">
        <v>1.0230737047625689</v>
      </c>
      <c r="DD113" s="454">
        <v>307.9</v>
      </c>
      <c r="DE113" s="447">
        <v>25466</v>
      </c>
      <c r="DF113" s="454">
        <v>46.453009745227476</v>
      </c>
      <c r="DG113" s="454">
        <v>48.450489164272255</v>
      </c>
      <c r="DH113" s="454">
        <v>49.51639992588623</v>
      </c>
      <c r="DI113" s="454">
        <v>50.605760724255724</v>
      </c>
      <c r="DJ113" s="454">
        <v>52.275750828156156</v>
      </c>
      <c r="DK113" s="454">
        <v>54.157677857969766</v>
      </c>
      <c r="DL113" s="454">
        <v>55.89072354942479</v>
      </c>
      <c r="DM113" s="454">
        <v>58.18224321495121</v>
      </c>
      <c r="DN113" s="454">
        <v>60.74226191640905</v>
      </c>
      <c r="DO113" s="454">
        <v>64.08308632181155</v>
      </c>
      <c r="DP113" s="454">
        <v>63.506338544915245</v>
      </c>
      <c r="DQ113" s="454">
        <v>66.74516181070592</v>
      </c>
      <c r="DR113" s="454">
        <v>70.81661668115898</v>
      </c>
      <c r="DS113" s="454">
        <v>36.08</v>
      </c>
      <c r="DT113" s="454">
        <v>38.138023992588614</v>
      </c>
      <c r="DU113" s="454">
        <v>40.26913832085113</v>
      </c>
      <c r="DV113" s="454">
        <v>42.93273625327883</v>
      </c>
      <c r="DW113" s="454">
        <v>45.86108091547871</v>
      </c>
      <c r="DX113" s="454">
        <v>48.75565017888248</v>
      </c>
      <c r="DY113" s="454">
        <v>52.24015411196357</v>
      </c>
      <c r="DZ113" s="454">
        <v>55.22800322883652</v>
      </c>
      <c r="EA113" s="454">
        <v>56.94131150068787</v>
      </c>
      <c r="EB113" s="454">
        <v>58.73421391468447</v>
      </c>
      <c r="EC113" s="454">
        <v>62.73275942160788</v>
      </c>
      <c r="ED113" s="454">
        <v>67.62374748003421</v>
      </c>
      <c r="EE113" s="454">
        <v>-0.47</v>
      </c>
      <c r="EF113" s="454">
        <v>67.15374748003421</v>
      </c>
      <c r="EG113" s="454">
        <v>3491.994868961779</v>
      </c>
      <c r="EH113" s="447">
        <v>98154248.89493051</v>
      </c>
      <c r="EI113" s="454">
        <v>39.71</v>
      </c>
      <c r="EJ113" s="454">
        <v>41.47689799258862</v>
      </c>
      <c r="EK113" s="454">
        <v>43.302319856851135</v>
      </c>
      <c r="EL113" s="454">
        <v>45.67435321413084</v>
      </c>
      <c r="EM113" s="454">
        <v>48.295636776715284</v>
      </c>
      <c r="EN113" s="454">
        <v>50.84936821954593</v>
      </c>
      <c r="EO113" s="454">
        <v>53.98380249622809</v>
      </c>
      <c r="EP113" s="454">
        <v>56.846108929433996</v>
      </c>
      <c r="EQ113" s="454">
        <v>58.48444497049099</v>
      </c>
      <c r="ER113" s="454">
        <v>59.76533368860956</v>
      </c>
      <c r="ES113" s="454">
        <v>63.59972492752409</v>
      </c>
      <c r="ET113" s="454">
        <v>68.31363528136704</v>
      </c>
      <c r="EU113" s="447">
        <v>663623100</v>
      </c>
      <c r="EV113" s="447">
        <v>0</v>
      </c>
      <c r="EW113" s="447">
        <v>0</v>
      </c>
      <c r="EX113" s="447">
        <v>0</v>
      </c>
      <c r="EY113" s="447">
        <v>0</v>
      </c>
      <c r="EZ113" s="447">
        <v>0</v>
      </c>
      <c r="FA113" s="447">
        <v>0</v>
      </c>
      <c r="FB113" s="447">
        <v>0</v>
      </c>
      <c r="FC113" s="447">
        <v>0</v>
      </c>
      <c r="FD113" s="447">
        <v>663623100</v>
      </c>
      <c r="FE113" s="447">
        <v>364924.23790659383</v>
      </c>
      <c r="FF113" s="447">
        <v>0</v>
      </c>
      <c r="FG113" s="447">
        <v>0</v>
      </c>
      <c r="FH113" s="447">
        <v>54711</v>
      </c>
      <c r="FI113" s="456">
        <v>0.0567</v>
      </c>
      <c r="FJ113" s="447">
        <v>3102.1137</v>
      </c>
      <c r="FK113" s="471">
        <v>3102.1137</v>
      </c>
      <c r="FL113" s="446">
        <v>66.78</v>
      </c>
      <c r="FM113" s="450">
        <v>62.3</v>
      </c>
      <c r="FN113" s="450">
        <v>61.1</v>
      </c>
      <c r="FO113" s="450">
        <v>-1.2</v>
      </c>
      <c r="FP113" s="472">
        <v>61.83</v>
      </c>
      <c r="FQ113" s="446">
        <v>272771</v>
      </c>
      <c r="FR113" s="450">
        <v>1488999</v>
      </c>
      <c r="FS113" s="450">
        <v>1130</v>
      </c>
      <c r="FT113" s="450">
        <v>1130</v>
      </c>
      <c r="FU113" s="450">
        <v>1130</v>
      </c>
      <c r="FV113" s="450">
        <v>1130</v>
      </c>
      <c r="FW113" s="450">
        <v>1130</v>
      </c>
      <c r="FX113" s="450">
        <v>1130</v>
      </c>
      <c r="FY113" s="450">
        <v>1130</v>
      </c>
      <c r="FZ113" s="450">
        <v>1130</v>
      </c>
      <c r="GA113" s="450">
        <v>1130</v>
      </c>
      <c r="GB113" s="450">
        <v>1130</v>
      </c>
      <c r="GC113" s="450">
        <v>1130</v>
      </c>
      <c r="GD113" s="450">
        <v>1130</v>
      </c>
      <c r="GE113" s="450">
        <v>1130</v>
      </c>
      <c r="GF113" s="450">
        <v>1130</v>
      </c>
      <c r="GG113" s="450">
        <v>1130</v>
      </c>
      <c r="GH113" s="450">
        <v>1130</v>
      </c>
      <c r="GI113" s="450">
        <v>1130</v>
      </c>
      <c r="GJ113" s="450">
        <v>1130</v>
      </c>
      <c r="GK113" s="450">
        <v>1130</v>
      </c>
      <c r="GL113" s="450">
        <v>1130</v>
      </c>
      <c r="GM113" s="450">
        <v>1130</v>
      </c>
      <c r="GN113" s="450">
        <v>1130</v>
      </c>
      <c r="GO113" s="450">
        <v>1130</v>
      </c>
      <c r="GP113" s="450">
        <v>1130</v>
      </c>
      <c r="GQ113" s="450">
        <v>1130</v>
      </c>
      <c r="GR113" s="450">
        <v>1130</v>
      </c>
      <c r="GS113" s="450">
        <v>1130</v>
      </c>
      <c r="GT113" s="450">
        <v>1130</v>
      </c>
      <c r="GU113" s="450">
        <v>1130</v>
      </c>
      <c r="GV113" s="450">
        <v>1130</v>
      </c>
      <c r="GW113" s="450">
        <v>513000</v>
      </c>
      <c r="GX113" s="450">
        <v>684553668</v>
      </c>
      <c r="GY113" s="450">
        <v>687014827</v>
      </c>
      <c r="GZ113" s="450">
        <v>34</v>
      </c>
      <c r="HA113" s="450" t="s">
        <v>889</v>
      </c>
      <c r="HB113" s="450" t="s">
        <v>889</v>
      </c>
      <c r="HC113" s="450">
        <v>0</v>
      </c>
      <c r="HD113" s="450">
        <v>0</v>
      </c>
      <c r="HE113" s="450">
        <v>0</v>
      </c>
      <c r="HF113" s="450">
        <v>0</v>
      </c>
      <c r="HG113" s="472">
        <v>0</v>
      </c>
    </row>
    <row r="114" spans="2:215" ht="12.75">
      <c r="B114" s="445" t="s">
        <v>793</v>
      </c>
      <c r="C114" s="446">
        <v>17774</v>
      </c>
      <c r="D114" s="447">
        <v>4172142</v>
      </c>
      <c r="E114" s="447">
        <v>3579697.836</v>
      </c>
      <c r="F114" s="447">
        <v>824515.6014469432</v>
      </c>
      <c r="G114" s="447">
        <v>592444.1640000001</v>
      </c>
      <c r="H114" s="448">
        <v>0.6854832901991673</v>
      </c>
      <c r="I114" s="449">
        <v>11561.99</v>
      </c>
      <c r="J114" s="449">
        <v>621.79</v>
      </c>
      <c r="K114" s="447">
        <v>4404213.4374469435</v>
      </c>
      <c r="L114" s="447">
        <v>3523370.749957555</v>
      </c>
      <c r="M114" s="447">
        <v>1457449.2290072816</v>
      </c>
      <c r="N114" s="447">
        <v>880842.6874893885</v>
      </c>
      <c r="O114" s="450">
        <v>1.6546078541690108</v>
      </c>
      <c r="P114" s="451">
        <v>0.49645549679306855</v>
      </c>
      <c r="Q114" s="452">
        <v>0.5035445032069314</v>
      </c>
      <c r="R114" s="447">
        <v>4980819.978964836</v>
      </c>
      <c r="S114" s="447">
        <v>3367034.3057802296</v>
      </c>
      <c r="T114" s="447">
        <v>343005.0476388462</v>
      </c>
      <c r="U114" s="447">
        <v>1909062.319742758</v>
      </c>
      <c r="V114" s="447">
        <v>1135626.9552039828</v>
      </c>
      <c r="W114" s="450">
        <v>1.6810646409848997</v>
      </c>
      <c r="X114" s="452">
        <v>29.510251013801348</v>
      </c>
      <c r="Y114" s="447">
        <v>343005.0476388462</v>
      </c>
      <c r="Z114" s="447">
        <v>478158.7179806243</v>
      </c>
      <c r="AA114" s="448">
        <v>0.7173455899485353</v>
      </c>
      <c r="AB114" s="448">
        <v>0.05643074153257567</v>
      </c>
      <c r="AC114" s="449">
        <v>742</v>
      </c>
      <c r="AD114" s="449">
        <v>1264</v>
      </c>
      <c r="AE114" s="447">
        <v>5619101.6731618345</v>
      </c>
      <c r="AF114" s="447">
        <v>1425850.047424099</v>
      </c>
      <c r="AG114" s="451">
        <v>1</v>
      </c>
      <c r="AH114" s="450">
        <v>0.9375308778292585</v>
      </c>
      <c r="AI114" s="452">
        <v>0.7895040512084961</v>
      </c>
      <c r="AJ114" s="447">
        <v>7044951.720585933</v>
      </c>
      <c r="AK114" s="453">
        <v>1.0703</v>
      </c>
      <c r="AL114" s="447">
        <v>7540211.826543124</v>
      </c>
      <c r="AM114" s="447">
        <v>17738061.31167881</v>
      </c>
      <c r="AN114" s="447">
        <v>17562983.135938022</v>
      </c>
      <c r="AO114" s="447">
        <v>17028940.421831496</v>
      </c>
      <c r="AP114" s="447">
        <v>17562983.135938022</v>
      </c>
      <c r="AQ114" s="447">
        <v>71096</v>
      </c>
      <c r="AR114" s="447">
        <v>17634079.135938022</v>
      </c>
      <c r="AS114" s="454">
        <v>992.1277785494555</v>
      </c>
      <c r="AT114" s="450">
        <v>17772</v>
      </c>
      <c r="AU114" s="450">
        <v>410</v>
      </c>
      <c r="AV114" s="450">
        <v>115</v>
      </c>
      <c r="AW114" s="450">
        <v>924</v>
      </c>
      <c r="AX114" s="450">
        <v>395</v>
      </c>
      <c r="AY114" s="450">
        <v>596</v>
      </c>
      <c r="AZ114" s="450">
        <v>514</v>
      </c>
      <c r="BA114" s="450">
        <v>1564</v>
      </c>
      <c r="BB114" s="450">
        <v>196</v>
      </c>
      <c r="BC114" s="450">
        <v>651</v>
      </c>
      <c r="BD114" s="450">
        <v>3390</v>
      </c>
      <c r="BE114" s="450">
        <v>5388</v>
      </c>
      <c r="BF114" s="450">
        <v>3562</v>
      </c>
      <c r="BG114" s="450">
        <v>67</v>
      </c>
      <c r="BH114" s="450">
        <v>0</v>
      </c>
      <c r="BI114" s="450">
        <v>0</v>
      </c>
      <c r="BJ114" s="452">
        <v>2.487916210046971</v>
      </c>
      <c r="BK114" s="452">
        <v>23.008638575125538</v>
      </c>
      <c r="BL114" s="452">
        <v>11.451693273099451</v>
      </c>
      <c r="BM114" s="452">
        <v>23.113890604052177</v>
      </c>
      <c r="BN114" s="449">
        <v>8822</v>
      </c>
      <c r="BO114" s="449">
        <v>8950</v>
      </c>
      <c r="BP114" s="447">
        <v>7846681.229442713</v>
      </c>
      <c r="BQ114" s="447">
        <v>20914055</v>
      </c>
      <c r="BR114" s="447">
        <v>23660010</v>
      </c>
      <c r="BS114" s="448">
        <v>0.05643709205491785</v>
      </c>
      <c r="BT114" s="449">
        <v>742</v>
      </c>
      <c r="BU114" s="449">
        <v>1264</v>
      </c>
      <c r="BV114" s="447">
        <v>1335302.1623902768</v>
      </c>
      <c r="BW114" s="448">
        <v>0.023489239457596914</v>
      </c>
      <c r="BX114" s="447">
        <v>151810.01601476164</v>
      </c>
      <c r="BY114" s="447">
        <v>30247848.40784775</v>
      </c>
      <c r="BZ114" s="455">
        <v>1.1433333333333333</v>
      </c>
      <c r="CA114" s="447">
        <v>34583373.34630593</v>
      </c>
      <c r="CB114" s="447">
        <v>26007634.171343863</v>
      </c>
      <c r="CC114" s="447">
        <v>25975802.894029066</v>
      </c>
      <c r="CD114" s="447">
        <v>25108719.657998864</v>
      </c>
      <c r="CE114" s="447">
        <v>25975802.894029066</v>
      </c>
      <c r="CF114" s="454">
        <v>1461.6139373187636</v>
      </c>
      <c r="CG114" s="450">
        <v>15875</v>
      </c>
      <c r="CH114" s="450">
        <v>404</v>
      </c>
      <c r="CI114" s="450">
        <v>111</v>
      </c>
      <c r="CJ114" s="450">
        <v>870</v>
      </c>
      <c r="CK114" s="450">
        <v>339</v>
      </c>
      <c r="CL114" s="450">
        <v>438</v>
      </c>
      <c r="CM114" s="450">
        <v>473</v>
      </c>
      <c r="CN114" s="450">
        <v>1449</v>
      </c>
      <c r="CO114" s="450">
        <v>136</v>
      </c>
      <c r="CP114" s="450">
        <v>615</v>
      </c>
      <c r="CQ114" s="450">
        <v>2822</v>
      </c>
      <c r="CR114" s="450">
        <v>4747</v>
      </c>
      <c r="CS114" s="450">
        <v>3406</v>
      </c>
      <c r="CT114" s="450">
        <v>65</v>
      </c>
      <c r="CU114" s="450">
        <v>0</v>
      </c>
      <c r="CV114" s="450">
        <v>0</v>
      </c>
      <c r="CW114" s="447">
        <v>12884094.859901533</v>
      </c>
      <c r="CX114" s="452">
        <v>1.116137260555759</v>
      </c>
      <c r="CY114" s="452">
        <v>1.1433333333333333</v>
      </c>
      <c r="CZ114" s="447">
        <v>14380418.341671031</v>
      </c>
      <c r="DA114" s="454">
        <v>905.8531238847894</v>
      </c>
      <c r="DB114" s="449">
        <v>17774</v>
      </c>
      <c r="DC114" s="452">
        <v>1.0049510520985712</v>
      </c>
      <c r="DD114" s="454">
        <v>354.1</v>
      </c>
      <c r="DE114" s="447">
        <v>50460</v>
      </c>
      <c r="DF114" s="454">
        <v>59.621399150220256</v>
      </c>
      <c r="DG114" s="454">
        <v>62.18511931367972</v>
      </c>
      <c r="DH114" s="454">
        <v>63.55319193858066</v>
      </c>
      <c r="DI114" s="454">
        <v>64.95136216122943</v>
      </c>
      <c r="DJ114" s="454">
        <v>67.09475711254998</v>
      </c>
      <c r="DK114" s="454">
        <v>69.51016836860177</v>
      </c>
      <c r="DL114" s="454">
        <v>71.73449375639701</v>
      </c>
      <c r="DM114" s="454">
        <v>74.67560800040928</v>
      </c>
      <c r="DN114" s="454">
        <v>77.96133475242728</v>
      </c>
      <c r="DO114" s="454">
        <v>82.24920816381078</v>
      </c>
      <c r="DP114" s="454">
        <v>81.50896529033648</v>
      </c>
      <c r="DQ114" s="454">
        <v>85.66592252014364</v>
      </c>
      <c r="DR114" s="454">
        <v>90.8915437938724</v>
      </c>
      <c r="DS114" s="454">
        <v>47.69</v>
      </c>
      <c r="DT114" s="454">
        <v>50.22058119385806</v>
      </c>
      <c r="DU114" s="454">
        <v>52.839426000245865</v>
      </c>
      <c r="DV114" s="454">
        <v>56.14708081504097</v>
      </c>
      <c r="DW114" s="454">
        <v>59.78863181641377</v>
      </c>
      <c r="DX114" s="454">
        <v>63.37397232151533</v>
      </c>
      <c r="DY114" s="454">
        <v>67.71296574943982</v>
      </c>
      <c r="DZ114" s="454">
        <v>71.50000274352762</v>
      </c>
      <c r="EA114" s="454">
        <v>73.67044982733157</v>
      </c>
      <c r="EB114" s="454">
        <v>75.77665014743637</v>
      </c>
      <c r="EC114" s="454">
        <v>80.84619194799323</v>
      </c>
      <c r="ED114" s="454">
        <v>87.05624319108372</v>
      </c>
      <c r="EE114" s="454">
        <v>-0.86</v>
      </c>
      <c r="EF114" s="454">
        <v>86.19624319108372</v>
      </c>
      <c r="EG114" s="454">
        <v>4482.204645936354</v>
      </c>
      <c r="EH114" s="447">
        <v>78073371.26933528</v>
      </c>
      <c r="EI114" s="454">
        <v>51.27</v>
      </c>
      <c r="EJ114" s="454">
        <v>53.51346519385806</v>
      </c>
      <c r="EK114" s="454">
        <v>55.83082817624587</v>
      </c>
      <c r="EL114" s="454">
        <v>58.850934456872984</v>
      </c>
      <c r="EM114" s="454">
        <v>62.18965385036059</v>
      </c>
      <c r="EN114" s="454">
        <v>65.4388512707096</v>
      </c>
      <c r="EO114" s="454">
        <v>69.43259693832881</v>
      </c>
      <c r="EP114" s="454">
        <v>73.0958204868166</v>
      </c>
      <c r="EQ114" s="454">
        <v>75.19232801518149</v>
      </c>
      <c r="ER114" s="454">
        <v>76.7935671696545</v>
      </c>
      <c r="ES114" s="454">
        <v>81.70121578027423</v>
      </c>
      <c r="ET114" s="454">
        <v>87.7366284056213</v>
      </c>
      <c r="EU114" s="447">
        <v>791669159</v>
      </c>
      <c r="EV114" s="447">
        <v>0</v>
      </c>
      <c r="EW114" s="447">
        <v>0</v>
      </c>
      <c r="EX114" s="447">
        <v>0</v>
      </c>
      <c r="EY114" s="447">
        <v>0</v>
      </c>
      <c r="EZ114" s="447">
        <v>0</v>
      </c>
      <c r="FA114" s="447">
        <v>0</v>
      </c>
      <c r="FB114" s="447">
        <v>0</v>
      </c>
      <c r="FC114" s="447">
        <v>0</v>
      </c>
      <c r="FD114" s="447">
        <v>791669159</v>
      </c>
      <c r="FE114" s="447">
        <v>427517.55133054504</v>
      </c>
      <c r="FF114" s="447">
        <v>0</v>
      </c>
      <c r="FG114" s="447">
        <v>0</v>
      </c>
      <c r="FH114" s="447">
        <v>0</v>
      </c>
      <c r="FI114" s="456">
        <v>0</v>
      </c>
      <c r="FJ114" s="447">
        <v>0</v>
      </c>
      <c r="FK114" s="471">
        <v>0</v>
      </c>
      <c r="FL114" s="446">
        <v>85.08</v>
      </c>
      <c r="FM114" s="450">
        <v>82.69</v>
      </c>
      <c r="FN114" s="450">
        <v>81.83</v>
      </c>
      <c r="FO114" s="450">
        <v>-0.86</v>
      </c>
      <c r="FP114" s="472">
        <v>79.08</v>
      </c>
      <c r="FQ114" s="446">
        <v>257700</v>
      </c>
      <c r="FR114" s="450">
        <v>200350</v>
      </c>
      <c r="FS114" s="450">
        <v>0</v>
      </c>
      <c r="FT114" s="450">
        <v>0</v>
      </c>
      <c r="FU114" s="450">
        <v>0</v>
      </c>
      <c r="FV114" s="450">
        <v>0</v>
      </c>
      <c r="FW114" s="450">
        <v>0</v>
      </c>
      <c r="FX114" s="450">
        <v>0</v>
      </c>
      <c r="FY114" s="450">
        <v>0</v>
      </c>
      <c r="FZ114" s="450">
        <v>0</v>
      </c>
      <c r="GA114" s="450">
        <v>0</v>
      </c>
      <c r="GB114" s="450">
        <v>0</v>
      </c>
      <c r="GC114" s="450">
        <v>0</v>
      </c>
      <c r="GD114" s="450">
        <v>0</v>
      </c>
      <c r="GE114" s="450">
        <v>0</v>
      </c>
      <c r="GF114" s="450">
        <v>0</v>
      </c>
      <c r="GG114" s="450">
        <v>0</v>
      </c>
      <c r="GH114" s="450">
        <v>0</v>
      </c>
      <c r="GI114" s="450">
        <v>0</v>
      </c>
      <c r="GJ114" s="450">
        <v>0</v>
      </c>
      <c r="GK114" s="450">
        <v>0</v>
      </c>
      <c r="GL114" s="450">
        <v>0</v>
      </c>
      <c r="GM114" s="450">
        <v>0</v>
      </c>
      <c r="GN114" s="450">
        <v>0</v>
      </c>
      <c r="GO114" s="450">
        <v>0</v>
      </c>
      <c r="GP114" s="450">
        <v>0</v>
      </c>
      <c r="GQ114" s="450">
        <v>0</v>
      </c>
      <c r="GR114" s="450">
        <v>0</v>
      </c>
      <c r="GS114" s="450">
        <v>0</v>
      </c>
      <c r="GT114" s="450">
        <v>0</v>
      </c>
      <c r="GU114" s="450">
        <v>0</v>
      </c>
      <c r="GV114" s="450">
        <v>0</v>
      </c>
      <c r="GW114" s="450">
        <v>0</v>
      </c>
      <c r="GX114" s="450">
        <v>709802373</v>
      </c>
      <c r="GY114" s="450">
        <v>709802373</v>
      </c>
      <c r="GZ114" s="450">
        <v>207</v>
      </c>
      <c r="HA114" s="450" t="s">
        <v>888</v>
      </c>
      <c r="HB114" s="450" t="s">
        <v>888</v>
      </c>
      <c r="HC114" s="450">
        <v>25</v>
      </c>
      <c r="HD114" s="450">
        <v>0</v>
      </c>
      <c r="HE114" s="450">
        <v>39</v>
      </c>
      <c r="HF114" s="450">
        <v>0</v>
      </c>
      <c r="HG114" s="472">
        <v>0</v>
      </c>
    </row>
    <row r="115" spans="2:215" ht="12.75">
      <c r="B115" s="445" t="s">
        <v>794</v>
      </c>
      <c r="C115" s="446">
        <v>3793</v>
      </c>
      <c r="D115" s="447">
        <v>914569</v>
      </c>
      <c r="E115" s="447">
        <v>784700.2019999999</v>
      </c>
      <c r="F115" s="447">
        <v>56783.070251544275</v>
      </c>
      <c r="G115" s="447">
        <v>129868.79800000001</v>
      </c>
      <c r="H115" s="448">
        <v>0.21535723701555498</v>
      </c>
      <c r="I115" s="449">
        <v>379.14</v>
      </c>
      <c r="J115" s="449">
        <v>437.71</v>
      </c>
      <c r="K115" s="447">
        <v>841483.2722515442</v>
      </c>
      <c r="L115" s="447">
        <v>673186.6178012354</v>
      </c>
      <c r="M115" s="447">
        <v>178448.5855175987</v>
      </c>
      <c r="N115" s="447">
        <v>168296.6544503088</v>
      </c>
      <c r="O115" s="450">
        <v>1.0603216451357764</v>
      </c>
      <c r="P115" s="451">
        <v>0.9535987345109412</v>
      </c>
      <c r="Q115" s="452">
        <v>0.04640126548905879</v>
      </c>
      <c r="R115" s="447">
        <v>851635.2033188341</v>
      </c>
      <c r="S115" s="447">
        <v>575705.3974435319</v>
      </c>
      <c r="T115" s="447">
        <v>84666.8009097747</v>
      </c>
      <c r="U115" s="447">
        <v>54446.15984514923</v>
      </c>
      <c r="V115" s="447">
        <v>194172.8263566942</v>
      </c>
      <c r="W115" s="450">
        <v>0.280400511578958</v>
      </c>
      <c r="X115" s="452">
        <v>4.922291076353495</v>
      </c>
      <c r="Y115" s="447">
        <v>84666.8009097747</v>
      </c>
      <c r="Z115" s="447">
        <v>81756.97951860807</v>
      </c>
      <c r="AA115" s="448">
        <v>1.0355911068180343</v>
      </c>
      <c r="AB115" s="448">
        <v>0.08146585815976799</v>
      </c>
      <c r="AC115" s="449">
        <v>304</v>
      </c>
      <c r="AD115" s="449">
        <v>314</v>
      </c>
      <c r="AE115" s="447">
        <v>714818.3581984559</v>
      </c>
      <c r="AF115" s="447">
        <v>0</v>
      </c>
      <c r="AG115" s="451">
        <v>0</v>
      </c>
      <c r="AH115" s="450">
        <v>0</v>
      </c>
      <c r="AI115" s="452">
        <v>0</v>
      </c>
      <c r="AJ115" s="447">
        <v>714818.3581984559</v>
      </c>
      <c r="AK115" s="453">
        <v>1</v>
      </c>
      <c r="AL115" s="447">
        <v>714818.3581984559</v>
      </c>
      <c r="AM115" s="447">
        <v>1681582.9788499214</v>
      </c>
      <c r="AN115" s="447">
        <v>1664985.4220413903</v>
      </c>
      <c r="AO115" s="447">
        <v>1588735.3999546778</v>
      </c>
      <c r="AP115" s="447">
        <v>1664985.4220413903</v>
      </c>
      <c r="AQ115" s="447">
        <v>15172</v>
      </c>
      <c r="AR115" s="447">
        <v>1680157.4220413903</v>
      </c>
      <c r="AS115" s="454">
        <v>442.9626738838361</v>
      </c>
      <c r="AT115" s="450">
        <v>3793</v>
      </c>
      <c r="AU115" s="450">
        <v>17</v>
      </c>
      <c r="AV115" s="450">
        <v>379</v>
      </c>
      <c r="AW115" s="450">
        <v>190</v>
      </c>
      <c r="AX115" s="450">
        <v>0</v>
      </c>
      <c r="AY115" s="450">
        <v>458</v>
      </c>
      <c r="AZ115" s="450">
        <v>36</v>
      </c>
      <c r="BA115" s="450">
        <v>58</v>
      </c>
      <c r="BB115" s="450">
        <v>609</v>
      </c>
      <c r="BC115" s="450">
        <v>0</v>
      </c>
      <c r="BD115" s="450">
        <v>250</v>
      </c>
      <c r="BE115" s="450">
        <v>176</v>
      </c>
      <c r="BF115" s="450">
        <v>0</v>
      </c>
      <c r="BG115" s="450">
        <v>1620</v>
      </c>
      <c r="BH115" s="450">
        <v>0</v>
      </c>
      <c r="BI115" s="450">
        <v>0</v>
      </c>
      <c r="BJ115" s="452">
        <v>1.193491145425773</v>
      </c>
      <c r="BK115" s="452">
        <v>5.955287075154626</v>
      </c>
      <c r="BL115" s="452">
        <v>3.820740608157827</v>
      </c>
      <c r="BM115" s="452">
        <v>4.269092933993597</v>
      </c>
      <c r="BN115" s="449">
        <v>3617</v>
      </c>
      <c r="BO115" s="449">
        <v>176</v>
      </c>
      <c r="BP115" s="447">
        <v>1044379.9421897132</v>
      </c>
      <c r="BQ115" s="447">
        <v>3861330</v>
      </c>
      <c r="BR115" s="447">
        <v>5063619</v>
      </c>
      <c r="BS115" s="448">
        <v>0.08146585815976799</v>
      </c>
      <c r="BT115" s="449">
        <v>304</v>
      </c>
      <c r="BU115" s="449">
        <v>314</v>
      </c>
      <c r="BV115" s="447">
        <v>412512.06722910627</v>
      </c>
      <c r="BW115" s="448">
        <v>0.008390313201911291</v>
      </c>
      <c r="BX115" s="447">
        <v>2995.490600899379</v>
      </c>
      <c r="BY115" s="447">
        <v>5321217.500019719</v>
      </c>
      <c r="BZ115" s="455">
        <v>0.9</v>
      </c>
      <c r="CA115" s="447">
        <v>4789095.750017747</v>
      </c>
      <c r="CB115" s="447">
        <v>3601529.8169663236</v>
      </c>
      <c r="CC115" s="447">
        <v>3597121.830695597</v>
      </c>
      <c r="CD115" s="447">
        <v>3533729.2538749333</v>
      </c>
      <c r="CE115" s="447">
        <v>3597121.830695597</v>
      </c>
      <c r="CF115" s="454">
        <v>948.3579833102023</v>
      </c>
      <c r="CG115" s="450">
        <v>3793</v>
      </c>
      <c r="CH115" s="450">
        <v>17</v>
      </c>
      <c r="CI115" s="450">
        <v>379</v>
      </c>
      <c r="CJ115" s="450">
        <v>190</v>
      </c>
      <c r="CK115" s="450">
        <v>0</v>
      </c>
      <c r="CL115" s="450">
        <v>458</v>
      </c>
      <c r="CM115" s="450">
        <v>36</v>
      </c>
      <c r="CN115" s="450">
        <v>58</v>
      </c>
      <c r="CO115" s="450">
        <v>609</v>
      </c>
      <c r="CP115" s="450">
        <v>0</v>
      </c>
      <c r="CQ115" s="450">
        <v>250</v>
      </c>
      <c r="CR115" s="450">
        <v>176</v>
      </c>
      <c r="CS115" s="450">
        <v>0</v>
      </c>
      <c r="CT115" s="450">
        <v>1620</v>
      </c>
      <c r="CU115" s="450">
        <v>0</v>
      </c>
      <c r="CV115" s="450">
        <v>0</v>
      </c>
      <c r="CW115" s="447">
        <v>2525029.11806779</v>
      </c>
      <c r="CX115" s="452">
        <v>0.8785920126823759</v>
      </c>
      <c r="CY115" s="452">
        <v>0.9</v>
      </c>
      <c r="CZ115" s="447">
        <v>2218470.414924784</v>
      </c>
      <c r="DA115" s="454">
        <v>584.8854244462916</v>
      </c>
      <c r="DB115" s="449">
        <v>3793</v>
      </c>
      <c r="DC115" s="452">
        <v>1.0301871869232797</v>
      </c>
      <c r="DD115" s="454">
        <v>286.7</v>
      </c>
      <c r="DE115" s="447">
        <v>35493</v>
      </c>
      <c r="DF115" s="454">
        <v>47.38108404463584</v>
      </c>
      <c r="DG115" s="454">
        <v>49.41847065855518</v>
      </c>
      <c r="DH115" s="454">
        <v>50.50567701304338</v>
      </c>
      <c r="DI115" s="454">
        <v>51.61680190733033</v>
      </c>
      <c r="DJ115" s="454">
        <v>53.32015637027222</v>
      </c>
      <c r="DK115" s="454">
        <v>55.23968199960201</v>
      </c>
      <c r="DL115" s="454">
        <v>57.00735182358927</v>
      </c>
      <c r="DM115" s="454">
        <v>59.34465324835642</v>
      </c>
      <c r="DN115" s="454">
        <v>61.95581799128409</v>
      </c>
      <c r="DO115" s="454">
        <v>65.36338798080472</v>
      </c>
      <c r="DP115" s="454">
        <v>64.77511748897747</v>
      </c>
      <c r="DQ115" s="454">
        <v>68.07864848091532</v>
      </c>
      <c r="DR115" s="454">
        <v>72.23144603825115</v>
      </c>
      <c r="DS115" s="454">
        <v>36.44</v>
      </c>
      <c r="DT115" s="454">
        <v>38.56807970130433</v>
      </c>
      <c r="DU115" s="454">
        <v>40.77215794946605</v>
      </c>
      <c r="DV115" s="454">
        <v>43.51795381285765</v>
      </c>
      <c r="DW115" s="454">
        <v>46.535326128617875</v>
      </c>
      <c r="DX115" s="454">
        <v>49.52160577454291</v>
      </c>
      <c r="DY115" s="454">
        <v>53.110523938710614</v>
      </c>
      <c r="DZ115" s="454">
        <v>56.170545991932784</v>
      </c>
      <c r="EA115" s="454">
        <v>59.66682348544346</v>
      </c>
      <c r="EB115" s="454">
        <v>60.96868051541095</v>
      </c>
      <c r="EC115" s="454">
        <v>64.87819627354058</v>
      </c>
      <c r="ED115" s="454">
        <v>69.68468619423271</v>
      </c>
      <c r="EE115" s="454">
        <v>0</v>
      </c>
      <c r="EF115" s="454">
        <v>69.68468619423271</v>
      </c>
      <c r="EG115" s="454">
        <v>3623.6036821001007</v>
      </c>
      <c r="EH115" s="447">
        <v>13469442.190881567</v>
      </c>
      <c r="EI115" s="454">
        <v>39.27</v>
      </c>
      <c r="EJ115" s="454">
        <v>41.171113701304336</v>
      </c>
      <c r="EK115" s="454">
        <v>43.136869725466056</v>
      </c>
      <c r="EL115" s="454">
        <v>45.65535766938966</v>
      </c>
      <c r="EM115" s="454">
        <v>48.433340753218296</v>
      </c>
      <c r="EN115" s="454">
        <v>51.15389835169927</v>
      </c>
      <c r="EO115" s="454">
        <v>54.469897196966436</v>
      </c>
      <c r="EP115" s="454">
        <v>57.43204437559419</v>
      </c>
      <c r="EQ115" s="454">
        <v>60.90897889388872</v>
      </c>
      <c r="ER115" s="454">
        <v>61.79868714089055</v>
      </c>
      <c r="ES115" s="454">
        <v>65.57606584424384</v>
      </c>
      <c r="ET115" s="454">
        <v>70.24001590511983</v>
      </c>
      <c r="EU115" s="447">
        <v>18868225</v>
      </c>
      <c r="EV115" s="447">
        <v>0</v>
      </c>
      <c r="EW115" s="447">
        <v>0</v>
      </c>
      <c r="EX115" s="447">
        <v>1960000</v>
      </c>
      <c r="EY115" s="447">
        <v>0</v>
      </c>
      <c r="EZ115" s="447">
        <v>0</v>
      </c>
      <c r="FA115" s="447">
        <v>0</v>
      </c>
      <c r="FB115" s="447">
        <v>0</v>
      </c>
      <c r="FC115" s="447">
        <v>0</v>
      </c>
      <c r="FD115" s="447">
        <v>20828225</v>
      </c>
      <c r="FE115" s="447">
        <v>50704.015961422425</v>
      </c>
      <c r="FF115" s="447">
        <v>0</v>
      </c>
      <c r="FG115" s="447">
        <v>0</v>
      </c>
      <c r="FH115" s="447">
        <v>49000</v>
      </c>
      <c r="FI115" s="456">
        <v>0.07769999999999999</v>
      </c>
      <c r="FJ115" s="447">
        <v>3807.3</v>
      </c>
      <c r="FK115" s="471">
        <v>3807.3</v>
      </c>
      <c r="FL115" s="446">
        <v>0</v>
      </c>
      <c r="FM115" s="450">
        <v>0</v>
      </c>
      <c r="FN115" s="450">
        <v>0</v>
      </c>
      <c r="FO115" s="450">
        <v>0</v>
      </c>
      <c r="FP115" s="472">
        <v>63.72</v>
      </c>
      <c r="FQ115" s="446">
        <v>0</v>
      </c>
      <c r="FR115" s="450">
        <v>16890</v>
      </c>
      <c r="FS115" s="450">
        <v>0</v>
      </c>
      <c r="FT115" s="450">
        <v>0</v>
      </c>
      <c r="FU115" s="450">
        <v>0</v>
      </c>
      <c r="FV115" s="450">
        <v>0</v>
      </c>
      <c r="FW115" s="450">
        <v>0</v>
      </c>
      <c r="FX115" s="450">
        <v>0</v>
      </c>
      <c r="FY115" s="450">
        <v>0</v>
      </c>
      <c r="FZ115" s="450">
        <v>0</v>
      </c>
      <c r="GA115" s="450">
        <v>0</v>
      </c>
      <c r="GB115" s="450">
        <v>0</v>
      </c>
      <c r="GC115" s="450">
        <v>0</v>
      </c>
      <c r="GD115" s="450">
        <v>0</v>
      </c>
      <c r="GE115" s="450">
        <v>0</v>
      </c>
      <c r="GF115" s="450">
        <v>0</v>
      </c>
      <c r="GG115" s="450">
        <v>0</v>
      </c>
      <c r="GH115" s="450">
        <v>0</v>
      </c>
      <c r="GI115" s="450">
        <v>0</v>
      </c>
      <c r="GJ115" s="450">
        <v>0</v>
      </c>
      <c r="GK115" s="450">
        <v>0</v>
      </c>
      <c r="GL115" s="450">
        <v>0</v>
      </c>
      <c r="GM115" s="450">
        <v>0</v>
      </c>
      <c r="GN115" s="450">
        <v>0</v>
      </c>
      <c r="GO115" s="450">
        <v>0</v>
      </c>
      <c r="GP115" s="450">
        <v>0</v>
      </c>
      <c r="GQ115" s="450">
        <v>0</v>
      </c>
      <c r="GR115" s="450">
        <v>0</v>
      </c>
      <c r="GS115" s="450">
        <v>0</v>
      </c>
      <c r="GT115" s="450">
        <v>0</v>
      </c>
      <c r="GU115" s="450">
        <v>0</v>
      </c>
      <c r="GV115" s="450">
        <v>0</v>
      </c>
      <c r="GW115" s="450">
        <v>2373754</v>
      </c>
      <c r="GX115" s="450">
        <v>12662870</v>
      </c>
      <c r="GY115" s="450">
        <v>13215865</v>
      </c>
      <c r="GZ115" s="450">
        <v>3</v>
      </c>
      <c r="HA115" s="450" t="s">
        <v>888</v>
      </c>
      <c r="HB115" s="450" t="s">
        <v>888</v>
      </c>
      <c r="HC115" s="450">
        <v>0</v>
      </c>
      <c r="HD115" s="450">
        <v>0</v>
      </c>
      <c r="HE115" s="450">
        <v>0</v>
      </c>
      <c r="HF115" s="450">
        <v>0</v>
      </c>
      <c r="HG115" s="472">
        <v>0</v>
      </c>
    </row>
    <row r="116" spans="2:215" ht="12.75">
      <c r="B116" s="445" t="s">
        <v>795</v>
      </c>
      <c r="C116" s="446">
        <v>15524</v>
      </c>
      <c r="D116" s="447">
        <v>3647892</v>
      </c>
      <c r="E116" s="447">
        <v>3129891.336</v>
      </c>
      <c r="F116" s="447">
        <v>376337.7931258907</v>
      </c>
      <c r="G116" s="447">
        <v>518000.66400000005</v>
      </c>
      <c r="H116" s="448">
        <v>0.35784333934552953</v>
      </c>
      <c r="I116" s="449">
        <v>4142.06</v>
      </c>
      <c r="J116" s="449">
        <v>1413.1</v>
      </c>
      <c r="K116" s="447">
        <v>3506229.129125891</v>
      </c>
      <c r="L116" s="447">
        <v>2804983.3033007127</v>
      </c>
      <c r="M116" s="447">
        <v>801134.0566063694</v>
      </c>
      <c r="N116" s="447">
        <v>701245.825825178</v>
      </c>
      <c r="O116" s="450">
        <v>1.1424439577428498</v>
      </c>
      <c r="P116" s="451">
        <v>0.8904277248131924</v>
      </c>
      <c r="Q116" s="452">
        <v>0.10957227518680752</v>
      </c>
      <c r="R116" s="447">
        <v>3606117.3599070823</v>
      </c>
      <c r="S116" s="447">
        <v>2437735.335297188</v>
      </c>
      <c r="T116" s="447">
        <v>437832.54831832985</v>
      </c>
      <c r="U116" s="447">
        <v>460971.89967195265</v>
      </c>
      <c r="V116" s="447">
        <v>822194.7580588148</v>
      </c>
      <c r="W116" s="450">
        <v>0.5606602269762677</v>
      </c>
      <c r="X116" s="452">
        <v>9.842110545987694</v>
      </c>
      <c r="Y116" s="447">
        <v>437832.54831832985</v>
      </c>
      <c r="Z116" s="447">
        <v>346187.2665510799</v>
      </c>
      <c r="AA116" s="448">
        <v>1.2647274773571942</v>
      </c>
      <c r="AB116" s="448">
        <v>0.099491110538521</v>
      </c>
      <c r="AC116" s="449">
        <v>1481</v>
      </c>
      <c r="AD116" s="449">
        <v>1608</v>
      </c>
      <c r="AE116" s="447">
        <v>3336539.78328747</v>
      </c>
      <c r="AF116" s="447">
        <v>237880.13570253877</v>
      </c>
      <c r="AG116" s="451">
        <v>0.5</v>
      </c>
      <c r="AH116" s="450">
        <v>0.2895001047545841</v>
      </c>
      <c r="AI116" s="452">
        <v>0.2437909096479416</v>
      </c>
      <c r="AJ116" s="447">
        <v>3574419.918990009</v>
      </c>
      <c r="AK116" s="453">
        <v>1</v>
      </c>
      <c r="AL116" s="447">
        <v>3574419.918990009</v>
      </c>
      <c r="AM116" s="447">
        <v>8408686.802874418</v>
      </c>
      <c r="AN116" s="447">
        <v>8325691.399940864</v>
      </c>
      <c r="AO116" s="447">
        <v>8283469.547381114</v>
      </c>
      <c r="AP116" s="447">
        <v>8325691.399940864</v>
      </c>
      <c r="AQ116" s="447">
        <v>62096</v>
      </c>
      <c r="AR116" s="447">
        <v>8387787.399940864</v>
      </c>
      <c r="AS116" s="454">
        <v>540.3109636653481</v>
      </c>
      <c r="AT116" s="450">
        <v>15524</v>
      </c>
      <c r="AU116" s="450">
        <v>603</v>
      </c>
      <c r="AV116" s="450">
        <v>1717</v>
      </c>
      <c r="AW116" s="450">
        <v>871</v>
      </c>
      <c r="AX116" s="450">
        <v>71</v>
      </c>
      <c r="AY116" s="450">
        <v>3218</v>
      </c>
      <c r="AZ116" s="450">
        <v>1150</v>
      </c>
      <c r="BA116" s="450">
        <v>912</v>
      </c>
      <c r="BB116" s="450">
        <v>538</v>
      </c>
      <c r="BC116" s="450">
        <v>534</v>
      </c>
      <c r="BD116" s="450">
        <v>2419</v>
      </c>
      <c r="BE116" s="450">
        <v>1701</v>
      </c>
      <c r="BF116" s="450">
        <v>0</v>
      </c>
      <c r="BG116" s="450">
        <v>1790</v>
      </c>
      <c r="BH116" s="450">
        <v>0</v>
      </c>
      <c r="BI116" s="450">
        <v>0</v>
      </c>
      <c r="BJ116" s="452">
        <v>1.354311274624672</v>
      </c>
      <c r="BK116" s="452">
        <v>9.592434201340069</v>
      </c>
      <c r="BL116" s="452">
        <v>7.419354092168032</v>
      </c>
      <c r="BM116" s="452">
        <v>4.346160218344076</v>
      </c>
      <c r="BN116" s="449">
        <v>13823</v>
      </c>
      <c r="BO116" s="449">
        <v>1701</v>
      </c>
      <c r="BP116" s="447">
        <v>4476940.008970405</v>
      </c>
      <c r="BQ116" s="447">
        <v>16099460</v>
      </c>
      <c r="BR116" s="447">
        <v>21968842</v>
      </c>
      <c r="BS116" s="448">
        <v>0.099491110538521</v>
      </c>
      <c r="BT116" s="449">
        <v>1481</v>
      </c>
      <c r="BU116" s="449">
        <v>1608</v>
      </c>
      <c r="BV116" s="447">
        <v>2185704.487825303</v>
      </c>
      <c r="BW116" s="448">
        <v>0.02259457801768888</v>
      </c>
      <c r="BX116" s="447">
        <v>53179.09494044322</v>
      </c>
      <c r="BY116" s="447">
        <v>22815283.591736153</v>
      </c>
      <c r="BZ116" s="455">
        <v>0.9333333333333335</v>
      </c>
      <c r="CA116" s="447">
        <v>21294264.685620412</v>
      </c>
      <c r="CB116" s="447">
        <v>16013864.244696034</v>
      </c>
      <c r="CC116" s="447">
        <v>15994264.547534188</v>
      </c>
      <c r="CD116" s="447">
        <v>16069132.278630625</v>
      </c>
      <c r="CE116" s="447">
        <v>16069132.278630625</v>
      </c>
      <c r="CF116" s="454">
        <v>1035.1154521148303</v>
      </c>
      <c r="CG116" s="450">
        <v>15524</v>
      </c>
      <c r="CH116" s="450">
        <v>603</v>
      </c>
      <c r="CI116" s="450">
        <v>1717</v>
      </c>
      <c r="CJ116" s="450">
        <v>871</v>
      </c>
      <c r="CK116" s="450">
        <v>71</v>
      </c>
      <c r="CL116" s="450">
        <v>3218</v>
      </c>
      <c r="CM116" s="450">
        <v>1150</v>
      </c>
      <c r="CN116" s="450">
        <v>912</v>
      </c>
      <c r="CO116" s="450">
        <v>538</v>
      </c>
      <c r="CP116" s="450">
        <v>534</v>
      </c>
      <c r="CQ116" s="450">
        <v>2419</v>
      </c>
      <c r="CR116" s="450">
        <v>1701</v>
      </c>
      <c r="CS116" s="450">
        <v>0</v>
      </c>
      <c r="CT116" s="450">
        <v>1790</v>
      </c>
      <c r="CU116" s="450">
        <v>0</v>
      </c>
      <c r="CV116" s="450">
        <v>0</v>
      </c>
      <c r="CW116" s="447">
        <v>10945939.337015882</v>
      </c>
      <c r="CX116" s="452">
        <v>0.9111324575965379</v>
      </c>
      <c r="CY116" s="452">
        <v>0.9333333333333335</v>
      </c>
      <c r="CZ116" s="447">
        <v>9973200.6088379</v>
      </c>
      <c r="DA116" s="454">
        <v>642.4375553232351</v>
      </c>
      <c r="DB116" s="449">
        <v>15524</v>
      </c>
      <c r="DC116" s="452">
        <v>1.0181460963669158</v>
      </c>
      <c r="DD116" s="454">
        <v>307.9</v>
      </c>
      <c r="DE116" s="447">
        <v>28155</v>
      </c>
      <c r="DF116" s="454">
        <v>47.15533635625388</v>
      </c>
      <c r="DG116" s="454">
        <v>49.183015819572795</v>
      </c>
      <c r="DH116" s="454">
        <v>50.26504216760338</v>
      </c>
      <c r="DI116" s="454">
        <v>51.37087309529065</v>
      </c>
      <c r="DJ116" s="454">
        <v>53.066111907435236</v>
      </c>
      <c r="DK116" s="454">
        <v>54.976491936102896</v>
      </c>
      <c r="DL116" s="454">
        <v>56.73573967805818</v>
      </c>
      <c r="DM116" s="454">
        <v>59.06190500485856</v>
      </c>
      <c r="DN116" s="454">
        <v>61.66062882507232</v>
      </c>
      <c r="DO116" s="454">
        <v>65.0519634104513</v>
      </c>
      <c r="DP116" s="454">
        <v>64.46649573975724</v>
      </c>
      <c r="DQ116" s="454">
        <v>67.75428702248485</v>
      </c>
      <c r="DR116" s="454">
        <v>71.88729853085641</v>
      </c>
      <c r="DS116" s="454">
        <v>35.67</v>
      </c>
      <c r="DT116" s="454">
        <v>37.83577021676033</v>
      </c>
      <c r="DU116" s="454">
        <v>40.07957004305812</v>
      </c>
      <c r="DV116" s="454">
        <v>42.86018536109856</v>
      </c>
      <c r="DW116" s="454">
        <v>45.91362916295593</v>
      </c>
      <c r="DX116" s="454">
        <v>48.94167769315179</v>
      </c>
      <c r="DY116" s="454">
        <v>52.57101018382852</v>
      </c>
      <c r="DZ116" s="454">
        <v>55.637078431156446</v>
      </c>
      <c r="EA116" s="454">
        <v>57.39602469120962</v>
      </c>
      <c r="EB116" s="454">
        <v>59.350807462724404</v>
      </c>
      <c r="EC116" s="454">
        <v>63.453016319155644</v>
      </c>
      <c r="ED116" s="454">
        <v>68.46456236868221</v>
      </c>
      <c r="EE116" s="454">
        <v>-2.39</v>
      </c>
      <c r="EF116" s="454">
        <v>66.07456236868221</v>
      </c>
      <c r="EG116" s="454">
        <v>3435.8772431714747</v>
      </c>
      <c r="EH116" s="447">
        <v>52271787.15653409</v>
      </c>
      <c r="EI116" s="454">
        <v>36.48</v>
      </c>
      <c r="EJ116" s="454">
        <v>38.58080821676033</v>
      </c>
      <c r="EK116" s="454">
        <v>40.756395675058116</v>
      </c>
      <c r="EL116" s="454">
        <v>43.47195112922255</v>
      </c>
      <c r="EM116" s="454">
        <v>46.45687716505003</v>
      </c>
      <c r="EN116" s="454">
        <v>49.40887097495272</v>
      </c>
      <c r="EO116" s="454">
        <v>52.960088748912334</v>
      </c>
      <c r="EP116" s="454">
        <v>55.99814333955423</v>
      </c>
      <c r="EQ116" s="454">
        <v>57.74036025885164</v>
      </c>
      <c r="ER116" s="454">
        <v>59.58089204037711</v>
      </c>
      <c r="ES116" s="454">
        <v>63.646471432046035</v>
      </c>
      <c r="ET116" s="454">
        <v>68.61850427476473</v>
      </c>
      <c r="EU116" s="447">
        <v>142391717</v>
      </c>
      <c r="EV116" s="447">
        <v>0</v>
      </c>
      <c r="EW116" s="447">
        <v>0</v>
      </c>
      <c r="EX116" s="447">
        <v>0</v>
      </c>
      <c r="EY116" s="447">
        <v>0</v>
      </c>
      <c r="EZ116" s="447">
        <v>0</v>
      </c>
      <c r="FA116" s="447">
        <v>0</v>
      </c>
      <c r="FB116" s="447">
        <v>0</v>
      </c>
      <c r="FC116" s="447">
        <v>0</v>
      </c>
      <c r="FD116" s="447">
        <v>142391717</v>
      </c>
      <c r="FE116" s="447">
        <v>110128.42788858671</v>
      </c>
      <c r="FF116" s="447">
        <v>0</v>
      </c>
      <c r="FG116" s="447">
        <v>0</v>
      </c>
      <c r="FH116" s="447">
        <v>1446</v>
      </c>
      <c r="FI116" s="456">
        <v>0.0571</v>
      </c>
      <c r="FJ116" s="447">
        <v>82.5666</v>
      </c>
      <c r="FK116" s="471">
        <v>82.5666</v>
      </c>
      <c r="FL116" s="446">
        <v>67.76</v>
      </c>
      <c r="FM116" s="450">
        <v>63.11</v>
      </c>
      <c r="FN116" s="450">
        <v>60.72</v>
      </c>
      <c r="FO116" s="450">
        <v>-2.39</v>
      </c>
      <c r="FP116" s="472">
        <v>60.49</v>
      </c>
      <c r="FQ116" s="446">
        <v>172579</v>
      </c>
      <c r="FR116" s="450">
        <v>713778</v>
      </c>
      <c r="FS116" s="450">
        <v>0</v>
      </c>
      <c r="FT116" s="450">
        <v>0</v>
      </c>
      <c r="FU116" s="450">
        <v>0</v>
      </c>
      <c r="FV116" s="450">
        <v>0</v>
      </c>
      <c r="FW116" s="450">
        <v>0</v>
      </c>
      <c r="FX116" s="450">
        <v>0</v>
      </c>
      <c r="FY116" s="450">
        <v>0</v>
      </c>
      <c r="FZ116" s="450">
        <v>0</v>
      </c>
      <c r="GA116" s="450">
        <v>0</v>
      </c>
      <c r="GB116" s="450">
        <v>0</v>
      </c>
      <c r="GC116" s="450">
        <v>0</v>
      </c>
      <c r="GD116" s="450">
        <v>0</v>
      </c>
      <c r="GE116" s="450">
        <v>0</v>
      </c>
      <c r="GF116" s="450">
        <v>0</v>
      </c>
      <c r="GG116" s="450">
        <v>0</v>
      </c>
      <c r="GH116" s="450">
        <v>0</v>
      </c>
      <c r="GI116" s="450">
        <v>0</v>
      </c>
      <c r="GJ116" s="450">
        <v>0</v>
      </c>
      <c r="GK116" s="450">
        <v>0</v>
      </c>
      <c r="GL116" s="450">
        <v>0</v>
      </c>
      <c r="GM116" s="450">
        <v>0</v>
      </c>
      <c r="GN116" s="450">
        <v>0</v>
      </c>
      <c r="GO116" s="450">
        <v>0</v>
      </c>
      <c r="GP116" s="450">
        <v>0</v>
      </c>
      <c r="GQ116" s="450">
        <v>0</v>
      </c>
      <c r="GR116" s="450">
        <v>0</v>
      </c>
      <c r="GS116" s="450">
        <v>0</v>
      </c>
      <c r="GT116" s="450">
        <v>0</v>
      </c>
      <c r="GU116" s="450">
        <v>0</v>
      </c>
      <c r="GV116" s="450">
        <v>0</v>
      </c>
      <c r="GW116" s="450">
        <v>0</v>
      </c>
      <c r="GX116" s="450">
        <v>162159053</v>
      </c>
      <c r="GY116" s="450">
        <v>162631053</v>
      </c>
      <c r="GZ116" s="450">
        <v>31</v>
      </c>
      <c r="HA116" s="450" t="s">
        <v>888</v>
      </c>
      <c r="HB116" s="450" t="s">
        <v>888</v>
      </c>
      <c r="HC116" s="450">
        <v>108</v>
      </c>
      <c r="HD116" s="450">
        <v>0</v>
      </c>
      <c r="HE116" s="450">
        <v>0</v>
      </c>
      <c r="HF116" s="450">
        <v>0</v>
      </c>
      <c r="HG116" s="472">
        <v>0</v>
      </c>
    </row>
    <row r="117" spans="2:215" ht="12.75">
      <c r="B117" s="445" t="s">
        <v>796</v>
      </c>
      <c r="C117" s="446">
        <v>2722</v>
      </c>
      <c r="D117" s="447">
        <v>665026</v>
      </c>
      <c r="E117" s="447">
        <v>570592.308</v>
      </c>
      <c r="F117" s="447">
        <v>60950.91183687908</v>
      </c>
      <c r="G117" s="447">
        <v>94433.69200000001</v>
      </c>
      <c r="H117" s="448">
        <v>0.3179059515062454</v>
      </c>
      <c r="I117" s="449">
        <v>598.97</v>
      </c>
      <c r="J117" s="449">
        <v>266.37</v>
      </c>
      <c r="K117" s="447">
        <v>631543.219836879</v>
      </c>
      <c r="L117" s="447">
        <v>505234.57586950326</v>
      </c>
      <c r="M117" s="447">
        <v>155505.33712838712</v>
      </c>
      <c r="N117" s="447">
        <v>126308.64396737578</v>
      </c>
      <c r="O117" s="450">
        <v>1.2311535635562088</v>
      </c>
      <c r="P117" s="451">
        <v>0.8221895664952241</v>
      </c>
      <c r="Q117" s="452">
        <v>0.1778104335047759</v>
      </c>
      <c r="R117" s="447">
        <v>660739.9129978904</v>
      </c>
      <c r="S117" s="447">
        <v>446660.18118657393</v>
      </c>
      <c r="T117" s="447">
        <v>66503.22016458886</v>
      </c>
      <c r="U117" s="447">
        <v>65235.13324933461</v>
      </c>
      <c r="V117" s="447">
        <v>150648.700163519</v>
      </c>
      <c r="W117" s="450">
        <v>0.43302818529815573</v>
      </c>
      <c r="X117" s="452">
        <v>7.601593735689218</v>
      </c>
      <c r="Y117" s="447">
        <v>66503.22016458886</v>
      </c>
      <c r="Z117" s="447">
        <v>63431.03164779748</v>
      </c>
      <c r="AA117" s="448">
        <v>1.048433525941211</v>
      </c>
      <c r="AB117" s="448">
        <v>0.08247612049963263</v>
      </c>
      <c r="AC117" s="449">
        <v>229</v>
      </c>
      <c r="AD117" s="449">
        <v>220</v>
      </c>
      <c r="AE117" s="447">
        <v>578398.5346004975</v>
      </c>
      <c r="AF117" s="447">
        <v>0</v>
      </c>
      <c r="AG117" s="451">
        <v>0</v>
      </c>
      <c r="AH117" s="450">
        <v>0.03415123084866785</v>
      </c>
      <c r="AI117" s="452">
        <v>0.02875909022986889</v>
      </c>
      <c r="AJ117" s="447">
        <v>578398.5346004975</v>
      </c>
      <c r="AK117" s="453">
        <v>1.0155</v>
      </c>
      <c r="AL117" s="447">
        <v>587363.7118868052</v>
      </c>
      <c r="AM117" s="447">
        <v>1381750.774829351</v>
      </c>
      <c r="AN117" s="447">
        <v>1368112.6212152208</v>
      </c>
      <c r="AO117" s="447">
        <v>1266147.0525233457</v>
      </c>
      <c r="AP117" s="447">
        <v>1368112.6212152208</v>
      </c>
      <c r="AQ117" s="447">
        <v>10888</v>
      </c>
      <c r="AR117" s="447">
        <v>1379000.6212152208</v>
      </c>
      <c r="AS117" s="454">
        <v>506.61301293725967</v>
      </c>
      <c r="AT117" s="450">
        <v>2722</v>
      </c>
      <c r="AU117" s="450">
        <v>36</v>
      </c>
      <c r="AV117" s="450">
        <v>383</v>
      </c>
      <c r="AW117" s="450">
        <v>59</v>
      </c>
      <c r="AX117" s="450">
        <v>92</v>
      </c>
      <c r="AY117" s="450">
        <v>522</v>
      </c>
      <c r="AZ117" s="450">
        <v>199</v>
      </c>
      <c r="BA117" s="450">
        <v>120</v>
      </c>
      <c r="BB117" s="450">
        <v>56</v>
      </c>
      <c r="BC117" s="450">
        <v>0</v>
      </c>
      <c r="BD117" s="450">
        <v>189</v>
      </c>
      <c r="BE117" s="450">
        <v>484</v>
      </c>
      <c r="BF117" s="450">
        <v>0</v>
      </c>
      <c r="BG117" s="450">
        <v>582</v>
      </c>
      <c r="BH117" s="450">
        <v>0</v>
      </c>
      <c r="BI117" s="450">
        <v>0</v>
      </c>
      <c r="BJ117" s="452">
        <v>1.3813524638385257</v>
      </c>
      <c r="BK117" s="452">
        <v>9.136589767314959</v>
      </c>
      <c r="BL117" s="452">
        <v>4.745548556617258</v>
      </c>
      <c r="BM117" s="452">
        <v>8.7820824213954</v>
      </c>
      <c r="BN117" s="449">
        <v>2238</v>
      </c>
      <c r="BO117" s="449">
        <v>484</v>
      </c>
      <c r="BP117" s="447">
        <v>842659.5367530966</v>
      </c>
      <c r="BQ117" s="447">
        <v>2861849</v>
      </c>
      <c r="BR117" s="447">
        <v>3783487</v>
      </c>
      <c r="BS117" s="448">
        <v>0.08247612049963263</v>
      </c>
      <c r="BT117" s="449">
        <v>229</v>
      </c>
      <c r="BU117" s="449">
        <v>220</v>
      </c>
      <c r="BV117" s="447">
        <v>312047.3297207935</v>
      </c>
      <c r="BW117" s="448">
        <v>0.007168871936155656</v>
      </c>
      <c r="BX117" s="447">
        <v>2817.911262061777</v>
      </c>
      <c r="BY117" s="447">
        <v>4019373.777735952</v>
      </c>
      <c r="BZ117" s="455">
        <v>0.97</v>
      </c>
      <c r="CA117" s="447">
        <v>3898792.5644038734</v>
      </c>
      <c r="CB117" s="447">
        <v>2931997.688877929</v>
      </c>
      <c r="CC117" s="447">
        <v>2928409.156722096</v>
      </c>
      <c r="CD117" s="447">
        <v>2728974.419458777</v>
      </c>
      <c r="CE117" s="447">
        <v>2928409.156722096</v>
      </c>
      <c r="CF117" s="454">
        <v>1075.8299620580808</v>
      </c>
      <c r="CG117" s="450">
        <v>2722</v>
      </c>
      <c r="CH117" s="450">
        <v>36</v>
      </c>
      <c r="CI117" s="450">
        <v>383</v>
      </c>
      <c r="CJ117" s="450">
        <v>59</v>
      </c>
      <c r="CK117" s="450">
        <v>92</v>
      </c>
      <c r="CL117" s="450">
        <v>522</v>
      </c>
      <c r="CM117" s="450">
        <v>199</v>
      </c>
      <c r="CN117" s="450">
        <v>120</v>
      </c>
      <c r="CO117" s="450">
        <v>56</v>
      </c>
      <c r="CP117" s="450">
        <v>0</v>
      </c>
      <c r="CQ117" s="450">
        <v>189</v>
      </c>
      <c r="CR117" s="450">
        <v>484</v>
      </c>
      <c r="CS117" s="450">
        <v>0</v>
      </c>
      <c r="CT117" s="450">
        <v>582</v>
      </c>
      <c r="CU117" s="450">
        <v>0</v>
      </c>
      <c r="CV117" s="450">
        <v>0</v>
      </c>
      <c r="CW117" s="447">
        <v>1934693.482935877</v>
      </c>
      <c r="CX117" s="452">
        <v>0.9469269470021162</v>
      </c>
      <c r="CY117" s="452">
        <v>0.97</v>
      </c>
      <c r="CZ117" s="447">
        <v>1832013.3931813608</v>
      </c>
      <c r="DA117" s="454">
        <v>673.0394537771348</v>
      </c>
      <c r="DB117" s="449">
        <v>2722</v>
      </c>
      <c r="DC117" s="452">
        <v>1.011756061719324</v>
      </c>
      <c r="DD117" s="454">
        <v>326.1</v>
      </c>
      <c r="DE117" s="447">
        <v>44904</v>
      </c>
      <c r="DF117" s="454">
        <v>54.65930437760539</v>
      </c>
      <c r="DG117" s="454">
        <v>57.00965446584242</v>
      </c>
      <c r="DH117" s="454">
        <v>58.263866864090936</v>
      </c>
      <c r="DI117" s="454">
        <v>59.54567193510093</v>
      </c>
      <c r="DJ117" s="454">
        <v>61.51067910895925</v>
      </c>
      <c r="DK117" s="454">
        <v>63.72506355688177</v>
      </c>
      <c r="DL117" s="454">
        <v>65.76426559070198</v>
      </c>
      <c r="DM117" s="454">
        <v>68.46060047992076</v>
      </c>
      <c r="DN117" s="454">
        <v>71.47286690103726</v>
      </c>
      <c r="DO117" s="454">
        <v>75.4038745805943</v>
      </c>
      <c r="DP117" s="454">
        <v>74.72523970936895</v>
      </c>
      <c r="DQ117" s="454">
        <v>78.53622693454676</v>
      </c>
      <c r="DR117" s="454">
        <v>83.32693677755411</v>
      </c>
      <c r="DS117" s="454">
        <v>40.79</v>
      </c>
      <c r="DT117" s="454">
        <v>43.34502868640909</v>
      </c>
      <c r="DU117" s="454">
        <v>45.99273627502018</v>
      </c>
      <c r="DV117" s="454">
        <v>49.260519389203765</v>
      </c>
      <c r="DW117" s="454">
        <v>52.8469217257389</v>
      </c>
      <c r="DX117" s="454">
        <v>56.40906361591911</v>
      </c>
      <c r="DY117" s="454">
        <v>60.66958827532159</v>
      </c>
      <c r="DZ117" s="454">
        <v>64.24280757516924</v>
      </c>
      <c r="EA117" s="454">
        <v>66.29314912955935</v>
      </c>
      <c r="EB117" s="454">
        <v>68.63746483363946</v>
      </c>
      <c r="EC117" s="454">
        <v>73.4176258190334</v>
      </c>
      <c r="ED117" s="454">
        <v>79.25380993988435</v>
      </c>
      <c r="EE117" s="454">
        <v>-4.06</v>
      </c>
      <c r="EF117" s="454">
        <v>75.19380993988435</v>
      </c>
      <c r="EG117" s="454">
        <v>3910.078116873986</v>
      </c>
      <c r="EH117" s="447">
        <v>10430367.981448371</v>
      </c>
      <c r="EI117" s="454">
        <v>40.79</v>
      </c>
      <c r="EJ117" s="454">
        <v>43.34502868640909</v>
      </c>
      <c r="EK117" s="454">
        <v>45.99273627502018</v>
      </c>
      <c r="EL117" s="454">
        <v>49.260519389203765</v>
      </c>
      <c r="EM117" s="454">
        <v>52.8469217257389</v>
      </c>
      <c r="EN117" s="454">
        <v>56.40906361591911</v>
      </c>
      <c r="EO117" s="454">
        <v>60.66958827532159</v>
      </c>
      <c r="EP117" s="454">
        <v>64.24280757516924</v>
      </c>
      <c r="EQ117" s="454">
        <v>66.29314912955935</v>
      </c>
      <c r="ER117" s="454">
        <v>68.63746483363946</v>
      </c>
      <c r="ES117" s="454">
        <v>73.4176258190334</v>
      </c>
      <c r="ET117" s="454">
        <v>79.25380993988435</v>
      </c>
      <c r="EU117" s="447">
        <v>3417342</v>
      </c>
      <c r="EV117" s="447">
        <v>0</v>
      </c>
      <c r="EW117" s="447">
        <v>0</v>
      </c>
      <c r="EX117" s="447">
        <v>0</v>
      </c>
      <c r="EY117" s="447">
        <v>0</v>
      </c>
      <c r="EZ117" s="447">
        <v>0</v>
      </c>
      <c r="FA117" s="447">
        <v>0</v>
      </c>
      <c r="FB117" s="447">
        <v>0</v>
      </c>
      <c r="FC117" s="447">
        <v>0</v>
      </c>
      <c r="FD117" s="447">
        <v>3417342</v>
      </c>
      <c r="FE117" s="447">
        <v>42192.978096471474</v>
      </c>
      <c r="FF117" s="447">
        <v>0</v>
      </c>
      <c r="FG117" s="447">
        <v>0</v>
      </c>
      <c r="FH117" s="447">
        <v>8154</v>
      </c>
      <c r="FI117" s="456">
        <v>0.0313</v>
      </c>
      <c r="FJ117" s="447">
        <v>255.2202</v>
      </c>
      <c r="FK117" s="471">
        <v>255.2202</v>
      </c>
      <c r="FL117" s="446">
        <v>78.54</v>
      </c>
      <c r="FM117" s="450">
        <v>72.72</v>
      </c>
      <c r="FN117" s="450">
        <v>68.47</v>
      </c>
      <c r="FO117" s="450">
        <v>-4.25</v>
      </c>
      <c r="FP117" s="472">
        <v>68.66</v>
      </c>
      <c r="FQ117" s="446">
        <v>58997</v>
      </c>
      <c r="FR117" s="450">
        <v>1009</v>
      </c>
      <c r="FS117" s="450">
        <v>0</v>
      </c>
      <c r="FT117" s="450">
        <v>0</v>
      </c>
      <c r="FU117" s="450">
        <v>0</v>
      </c>
      <c r="FV117" s="450">
        <v>0</v>
      </c>
      <c r="FW117" s="450">
        <v>0</v>
      </c>
      <c r="FX117" s="450">
        <v>0</v>
      </c>
      <c r="FY117" s="450">
        <v>0</v>
      </c>
      <c r="FZ117" s="450">
        <v>0</v>
      </c>
      <c r="GA117" s="450">
        <v>0</v>
      </c>
      <c r="GB117" s="450">
        <v>0</v>
      </c>
      <c r="GC117" s="450">
        <v>0</v>
      </c>
      <c r="GD117" s="450">
        <v>0</v>
      </c>
      <c r="GE117" s="450">
        <v>0</v>
      </c>
      <c r="GF117" s="450">
        <v>0</v>
      </c>
      <c r="GG117" s="450">
        <v>0</v>
      </c>
      <c r="GH117" s="450">
        <v>0</v>
      </c>
      <c r="GI117" s="450">
        <v>0</v>
      </c>
      <c r="GJ117" s="450">
        <v>0</v>
      </c>
      <c r="GK117" s="450">
        <v>0</v>
      </c>
      <c r="GL117" s="450">
        <v>0</v>
      </c>
      <c r="GM117" s="450">
        <v>0</v>
      </c>
      <c r="GN117" s="450">
        <v>0</v>
      </c>
      <c r="GO117" s="450">
        <v>0</v>
      </c>
      <c r="GP117" s="450">
        <v>0</v>
      </c>
      <c r="GQ117" s="450">
        <v>0</v>
      </c>
      <c r="GR117" s="450">
        <v>0</v>
      </c>
      <c r="GS117" s="450">
        <v>0</v>
      </c>
      <c r="GT117" s="450">
        <v>0</v>
      </c>
      <c r="GU117" s="450">
        <v>0</v>
      </c>
      <c r="GV117" s="450">
        <v>0</v>
      </c>
      <c r="GW117" s="450">
        <v>1232721</v>
      </c>
      <c r="GX117" s="450">
        <v>4412151</v>
      </c>
      <c r="GY117" s="450">
        <v>8454309</v>
      </c>
      <c r="GZ117" s="450">
        <v>0</v>
      </c>
      <c r="HA117" s="450" t="s">
        <v>888</v>
      </c>
      <c r="HB117" s="450" t="s">
        <v>888</v>
      </c>
      <c r="HC117" s="450">
        <v>0</v>
      </c>
      <c r="HD117" s="450">
        <v>10</v>
      </c>
      <c r="HE117" s="450">
        <v>0</v>
      </c>
      <c r="HF117" s="450">
        <v>0</v>
      </c>
      <c r="HG117" s="472">
        <v>0</v>
      </c>
    </row>
    <row r="118" spans="2:215" ht="12.75">
      <c r="B118" s="445" t="s">
        <v>797</v>
      </c>
      <c r="C118" s="446">
        <v>12144.2</v>
      </c>
      <c r="D118" s="447">
        <v>2860398.6</v>
      </c>
      <c r="E118" s="447">
        <v>2454221.9988</v>
      </c>
      <c r="F118" s="447">
        <v>371330.6898004728</v>
      </c>
      <c r="G118" s="447">
        <v>406176.60120000003</v>
      </c>
      <c r="H118" s="448">
        <v>0.450289026860559</v>
      </c>
      <c r="I118" s="449">
        <v>4555.02</v>
      </c>
      <c r="J118" s="449">
        <v>913.38</v>
      </c>
      <c r="K118" s="447">
        <v>2825552.688600473</v>
      </c>
      <c r="L118" s="447">
        <v>2260442.1508803787</v>
      </c>
      <c r="M118" s="447">
        <v>759043.0056473574</v>
      </c>
      <c r="N118" s="447">
        <v>565110.5377200946</v>
      </c>
      <c r="O118" s="450">
        <v>1.3431761664004216</v>
      </c>
      <c r="P118" s="451">
        <v>0.7359891964888589</v>
      </c>
      <c r="Q118" s="452">
        <v>0.2639943347441577</v>
      </c>
      <c r="R118" s="447">
        <v>3019485.156527736</v>
      </c>
      <c r="S118" s="447">
        <v>2041171.96581275</v>
      </c>
      <c r="T118" s="447">
        <v>349087.6781599115</v>
      </c>
      <c r="U118" s="447">
        <v>789409.9510344678</v>
      </c>
      <c r="V118" s="447">
        <v>688442.6156883239</v>
      </c>
      <c r="W118" s="450">
        <v>1.1466604957991946</v>
      </c>
      <c r="X118" s="452">
        <v>20.12905288330795</v>
      </c>
      <c r="Y118" s="447">
        <v>349087.6781599115</v>
      </c>
      <c r="Z118" s="447">
        <v>289870.5750266627</v>
      </c>
      <c r="AA118" s="448">
        <v>1.2042880796983342</v>
      </c>
      <c r="AB118" s="448">
        <v>0.09473658207210026</v>
      </c>
      <c r="AC118" s="449">
        <v>1171</v>
      </c>
      <c r="AD118" s="449">
        <v>1130</v>
      </c>
      <c r="AE118" s="447">
        <v>3179669.5950071295</v>
      </c>
      <c r="AF118" s="447">
        <v>75641.03717386111</v>
      </c>
      <c r="AG118" s="451">
        <v>0.25</v>
      </c>
      <c r="AH118" s="450">
        <v>0.2145659125752216</v>
      </c>
      <c r="AI118" s="452">
        <v>0.18068808317184448</v>
      </c>
      <c r="AJ118" s="447">
        <v>3255310.6321809907</v>
      </c>
      <c r="AK118" s="453">
        <v>1.0093</v>
      </c>
      <c r="AL118" s="447">
        <v>3285585.021060274</v>
      </c>
      <c r="AM118" s="447">
        <v>7729213.699692516</v>
      </c>
      <c r="AN118" s="447">
        <v>7652924.830763988</v>
      </c>
      <c r="AO118" s="447">
        <v>7351239.608373959</v>
      </c>
      <c r="AP118" s="447">
        <v>7652924.830763988</v>
      </c>
      <c r="AQ118" s="447">
        <v>48576.8</v>
      </c>
      <c r="AR118" s="447">
        <v>7701501.630763988</v>
      </c>
      <c r="AS118" s="454">
        <v>634.1711788972503</v>
      </c>
      <c r="AT118" s="450">
        <v>12109</v>
      </c>
      <c r="AU118" s="450">
        <v>34</v>
      </c>
      <c r="AV118" s="450">
        <v>468</v>
      </c>
      <c r="AW118" s="450">
        <v>1283</v>
      </c>
      <c r="AX118" s="450">
        <v>0</v>
      </c>
      <c r="AY118" s="450">
        <v>942</v>
      </c>
      <c r="AZ118" s="450">
        <v>868</v>
      </c>
      <c r="BA118" s="450">
        <v>1686</v>
      </c>
      <c r="BB118" s="450">
        <v>114</v>
      </c>
      <c r="BC118" s="450">
        <v>296</v>
      </c>
      <c r="BD118" s="450">
        <v>1616</v>
      </c>
      <c r="BE118" s="450">
        <v>2703</v>
      </c>
      <c r="BF118" s="450">
        <v>503</v>
      </c>
      <c r="BG118" s="450">
        <v>1596</v>
      </c>
      <c r="BH118" s="450">
        <v>0</v>
      </c>
      <c r="BI118" s="450">
        <v>0</v>
      </c>
      <c r="BJ118" s="452">
        <v>2.0863153119114233</v>
      </c>
      <c r="BK118" s="452">
        <v>22.6984604725956</v>
      </c>
      <c r="BL118" s="452">
        <v>14.121513959257898</v>
      </c>
      <c r="BM118" s="452">
        <v>17.153893026675405</v>
      </c>
      <c r="BN118" s="449">
        <v>8903</v>
      </c>
      <c r="BO118" s="449">
        <v>3206</v>
      </c>
      <c r="BP118" s="447">
        <v>5206447.846127131</v>
      </c>
      <c r="BQ118" s="447">
        <v>13355009</v>
      </c>
      <c r="BR118" s="447">
        <v>16577045</v>
      </c>
      <c r="BS118" s="448">
        <v>0.0950119745643736</v>
      </c>
      <c r="BT118" s="449">
        <v>1171</v>
      </c>
      <c r="BU118" s="449">
        <v>1130</v>
      </c>
      <c r="BV118" s="447">
        <v>1575017.7778924766</v>
      </c>
      <c r="BW118" s="448">
        <v>0.022476776140296223</v>
      </c>
      <c r="BX118" s="447">
        <v>97643.4117302235</v>
      </c>
      <c r="BY118" s="447">
        <v>20234118.03574983</v>
      </c>
      <c r="BZ118" s="455">
        <v>0.96</v>
      </c>
      <c r="CA118" s="447">
        <v>19424753.314319838</v>
      </c>
      <c r="CB118" s="447">
        <v>14607941.018610677</v>
      </c>
      <c r="CC118" s="447">
        <v>14590062.059744287</v>
      </c>
      <c r="CD118" s="447">
        <v>14439494.199955516</v>
      </c>
      <c r="CE118" s="447">
        <v>14590062.059744287</v>
      </c>
      <c r="CF118" s="454">
        <v>1204.8940506849688</v>
      </c>
      <c r="CG118" s="450">
        <v>12109</v>
      </c>
      <c r="CH118" s="450">
        <v>34</v>
      </c>
      <c r="CI118" s="450">
        <v>468</v>
      </c>
      <c r="CJ118" s="450">
        <v>1283</v>
      </c>
      <c r="CK118" s="450">
        <v>0</v>
      </c>
      <c r="CL118" s="450">
        <v>942</v>
      </c>
      <c r="CM118" s="450">
        <v>868</v>
      </c>
      <c r="CN118" s="450">
        <v>1686</v>
      </c>
      <c r="CO118" s="450">
        <v>114</v>
      </c>
      <c r="CP118" s="450">
        <v>296</v>
      </c>
      <c r="CQ118" s="450">
        <v>1616</v>
      </c>
      <c r="CR118" s="450">
        <v>2703</v>
      </c>
      <c r="CS118" s="450">
        <v>503</v>
      </c>
      <c r="CT118" s="450">
        <v>1596</v>
      </c>
      <c r="CU118" s="450">
        <v>0</v>
      </c>
      <c r="CV118" s="450">
        <v>0</v>
      </c>
      <c r="CW118" s="447">
        <v>8798304.561049702</v>
      </c>
      <c r="CX118" s="452">
        <v>0.9371648135278675</v>
      </c>
      <c r="CY118" s="452">
        <v>0.96</v>
      </c>
      <c r="CZ118" s="447">
        <v>8245461.4533175295</v>
      </c>
      <c r="DA118" s="454">
        <v>680.9366135368346</v>
      </c>
      <c r="DB118" s="449">
        <v>12144.2</v>
      </c>
      <c r="DC118" s="452">
        <v>0.9948156321536206</v>
      </c>
      <c r="DD118" s="454">
        <v>328.5</v>
      </c>
      <c r="DE118" s="447">
        <v>36433</v>
      </c>
      <c r="DF118" s="454">
        <v>51.490194875040984</v>
      </c>
      <c r="DG118" s="454">
        <v>53.70427325466774</v>
      </c>
      <c r="DH118" s="454">
        <v>54.88576726627042</v>
      </c>
      <c r="DI118" s="454">
        <v>56.09325414612836</v>
      </c>
      <c r="DJ118" s="454">
        <v>57.94433153295059</v>
      </c>
      <c r="DK118" s="454">
        <v>60.030327468136804</v>
      </c>
      <c r="DL118" s="454">
        <v>61.95129794711717</v>
      </c>
      <c r="DM118" s="454">
        <v>64.49130116294897</v>
      </c>
      <c r="DN118" s="454">
        <v>67.32891841411872</v>
      </c>
      <c r="DO118" s="454">
        <v>71.03200892689524</v>
      </c>
      <c r="DP118" s="454">
        <v>70.39272084655319</v>
      </c>
      <c r="DQ118" s="454">
        <v>73.98274960972739</v>
      </c>
      <c r="DR118" s="454">
        <v>78.49569733592075</v>
      </c>
      <c r="DS118" s="454">
        <v>39.5</v>
      </c>
      <c r="DT118" s="454">
        <v>41.820676726627035</v>
      </c>
      <c r="DU118" s="454">
        <v>44.224345229225655</v>
      </c>
      <c r="DV118" s="454">
        <v>47.21632148568516</v>
      </c>
      <c r="DW118" s="454">
        <v>50.503854546165094</v>
      </c>
      <c r="DX118" s="454">
        <v>53.7585312342215</v>
      </c>
      <c r="DY118" s="454">
        <v>57.66836504444946</v>
      </c>
      <c r="DZ118" s="454">
        <v>60.99723369615117</v>
      </c>
      <c r="EA118" s="454">
        <v>62.906495796689185</v>
      </c>
      <c r="EB118" s="454">
        <v>64.96326355993729</v>
      </c>
      <c r="EC118" s="454">
        <v>69.41766192314076</v>
      </c>
      <c r="ED118" s="454">
        <v>74.86302880931945</v>
      </c>
      <c r="EE118" s="454">
        <v>0</v>
      </c>
      <c r="EF118" s="454">
        <v>74.86302880931945</v>
      </c>
      <c r="EG118" s="454">
        <v>3892.877498084611</v>
      </c>
      <c r="EH118" s="447">
        <v>46330365.25399435</v>
      </c>
      <c r="EI118" s="454">
        <v>42.43</v>
      </c>
      <c r="EJ118" s="454">
        <v>44.515690726627035</v>
      </c>
      <c r="EK118" s="454">
        <v>46.67261572522566</v>
      </c>
      <c r="EL118" s="454">
        <v>49.42925198025716</v>
      </c>
      <c r="EM118" s="454">
        <v>52.46893682534504</v>
      </c>
      <c r="EN118" s="454">
        <v>55.44850199431626</v>
      </c>
      <c r="EO118" s="454">
        <v>59.07577269345637</v>
      </c>
      <c r="EP118" s="454">
        <v>62.30330799442959</v>
      </c>
      <c r="EQ118" s="454">
        <v>64.15205531914737</v>
      </c>
      <c r="ER118" s="454">
        <v>65.795544809965</v>
      </c>
      <c r="ES118" s="454">
        <v>70.11744399816405</v>
      </c>
      <c r="ET118" s="454">
        <v>75.41988039551921</v>
      </c>
      <c r="EU118" s="447">
        <v>15480089</v>
      </c>
      <c r="EV118" s="447">
        <v>0</v>
      </c>
      <c r="EW118" s="447">
        <v>0</v>
      </c>
      <c r="EX118" s="447">
        <v>0</v>
      </c>
      <c r="EY118" s="447">
        <v>0</v>
      </c>
      <c r="EZ118" s="447">
        <v>0</v>
      </c>
      <c r="FA118" s="447">
        <v>0</v>
      </c>
      <c r="FB118" s="447">
        <v>0</v>
      </c>
      <c r="FC118" s="447">
        <v>0</v>
      </c>
      <c r="FD118" s="447">
        <v>15480089</v>
      </c>
      <c r="FE118" s="447">
        <v>48089.66331756701</v>
      </c>
      <c r="FF118" s="447">
        <v>0</v>
      </c>
      <c r="FG118" s="447">
        <v>0</v>
      </c>
      <c r="FH118" s="447">
        <v>33867</v>
      </c>
      <c r="FI118" s="456">
        <v>0.0313</v>
      </c>
      <c r="FJ118" s="447">
        <v>1060.0371</v>
      </c>
      <c r="FK118" s="471">
        <v>1060.0371</v>
      </c>
      <c r="FL118" s="446">
        <v>69.73</v>
      </c>
      <c r="FM118" s="450">
        <v>71.11</v>
      </c>
      <c r="FN118" s="450">
        <v>70.98</v>
      </c>
      <c r="FO118" s="450">
        <v>-0.13</v>
      </c>
      <c r="FP118" s="472">
        <v>72.1</v>
      </c>
      <c r="FQ118" s="446">
        <v>342675</v>
      </c>
      <c r="FR118" s="450">
        <v>0</v>
      </c>
      <c r="FS118" s="450">
        <v>0</v>
      </c>
      <c r="FT118" s="450">
        <v>0</v>
      </c>
      <c r="FU118" s="450">
        <v>0</v>
      </c>
      <c r="FV118" s="450">
        <v>0</v>
      </c>
      <c r="FW118" s="450">
        <v>0</v>
      </c>
      <c r="FX118" s="450">
        <v>0</v>
      </c>
      <c r="FY118" s="450">
        <v>0</v>
      </c>
      <c r="FZ118" s="450">
        <v>0</v>
      </c>
      <c r="GA118" s="450">
        <v>0</v>
      </c>
      <c r="GB118" s="450">
        <v>0</v>
      </c>
      <c r="GC118" s="450">
        <v>0</v>
      </c>
      <c r="GD118" s="450">
        <v>0</v>
      </c>
      <c r="GE118" s="450">
        <v>0</v>
      </c>
      <c r="GF118" s="450">
        <v>0</v>
      </c>
      <c r="GG118" s="450">
        <v>0</v>
      </c>
      <c r="GH118" s="450">
        <v>0</v>
      </c>
      <c r="GI118" s="450">
        <v>0</v>
      </c>
      <c r="GJ118" s="450">
        <v>0</v>
      </c>
      <c r="GK118" s="450">
        <v>0</v>
      </c>
      <c r="GL118" s="450">
        <v>0</v>
      </c>
      <c r="GM118" s="450">
        <v>0</v>
      </c>
      <c r="GN118" s="450">
        <v>0</v>
      </c>
      <c r="GO118" s="450">
        <v>0</v>
      </c>
      <c r="GP118" s="450">
        <v>0</v>
      </c>
      <c r="GQ118" s="450">
        <v>0</v>
      </c>
      <c r="GR118" s="450">
        <v>0</v>
      </c>
      <c r="GS118" s="450">
        <v>0</v>
      </c>
      <c r="GT118" s="450">
        <v>0</v>
      </c>
      <c r="GU118" s="450">
        <v>0</v>
      </c>
      <c r="GV118" s="450">
        <v>0</v>
      </c>
      <c r="GW118" s="450">
        <v>0</v>
      </c>
      <c r="GX118" s="450">
        <v>-6175162</v>
      </c>
      <c r="GY118" s="450">
        <v>-2436835</v>
      </c>
      <c r="GZ118" s="450">
        <v>0</v>
      </c>
      <c r="HA118" s="450" t="s">
        <v>888</v>
      </c>
      <c r="HB118" s="450" t="s">
        <v>888</v>
      </c>
      <c r="HC118" s="450">
        <v>0</v>
      </c>
      <c r="HD118" s="450">
        <v>0</v>
      </c>
      <c r="HE118" s="450">
        <v>0</v>
      </c>
      <c r="HF118" s="450">
        <v>0</v>
      </c>
      <c r="HG118" s="472">
        <v>0</v>
      </c>
    </row>
    <row r="119" spans="2:215" ht="12.75">
      <c r="B119" s="445" t="s">
        <v>798</v>
      </c>
      <c r="C119" s="446">
        <v>8517</v>
      </c>
      <c r="D119" s="447">
        <v>2015261</v>
      </c>
      <c r="E119" s="447">
        <v>1729093.938</v>
      </c>
      <c r="F119" s="447">
        <v>142305.15024455267</v>
      </c>
      <c r="G119" s="447">
        <v>286167.06200000003</v>
      </c>
      <c r="H119" s="448">
        <v>0.244932487965246</v>
      </c>
      <c r="I119" s="449">
        <v>1146.32</v>
      </c>
      <c r="J119" s="449">
        <v>939.77</v>
      </c>
      <c r="K119" s="447">
        <v>1871399.0882445527</v>
      </c>
      <c r="L119" s="447">
        <v>1497119.2705956423</v>
      </c>
      <c r="M119" s="447">
        <v>397302.6186899183</v>
      </c>
      <c r="N119" s="447">
        <v>374279.81764891045</v>
      </c>
      <c r="O119" s="450">
        <v>1.06151226957849</v>
      </c>
      <c r="P119" s="451">
        <v>0.9526828695550076</v>
      </c>
      <c r="Q119" s="452">
        <v>0.04731713044499237</v>
      </c>
      <c r="R119" s="447">
        <v>1894421.8892855607</v>
      </c>
      <c r="S119" s="447">
        <v>1280629.197157039</v>
      </c>
      <c r="T119" s="447">
        <v>174671.6874037589</v>
      </c>
      <c r="U119" s="447">
        <v>244489.9098849504</v>
      </c>
      <c r="V119" s="447">
        <v>431928.19075710786</v>
      </c>
      <c r="W119" s="450">
        <v>0.5660429560209878</v>
      </c>
      <c r="X119" s="452">
        <v>9.936601668682359</v>
      </c>
      <c r="Y119" s="447">
        <v>174671.6874037589</v>
      </c>
      <c r="Z119" s="447">
        <v>181864.50137141382</v>
      </c>
      <c r="AA119" s="448">
        <v>0.9604495989408876</v>
      </c>
      <c r="AB119" s="448">
        <v>0.07555477280732652</v>
      </c>
      <c r="AC119" s="449">
        <v>610</v>
      </c>
      <c r="AD119" s="449">
        <v>677</v>
      </c>
      <c r="AE119" s="447">
        <v>1699790.7944457484</v>
      </c>
      <c r="AF119" s="447">
        <v>0</v>
      </c>
      <c r="AG119" s="451">
        <v>0</v>
      </c>
      <c r="AH119" s="450">
        <v>0.19376139405263404</v>
      </c>
      <c r="AI119" s="452">
        <v>0.16316839177239342</v>
      </c>
      <c r="AJ119" s="447">
        <v>1699790.7944457484</v>
      </c>
      <c r="AK119" s="453">
        <v>1</v>
      </c>
      <c r="AL119" s="447">
        <v>1699790.7944457484</v>
      </c>
      <c r="AM119" s="447">
        <v>3998693.143177769</v>
      </c>
      <c r="AN119" s="447">
        <v>3959225.250460891</v>
      </c>
      <c r="AO119" s="447">
        <v>4279867.236524779</v>
      </c>
      <c r="AP119" s="447">
        <v>4279867.236524779</v>
      </c>
      <c r="AQ119" s="447">
        <v>34068</v>
      </c>
      <c r="AR119" s="447">
        <v>4313935.236524779</v>
      </c>
      <c r="AS119" s="454">
        <v>506.50877498236224</v>
      </c>
      <c r="AT119" s="450">
        <v>8517</v>
      </c>
      <c r="AU119" s="450">
        <v>247</v>
      </c>
      <c r="AV119" s="450">
        <v>1344</v>
      </c>
      <c r="AW119" s="450">
        <v>311</v>
      </c>
      <c r="AX119" s="450">
        <v>73</v>
      </c>
      <c r="AY119" s="450">
        <v>1971</v>
      </c>
      <c r="AZ119" s="450">
        <v>760</v>
      </c>
      <c r="BA119" s="450">
        <v>732</v>
      </c>
      <c r="BB119" s="450">
        <v>349</v>
      </c>
      <c r="BC119" s="450">
        <v>201</v>
      </c>
      <c r="BD119" s="450">
        <v>684</v>
      </c>
      <c r="BE119" s="450">
        <v>403</v>
      </c>
      <c r="BF119" s="450">
        <v>0</v>
      </c>
      <c r="BG119" s="450">
        <v>1432</v>
      </c>
      <c r="BH119" s="450">
        <v>10</v>
      </c>
      <c r="BI119" s="450">
        <v>0</v>
      </c>
      <c r="BJ119" s="452">
        <v>1.347501950689292</v>
      </c>
      <c r="BK119" s="452">
        <v>10.674268481941253</v>
      </c>
      <c r="BL119" s="452">
        <v>8.486154182710706</v>
      </c>
      <c r="BM119" s="452">
        <v>4.376228598461093</v>
      </c>
      <c r="BN119" s="449">
        <v>8114</v>
      </c>
      <c r="BO119" s="449">
        <v>403</v>
      </c>
      <c r="BP119" s="447">
        <v>2615307.2460070164</v>
      </c>
      <c r="BQ119" s="447">
        <v>8575226</v>
      </c>
      <c r="BR119" s="447">
        <v>12392218</v>
      </c>
      <c r="BS119" s="448">
        <v>0.07555477280732652</v>
      </c>
      <c r="BT119" s="449">
        <v>610</v>
      </c>
      <c r="BU119" s="449">
        <v>677</v>
      </c>
      <c r="BV119" s="447">
        <v>936291.2155688622</v>
      </c>
      <c r="BW119" s="448">
        <v>0.0062473207273587485</v>
      </c>
      <c r="BX119" s="447">
        <v>8976.826179571146</v>
      </c>
      <c r="BY119" s="447">
        <v>12135801.287755448</v>
      </c>
      <c r="BZ119" s="455">
        <v>0.9666666666666667</v>
      </c>
      <c r="CA119" s="447">
        <v>11731274.5781636</v>
      </c>
      <c r="CB119" s="447">
        <v>8822236.470030624</v>
      </c>
      <c r="CC119" s="447">
        <v>8811438.753723016</v>
      </c>
      <c r="CD119" s="447">
        <v>9094948.123169878</v>
      </c>
      <c r="CE119" s="447">
        <v>9094948.123169878</v>
      </c>
      <c r="CF119" s="454">
        <v>1067.85818048255</v>
      </c>
      <c r="CG119" s="450">
        <v>8517</v>
      </c>
      <c r="CH119" s="450">
        <v>247</v>
      </c>
      <c r="CI119" s="450">
        <v>1344</v>
      </c>
      <c r="CJ119" s="450">
        <v>311</v>
      </c>
      <c r="CK119" s="450">
        <v>73</v>
      </c>
      <c r="CL119" s="450">
        <v>1971</v>
      </c>
      <c r="CM119" s="450">
        <v>760</v>
      </c>
      <c r="CN119" s="450">
        <v>732</v>
      </c>
      <c r="CO119" s="450">
        <v>349</v>
      </c>
      <c r="CP119" s="450">
        <v>201</v>
      </c>
      <c r="CQ119" s="450">
        <v>684</v>
      </c>
      <c r="CR119" s="450">
        <v>403</v>
      </c>
      <c r="CS119" s="450">
        <v>0</v>
      </c>
      <c r="CT119" s="450">
        <v>1432</v>
      </c>
      <c r="CU119" s="450">
        <v>10</v>
      </c>
      <c r="CV119" s="450">
        <v>0</v>
      </c>
      <c r="CW119" s="447">
        <v>5800212.412701697</v>
      </c>
      <c r="CX119" s="452">
        <v>0.9436729025106999</v>
      </c>
      <c r="CY119" s="452">
        <v>0.9666666666666667</v>
      </c>
      <c r="CZ119" s="447">
        <v>5473503.2826728</v>
      </c>
      <c r="DA119" s="454">
        <v>642.6562501670542</v>
      </c>
      <c r="DB119" s="449">
        <v>8517</v>
      </c>
      <c r="DC119" s="452">
        <v>1.0176705412704004</v>
      </c>
      <c r="DD119" s="454">
        <v>276.1</v>
      </c>
      <c r="DE119" s="447">
        <v>24344</v>
      </c>
      <c r="DF119" s="454">
        <v>41.97178773010983</v>
      </c>
      <c r="DG119" s="454">
        <v>43.77657460250455</v>
      </c>
      <c r="DH119" s="454">
        <v>44.73965924375965</v>
      </c>
      <c r="DI119" s="454">
        <v>45.72393174712235</v>
      </c>
      <c r="DJ119" s="454">
        <v>47.23282149477738</v>
      </c>
      <c r="DK119" s="454">
        <v>48.93320306858936</v>
      </c>
      <c r="DL119" s="454">
        <v>50.49906556678421</v>
      </c>
      <c r="DM119" s="454">
        <v>52.56952725502236</v>
      </c>
      <c r="DN119" s="454">
        <v>54.88258645424333</v>
      </c>
      <c r="DO119" s="454">
        <v>57.90112870922671</v>
      </c>
      <c r="DP119" s="454">
        <v>57.38001855084367</v>
      </c>
      <c r="DQ119" s="454">
        <v>60.3063994969367</v>
      </c>
      <c r="DR119" s="454">
        <v>63.98508986624984</v>
      </c>
      <c r="DS119" s="454">
        <v>34.75005861664713</v>
      </c>
      <c r="DT119" s="454">
        <v>36.43706983996799</v>
      </c>
      <c r="DU119" s="454">
        <v>38.18149052874451</v>
      </c>
      <c r="DV119" s="454">
        <v>40.415397438516116</v>
      </c>
      <c r="DW119" s="454">
        <v>42.87933050662936</v>
      </c>
      <c r="DX119" s="454">
        <v>45.292735163498605</v>
      </c>
      <c r="DY119" s="454">
        <v>48.23369529516611</v>
      </c>
      <c r="DZ119" s="454">
        <v>50.85893439549673</v>
      </c>
      <c r="EA119" s="454">
        <v>52.362545682453835</v>
      </c>
      <c r="EB119" s="454">
        <v>53.67914458874886</v>
      </c>
      <c r="EC119" s="454">
        <v>57.19470466960738</v>
      </c>
      <c r="ED119" s="454">
        <v>61.50895870740253</v>
      </c>
      <c r="EE119" s="454">
        <v>-0.82</v>
      </c>
      <c r="EF119" s="454">
        <v>60.68895870740253</v>
      </c>
      <c r="EG119" s="454">
        <v>3155.8258527849316</v>
      </c>
      <c r="EH119" s="447">
        <v>26340605.412405875</v>
      </c>
      <c r="EI119" s="454">
        <v>35.307649472450166</v>
      </c>
      <c r="EJ119" s="454">
        <v>36.94994190913562</v>
      </c>
      <c r="EK119" s="454">
        <v>38.64740631069056</v>
      </c>
      <c r="EL119" s="454">
        <v>40.8365270659226</v>
      </c>
      <c r="EM119" s="454">
        <v>43.25329361576631</v>
      </c>
      <c r="EN119" s="454">
        <v>45.61434343735639</v>
      </c>
      <c r="EO119" s="454">
        <v>48.50153066563487</v>
      </c>
      <c r="EP119" s="454">
        <v>51.107485619291744</v>
      </c>
      <c r="EQ119" s="454">
        <v>52.599580699546344</v>
      </c>
      <c r="ER119" s="454">
        <v>53.83753107832966</v>
      </c>
      <c r="ES119" s="454">
        <v>57.327876030046916</v>
      </c>
      <c r="ET119" s="454">
        <v>61.61492981747229</v>
      </c>
      <c r="EU119" s="447">
        <v>95199089</v>
      </c>
      <c r="EV119" s="447">
        <v>0</v>
      </c>
      <c r="EW119" s="447">
        <v>0</v>
      </c>
      <c r="EX119" s="447">
        <v>0</v>
      </c>
      <c r="EY119" s="447">
        <v>0</v>
      </c>
      <c r="EZ119" s="447">
        <v>0</v>
      </c>
      <c r="FA119" s="447">
        <v>0</v>
      </c>
      <c r="FB119" s="447">
        <v>0</v>
      </c>
      <c r="FC119" s="447">
        <v>0</v>
      </c>
      <c r="FD119" s="447">
        <v>95199089</v>
      </c>
      <c r="FE119" s="447">
        <v>87059.04973846392</v>
      </c>
      <c r="FF119" s="447">
        <v>0</v>
      </c>
      <c r="FG119" s="447">
        <v>0</v>
      </c>
      <c r="FH119" s="447">
        <v>21003</v>
      </c>
      <c r="FI119" s="456">
        <v>0.0487</v>
      </c>
      <c r="FJ119" s="447">
        <v>1022.8461</v>
      </c>
      <c r="FK119" s="471">
        <v>1022.8461</v>
      </c>
      <c r="FL119" s="446">
        <v>60.07</v>
      </c>
      <c r="FM119" s="450">
        <v>56.47</v>
      </c>
      <c r="FN119" s="450">
        <v>55.24</v>
      </c>
      <c r="FO119" s="450">
        <v>-1.23</v>
      </c>
      <c r="FP119" s="472">
        <v>55.65</v>
      </c>
      <c r="FQ119" s="446">
        <v>1384912</v>
      </c>
      <c r="FR119" s="450">
        <v>1209917</v>
      </c>
      <c r="FS119" s="450">
        <v>0</v>
      </c>
      <c r="FT119" s="450">
        <v>0</v>
      </c>
      <c r="FU119" s="450">
        <v>0</v>
      </c>
      <c r="FV119" s="450">
        <v>0</v>
      </c>
      <c r="FW119" s="450">
        <v>0</v>
      </c>
      <c r="FX119" s="450">
        <v>0</v>
      </c>
      <c r="FY119" s="450">
        <v>0</v>
      </c>
      <c r="FZ119" s="450">
        <v>0</v>
      </c>
      <c r="GA119" s="450">
        <v>0</v>
      </c>
      <c r="GB119" s="450">
        <v>0</v>
      </c>
      <c r="GC119" s="450">
        <v>0</v>
      </c>
      <c r="GD119" s="450">
        <v>0</v>
      </c>
      <c r="GE119" s="450">
        <v>0</v>
      </c>
      <c r="GF119" s="450">
        <v>0</v>
      </c>
      <c r="GG119" s="450">
        <v>0</v>
      </c>
      <c r="GH119" s="450">
        <v>0</v>
      </c>
      <c r="GI119" s="450">
        <v>0</v>
      </c>
      <c r="GJ119" s="450">
        <v>0</v>
      </c>
      <c r="GK119" s="450">
        <v>0</v>
      </c>
      <c r="GL119" s="450">
        <v>0</v>
      </c>
      <c r="GM119" s="450">
        <v>0</v>
      </c>
      <c r="GN119" s="450">
        <v>0</v>
      </c>
      <c r="GO119" s="450">
        <v>0</v>
      </c>
      <c r="GP119" s="450">
        <v>0</v>
      </c>
      <c r="GQ119" s="450">
        <v>0</v>
      </c>
      <c r="GR119" s="450">
        <v>0</v>
      </c>
      <c r="GS119" s="450">
        <v>0</v>
      </c>
      <c r="GT119" s="450">
        <v>0</v>
      </c>
      <c r="GU119" s="450">
        <v>0</v>
      </c>
      <c r="GV119" s="450">
        <v>0</v>
      </c>
      <c r="GW119" s="450">
        <v>1900000</v>
      </c>
      <c r="GX119" s="450">
        <v>85685334</v>
      </c>
      <c r="GY119" s="450">
        <v>89645334</v>
      </c>
      <c r="GZ119" s="450">
        <v>0</v>
      </c>
      <c r="HA119" s="450" t="s">
        <v>888</v>
      </c>
      <c r="HB119" s="450" t="s">
        <v>888</v>
      </c>
      <c r="HC119" s="450">
        <v>50</v>
      </c>
      <c r="HD119" s="450">
        <v>0</v>
      </c>
      <c r="HE119" s="450">
        <v>0</v>
      </c>
      <c r="HF119" s="450">
        <v>0</v>
      </c>
      <c r="HG119" s="472">
        <v>0</v>
      </c>
    </row>
    <row r="120" spans="2:215" ht="12.75">
      <c r="B120" s="445" t="s">
        <v>799</v>
      </c>
      <c r="C120" s="446">
        <v>15764</v>
      </c>
      <c r="D120" s="447">
        <v>3703812</v>
      </c>
      <c r="E120" s="447">
        <v>3177870.696</v>
      </c>
      <c r="F120" s="447">
        <v>558788.9307088829</v>
      </c>
      <c r="G120" s="447">
        <v>525941.304</v>
      </c>
      <c r="H120" s="448">
        <v>0.5233062674448109</v>
      </c>
      <c r="I120" s="449">
        <v>7260.62</v>
      </c>
      <c r="J120" s="449">
        <v>988.78</v>
      </c>
      <c r="K120" s="447">
        <v>3736659.626708883</v>
      </c>
      <c r="L120" s="447">
        <v>2989327.7013671063</v>
      </c>
      <c r="M120" s="447">
        <v>995823.1090433404</v>
      </c>
      <c r="N120" s="447">
        <v>747331.9253417765</v>
      </c>
      <c r="O120" s="450">
        <v>1.3325044404973356</v>
      </c>
      <c r="P120" s="451">
        <v>0.7442273534635879</v>
      </c>
      <c r="Q120" s="452">
        <v>0.2557726465364121</v>
      </c>
      <c r="R120" s="447">
        <v>3985150.8104104465</v>
      </c>
      <c r="S120" s="447">
        <v>2693961.947837462</v>
      </c>
      <c r="T120" s="447">
        <v>386711.0498648613</v>
      </c>
      <c r="U120" s="447">
        <v>1109814.1465337332</v>
      </c>
      <c r="V120" s="447">
        <v>908614.3847735819</v>
      </c>
      <c r="W120" s="450">
        <v>1.2214358094388837</v>
      </c>
      <c r="X120" s="452">
        <v>21.441696205488665</v>
      </c>
      <c r="Y120" s="447">
        <v>386711.0498648613</v>
      </c>
      <c r="Z120" s="447">
        <v>382574.4777994029</v>
      </c>
      <c r="AA120" s="448">
        <v>1.0108124621622756</v>
      </c>
      <c r="AB120" s="448">
        <v>0.07951662014717077</v>
      </c>
      <c r="AC120" s="449">
        <v>1264</v>
      </c>
      <c r="AD120" s="449">
        <v>1243</v>
      </c>
      <c r="AE120" s="447">
        <v>4190487.1442360566</v>
      </c>
      <c r="AF120" s="447">
        <v>483588.66634495335</v>
      </c>
      <c r="AG120" s="451">
        <v>0.75</v>
      </c>
      <c r="AH120" s="450">
        <v>0.4235603322702159</v>
      </c>
      <c r="AI120" s="452">
        <v>0.3566843569278717</v>
      </c>
      <c r="AJ120" s="447">
        <v>4674075.81058101</v>
      </c>
      <c r="AK120" s="453">
        <v>1</v>
      </c>
      <c r="AL120" s="447">
        <v>4674075.81058101</v>
      </c>
      <c r="AM120" s="447">
        <v>10995585.430592757</v>
      </c>
      <c r="AN120" s="447">
        <v>10887056.826222524</v>
      </c>
      <c r="AO120" s="447">
        <v>10477188.405870693</v>
      </c>
      <c r="AP120" s="447">
        <v>10887056.826222524</v>
      </c>
      <c r="AQ120" s="447">
        <v>63056</v>
      </c>
      <c r="AR120" s="447">
        <v>10950112.826222524</v>
      </c>
      <c r="AS120" s="454">
        <v>694.6278118639003</v>
      </c>
      <c r="AT120" s="450">
        <v>15764</v>
      </c>
      <c r="AU120" s="450">
        <v>255</v>
      </c>
      <c r="AV120" s="450">
        <v>1018</v>
      </c>
      <c r="AW120" s="450">
        <v>2442</v>
      </c>
      <c r="AX120" s="450">
        <v>79</v>
      </c>
      <c r="AY120" s="450">
        <v>1554</v>
      </c>
      <c r="AZ120" s="450">
        <v>69</v>
      </c>
      <c r="BA120" s="450">
        <v>652</v>
      </c>
      <c r="BB120" s="450">
        <v>665</v>
      </c>
      <c r="BC120" s="450">
        <v>851</v>
      </c>
      <c r="BD120" s="450">
        <v>3275</v>
      </c>
      <c r="BE120" s="450">
        <v>3559</v>
      </c>
      <c r="BF120" s="450">
        <v>473</v>
      </c>
      <c r="BG120" s="450">
        <v>870</v>
      </c>
      <c r="BH120" s="450">
        <v>0</v>
      </c>
      <c r="BI120" s="450">
        <v>2</v>
      </c>
      <c r="BJ120" s="452">
        <v>1.8250335163022582</v>
      </c>
      <c r="BK120" s="452">
        <v>17.469935210261383</v>
      </c>
      <c r="BL120" s="452">
        <v>13.11661985991281</v>
      </c>
      <c r="BM120" s="452">
        <v>8.706630700697149</v>
      </c>
      <c r="BN120" s="449">
        <v>11732</v>
      </c>
      <c r="BO120" s="449">
        <v>4032</v>
      </c>
      <c r="BP120" s="447">
        <v>5744820.427247569</v>
      </c>
      <c r="BQ120" s="447">
        <v>17670229</v>
      </c>
      <c r="BR120" s="447">
        <v>21438665</v>
      </c>
      <c r="BS120" s="448">
        <v>0.07951662014717077</v>
      </c>
      <c r="BT120" s="449">
        <v>1264</v>
      </c>
      <c r="BU120" s="449">
        <v>1243</v>
      </c>
      <c r="BV120" s="447">
        <v>1704730.181267445</v>
      </c>
      <c r="BW120" s="448">
        <v>0.014296180809498764</v>
      </c>
      <c r="BX120" s="447">
        <v>62227.44890002311</v>
      </c>
      <c r="BY120" s="447">
        <v>25182007.05741504</v>
      </c>
      <c r="BZ120" s="455">
        <v>0.94</v>
      </c>
      <c r="CA120" s="447">
        <v>23671086.633970134</v>
      </c>
      <c r="CB120" s="447">
        <v>17801298.775853567</v>
      </c>
      <c r="CC120" s="447">
        <v>17779511.400878794</v>
      </c>
      <c r="CD120" s="447">
        <v>17443888.508697998</v>
      </c>
      <c r="CE120" s="447">
        <v>17779511.400878794</v>
      </c>
      <c r="CF120" s="454">
        <v>1127.8553286525498</v>
      </c>
      <c r="CG120" s="450">
        <v>15764</v>
      </c>
      <c r="CH120" s="450">
        <v>255</v>
      </c>
      <c r="CI120" s="450">
        <v>1018</v>
      </c>
      <c r="CJ120" s="450">
        <v>2442</v>
      </c>
      <c r="CK120" s="450">
        <v>79</v>
      </c>
      <c r="CL120" s="450">
        <v>1554</v>
      </c>
      <c r="CM120" s="450">
        <v>69</v>
      </c>
      <c r="CN120" s="450">
        <v>652</v>
      </c>
      <c r="CO120" s="450">
        <v>665</v>
      </c>
      <c r="CP120" s="450">
        <v>851</v>
      </c>
      <c r="CQ120" s="450">
        <v>3275</v>
      </c>
      <c r="CR120" s="450">
        <v>3559</v>
      </c>
      <c r="CS120" s="450">
        <v>473</v>
      </c>
      <c r="CT120" s="450">
        <v>870</v>
      </c>
      <c r="CU120" s="450">
        <v>0</v>
      </c>
      <c r="CV120" s="450">
        <v>2</v>
      </c>
      <c r="CW120" s="447">
        <v>11351556.563427329</v>
      </c>
      <c r="CX120" s="452">
        <v>0.9176405465793702</v>
      </c>
      <c r="CY120" s="452">
        <v>0.94</v>
      </c>
      <c r="CZ120" s="447">
        <v>10416648.569390092</v>
      </c>
      <c r="DA120" s="454">
        <v>660.7871459902367</v>
      </c>
      <c r="DB120" s="449">
        <v>15764</v>
      </c>
      <c r="DC120" s="452">
        <v>1.0225577264653642</v>
      </c>
      <c r="DD120" s="454">
        <v>302.5</v>
      </c>
      <c r="DE120" s="447">
        <v>35642</v>
      </c>
      <c r="DF120" s="454">
        <v>49.11818908274392</v>
      </c>
      <c r="DG120" s="454">
        <v>51.230271213301904</v>
      </c>
      <c r="DH120" s="454">
        <v>52.35733717999454</v>
      </c>
      <c r="DI120" s="454">
        <v>53.50919859795441</v>
      </c>
      <c r="DJ120" s="454">
        <v>55.2750021516869</v>
      </c>
      <c r="DK120" s="454">
        <v>57.264902229147616</v>
      </c>
      <c r="DL120" s="454">
        <v>59.09737910048033</v>
      </c>
      <c r="DM120" s="454">
        <v>61.52037164360002</v>
      </c>
      <c r="DN120" s="454">
        <v>64.22726799591841</v>
      </c>
      <c r="DO120" s="454">
        <v>67.75976773569391</v>
      </c>
      <c r="DP120" s="454">
        <v>67.14992982607266</v>
      </c>
      <c r="DQ120" s="454">
        <v>70.57457624720237</v>
      </c>
      <c r="DR120" s="454">
        <v>74.87962539828172</v>
      </c>
      <c r="DS120" s="454">
        <v>40.65</v>
      </c>
      <c r="DT120" s="454">
        <v>42.62560371799945</v>
      </c>
      <c r="DU120" s="454">
        <v>44.66845939959087</v>
      </c>
      <c r="DV120" s="454">
        <v>47.28407900876606</v>
      </c>
      <c r="DW120" s="454">
        <v>50.16896247823391</v>
      </c>
      <c r="DX120" s="454">
        <v>52.99487091469454</v>
      </c>
      <c r="DY120" s="454">
        <v>56.438202826477614</v>
      </c>
      <c r="DZ120" s="454">
        <v>59.51101533362882</v>
      </c>
      <c r="EA120" s="454">
        <v>61.27098947221695</v>
      </c>
      <c r="EB120" s="454">
        <v>62.81413664485158</v>
      </c>
      <c r="EC120" s="454">
        <v>66.92904134043168</v>
      </c>
      <c r="ED120" s="454">
        <v>71.97869099621894</v>
      </c>
      <c r="EE120" s="454">
        <v>-1.37</v>
      </c>
      <c r="EF120" s="454">
        <v>70.60869099621894</v>
      </c>
      <c r="EG120" s="454">
        <v>3671.6519318033847</v>
      </c>
      <c r="EH120" s="447">
        <v>56722322.63188958</v>
      </c>
      <c r="EI120" s="454">
        <v>41.87</v>
      </c>
      <c r="EJ120" s="454">
        <v>43.74775971799944</v>
      </c>
      <c r="EK120" s="454">
        <v>45.68787578359087</v>
      </c>
      <c r="EL120" s="454">
        <v>48.205503992854055</v>
      </c>
      <c r="EM120" s="454">
        <v>50.98718786410405</v>
      </c>
      <c r="EN120" s="454">
        <v>53.698544746542865</v>
      </c>
      <c r="EO120" s="454">
        <v>57.024222393640905</v>
      </c>
      <c r="EP120" s="454">
        <v>60.05484149195635</v>
      </c>
      <c r="EQ120" s="454">
        <v>61.789618351875305</v>
      </c>
      <c r="ER120" s="454">
        <v>63.16068378650134</v>
      </c>
      <c r="ES120" s="454">
        <v>67.2204181771308</v>
      </c>
      <c r="ET120" s="454">
        <v>72.21055411402226</v>
      </c>
      <c r="EU120" s="447">
        <v>81214699</v>
      </c>
      <c r="EV120" s="447">
        <v>0</v>
      </c>
      <c r="EW120" s="447">
        <v>0</v>
      </c>
      <c r="EX120" s="447">
        <v>0</v>
      </c>
      <c r="EY120" s="447">
        <v>0</v>
      </c>
      <c r="EZ120" s="447">
        <v>0</v>
      </c>
      <c r="FA120" s="447">
        <v>0</v>
      </c>
      <c r="FB120" s="447">
        <v>0</v>
      </c>
      <c r="FC120" s="447">
        <v>6876481</v>
      </c>
      <c r="FD120" s="447">
        <v>88091180</v>
      </c>
      <c r="FE120" s="447">
        <v>83584.45958472928</v>
      </c>
      <c r="FF120" s="447">
        <v>0</v>
      </c>
      <c r="FG120" s="447">
        <v>0</v>
      </c>
      <c r="FH120" s="447">
        <v>7116</v>
      </c>
      <c r="FI120" s="456">
        <v>0.0721</v>
      </c>
      <c r="FJ120" s="447">
        <v>513.0636</v>
      </c>
      <c r="FK120" s="471">
        <v>513.0636</v>
      </c>
      <c r="FL120" s="446">
        <v>70.49</v>
      </c>
      <c r="FM120" s="450">
        <v>66.7</v>
      </c>
      <c r="FN120" s="450">
        <v>65.33</v>
      </c>
      <c r="FO120" s="450">
        <v>-1.37</v>
      </c>
      <c r="FP120" s="472">
        <v>64.32</v>
      </c>
      <c r="FQ120" s="446">
        <v>534022</v>
      </c>
      <c r="FR120" s="450">
        <v>0</v>
      </c>
      <c r="FS120" s="450">
        <v>13095</v>
      </c>
      <c r="FT120" s="450">
        <v>13095</v>
      </c>
      <c r="FU120" s="450">
        <v>13095</v>
      </c>
      <c r="FV120" s="450">
        <v>13095</v>
      </c>
      <c r="FW120" s="450">
        <v>13095</v>
      </c>
      <c r="FX120" s="450">
        <v>13095</v>
      </c>
      <c r="FY120" s="450">
        <v>13095</v>
      </c>
      <c r="FZ120" s="450">
        <v>13095</v>
      </c>
      <c r="GA120" s="450">
        <v>13095</v>
      </c>
      <c r="GB120" s="450">
        <v>13095</v>
      </c>
      <c r="GC120" s="450">
        <v>13095</v>
      </c>
      <c r="GD120" s="450">
        <v>13095</v>
      </c>
      <c r="GE120" s="450">
        <v>13095</v>
      </c>
      <c r="GF120" s="450">
        <v>13095</v>
      </c>
      <c r="GG120" s="450">
        <v>13095</v>
      </c>
      <c r="GH120" s="450">
        <v>13095</v>
      </c>
      <c r="GI120" s="450">
        <v>13095</v>
      </c>
      <c r="GJ120" s="450">
        <v>13095</v>
      </c>
      <c r="GK120" s="450">
        <v>13095</v>
      </c>
      <c r="GL120" s="450">
        <v>13095</v>
      </c>
      <c r="GM120" s="450">
        <v>13095</v>
      </c>
      <c r="GN120" s="450">
        <v>13095</v>
      </c>
      <c r="GO120" s="450">
        <v>13095</v>
      </c>
      <c r="GP120" s="450">
        <v>13095</v>
      </c>
      <c r="GQ120" s="450">
        <v>13095</v>
      </c>
      <c r="GR120" s="450">
        <v>13095</v>
      </c>
      <c r="GS120" s="450">
        <v>13095</v>
      </c>
      <c r="GT120" s="450">
        <v>13095</v>
      </c>
      <c r="GU120" s="450">
        <v>13095</v>
      </c>
      <c r="GV120" s="450">
        <v>13095</v>
      </c>
      <c r="GW120" s="450">
        <v>0</v>
      </c>
      <c r="GX120" s="450">
        <v>45990003</v>
      </c>
      <c r="GY120" s="450">
        <v>52866484</v>
      </c>
      <c r="GZ120" s="450">
        <v>22</v>
      </c>
      <c r="HA120" s="450" t="s">
        <v>888</v>
      </c>
      <c r="HB120" s="450" t="s">
        <v>889</v>
      </c>
      <c r="HC120" s="450">
        <v>49</v>
      </c>
      <c r="HD120" s="450">
        <v>32</v>
      </c>
      <c r="HE120" s="450">
        <v>0</v>
      </c>
      <c r="HF120" s="450">
        <v>0</v>
      </c>
      <c r="HG120" s="472">
        <v>0</v>
      </c>
    </row>
    <row r="121" spans="2:215" ht="12.75">
      <c r="B121" s="445" t="s">
        <v>800</v>
      </c>
      <c r="C121" s="446">
        <v>28270</v>
      </c>
      <c r="D121" s="447">
        <v>6617710</v>
      </c>
      <c r="E121" s="447">
        <v>5677995.18</v>
      </c>
      <c r="F121" s="447">
        <v>762418.3804977613</v>
      </c>
      <c r="G121" s="447">
        <v>939714.82</v>
      </c>
      <c r="H121" s="448">
        <v>0.3996158471878316</v>
      </c>
      <c r="I121" s="449">
        <v>8925.81</v>
      </c>
      <c r="J121" s="449">
        <v>2371.33</v>
      </c>
      <c r="K121" s="447">
        <v>6440413.560497761</v>
      </c>
      <c r="L121" s="447">
        <v>5152330.848398209</v>
      </c>
      <c r="M121" s="447">
        <v>1568786.3259811122</v>
      </c>
      <c r="N121" s="447">
        <v>1288082.712099552</v>
      </c>
      <c r="O121" s="450">
        <v>1.2179235939158117</v>
      </c>
      <c r="P121" s="451">
        <v>0.8323664662186063</v>
      </c>
      <c r="Q121" s="452">
        <v>0.1676335337813937</v>
      </c>
      <c r="R121" s="447">
        <v>6721117.174379321</v>
      </c>
      <c r="S121" s="447">
        <v>4543475.209880421</v>
      </c>
      <c r="T121" s="447">
        <v>684137.4549510278</v>
      </c>
      <c r="U121" s="447">
        <v>2290541.682849013</v>
      </c>
      <c r="V121" s="447">
        <v>1532414.7157584853</v>
      </c>
      <c r="W121" s="450">
        <v>1.4947270208869565</v>
      </c>
      <c r="X121" s="452">
        <v>26.239187065193764</v>
      </c>
      <c r="Y121" s="447">
        <v>684137.4549510278</v>
      </c>
      <c r="Z121" s="447">
        <v>645227.2487404149</v>
      </c>
      <c r="AA121" s="448">
        <v>1.0603046543470873</v>
      </c>
      <c r="AB121" s="448">
        <v>0.08340997523876902</v>
      </c>
      <c r="AC121" s="449">
        <v>2228</v>
      </c>
      <c r="AD121" s="449">
        <v>2488</v>
      </c>
      <c r="AE121" s="447">
        <v>7518154.347680461</v>
      </c>
      <c r="AF121" s="447">
        <v>1685852.4849885972</v>
      </c>
      <c r="AG121" s="451">
        <v>1</v>
      </c>
      <c r="AH121" s="450">
        <v>0.6684179792840732</v>
      </c>
      <c r="AI121" s="452">
        <v>0.5628814101219177</v>
      </c>
      <c r="AJ121" s="447">
        <v>9204006.832669057</v>
      </c>
      <c r="AK121" s="453">
        <v>1</v>
      </c>
      <c r="AL121" s="447">
        <v>9204006.832669057</v>
      </c>
      <c r="AM121" s="447">
        <v>21652075.732976183</v>
      </c>
      <c r="AN121" s="447">
        <v>21438365.460262507</v>
      </c>
      <c r="AO121" s="447">
        <v>20949674.665967762</v>
      </c>
      <c r="AP121" s="447">
        <v>21438365.460262507</v>
      </c>
      <c r="AQ121" s="447">
        <v>113080</v>
      </c>
      <c r="AR121" s="447">
        <v>21551445.460262507</v>
      </c>
      <c r="AS121" s="454">
        <v>762.3433130619918</v>
      </c>
      <c r="AT121" s="450">
        <v>28270</v>
      </c>
      <c r="AU121" s="450">
        <v>2274</v>
      </c>
      <c r="AV121" s="450">
        <v>2202</v>
      </c>
      <c r="AW121" s="450">
        <v>3461</v>
      </c>
      <c r="AX121" s="450">
        <v>72</v>
      </c>
      <c r="AY121" s="450">
        <v>1622</v>
      </c>
      <c r="AZ121" s="450">
        <v>966</v>
      </c>
      <c r="BA121" s="450">
        <v>2094</v>
      </c>
      <c r="BB121" s="450">
        <v>3274</v>
      </c>
      <c r="BC121" s="450">
        <v>339</v>
      </c>
      <c r="BD121" s="450">
        <v>4951</v>
      </c>
      <c r="BE121" s="450">
        <v>2665</v>
      </c>
      <c r="BF121" s="450">
        <v>2033</v>
      </c>
      <c r="BG121" s="450">
        <v>2276</v>
      </c>
      <c r="BH121" s="450">
        <v>0</v>
      </c>
      <c r="BI121" s="450">
        <v>41</v>
      </c>
      <c r="BJ121" s="452">
        <v>2.3573705516740815</v>
      </c>
      <c r="BK121" s="452">
        <v>33.17072999564838</v>
      </c>
      <c r="BL121" s="452">
        <v>19.44067128551163</v>
      </c>
      <c r="BM121" s="452">
        <v>27.460117420273495</v>
      </c>
      <c r="BN121" s="449">
        <v>23572</v>
      </c>
      <c r="BO121" s="449">
        <v>4698</v>
      </c>
      <c r="BP121" s="447">
        <v>13711270.991894579</v>
      </c>
      <c r="BQ121" s="447">
        <v>31106795</v>
      </c>
      <c r="BR121" s="447">
        <v>40241278</v>
      </c>
      <c r="BS121" s="448">
        <v>0.08340997523876902</v>
      </c>
      <c r="BT121" s="449">
        <v>2228</v>
      </c>
      <c r="BU121" s="449">
        <v>2488</v>
      </c>
      <c r="BV121" s="447">
        <v>3356524.0015564202</v>
      </c>
      <c r="BW121" s="448">
        <v>0.028085624531878503</v>
      </c>
      <c r="BX121" s="447">
        <v>416264.3011974946</v>
      </c>
      <c r="BY121" s="447">
        <v>48590854.2946485</v>
      </c>
      <c r="BZ121" s="455">
        <v>0.9</v>
      </c>
      <c r="CA121" s="447">
        <v>43731768.86518365</v>
      </c>
      <c r="CB121" s="447">
        <v>32887475.57742081</v>
      </c>
      <c r="CC121" s="447">
        <v>32847223.920988254</v>
      </c>
      <c r="CD121" s="447">
        <v>32866527.66120705</v>
      </c>
      <c r="CE121" s="447">
        <v>32866527.66120705</v>
      </c>
      <c r="CF121" s="454">
        <v>1162.593833081254</v>
      </c>
      <c r="CG121" s="450">
        <v>28270</v>
      </c>
      <c r="CH121" s="450">
        <v>2274</v>
      </c>
      <c r="CI121" s="450">
        <v>2202</v>
      </c>
      <c r="CJ121" s="450">
        <v>3461</v>
      </c>
      <c r="CK121" s="450">
        <v>72</v>
      </c>
      <c r="CL121" s="450">
        <v>1622</v>
      </c>
      <c r="CM121" s="450">
        <v>966</v>
      </c>
      <c r="CN121" s="450">
        <v>2094</v>
      </c>
      <c r="CO121" s="450">
        <v>3274</v>
      </c>
      <c r="CP121" s="450">
        <v>339</v>
      </c>
      <c r="CQ121" s="450">
        <v>4951</v>
      </c>
      <c r="CR121" s="450">
        <v>2665</v>
      </c>
      <c r="CS121" s="450">
        <v>2033</v>
      </c>
      <c r="CT121" s="450">
        <v>2276</v>
      </c>
      <c r="CU121" s="450">
        <v>0</v>
      </c>
      <c r="CV121" s="450">
        <v>41</v>
      </c>
      <c r="CW121" s="447">
        <v>19529143.443659354</v>
      </c>
      <c r="CX121" s="452">
        <v>0.8785920126823759</v>
      </c>
      <c r="CY121" s="452">
        <v>0.9</v>
      </c>
      <c r="CZ121" s="447">
        <v>17158149.444127496</v>
      </c>
      <c r="DA121" s="454">
        <v>606.9384309914219</v>
      </c>
      <c r="DB121" s="449">
        <v>28270</v>
      </c>
      <c r="DC121" s="452">
        <v>1.0157339936328262</v>
      </c>
      <c r="DD121" s="454">
        <v>298</v>
      </c>
      <c r="DE121" s="447">
        <v>30751</v>
      </c>
      <c r="DF121" s="454">
        <v>46.70547995609024</v>
      </c>
      <c r="DG121" s="454">
        <v>48.71381559420211</v>
      </c>
      <c r="DH121" s="454">
        <v>49.785519537274546</v>
      </c>
      <c r="DI121" s="454">
        <v>50.88080096709457</v>
      </c>
      <c r="DJ121" s="454">
        <v>52.55986739900869</v>
      </c>
      <c r="DK121" s="454">
        <v>54.45202262537299</v>
      </c>
      <c r="DL121" s="454">
        <v>56.194487349384914</v>
      </c>
      <c r="DM121" s="454">
        <v>58.498461330709695</v>
      </c>
      <c r="DN121" s="454">
        <v>61.07239362926091</v>
      </c>
      <c r="DO121" s="454">
        <v>64.43137527887025</v>
      </c>
      <c r="DP121" s="454">
        <v>63.851492901360416</v>
      </c>
      <c r="DQ121" s="454">
        <v>67.10791903932979</v>
      </c>
      <c r="DR121" s="454">
        <v>71.2015021007289</v>
      </c>
      <c r="DS121" s="454">
        <v>35.61</v>
      </c>
      <c r="DT121" s="454">
        <v>37.73262995372745</v>
      </c>
      <c r="DU121" s="454">
        <v>39.931420385418896</v>
      </c>
      <c r="DV121" s="454">
        <v>42.66299602574659</v>
      </c>
      <c r="DW121" s="454">
        <v>45.66360084591625</v>
      </c>
      <c r="DX121" s="454">
        <v>48.63644461905212</v>
      </c>
      <c r="DY121" s="454">
        <v>52.204123344888544</v>
      </c>
      <c r="DZ121" s="454">
        <v>55.23124797841888</v>
      </c>
      <c r="EA121" s="454">
        <v>56.96762517401015</v>
      </c>
      <c r="EB121" s="454">
        <v>58.86422480604873</v>
      </c>
      <c r="EC121" s="454">
        <v>62.91462402479173</v>
      </c>
      <c r="ED121" s="454">
        <v>67.86468759291024</v>
      </c>
      <c r="EE121" s="454">
        <v>-1.45</v>
      </c>
      <c r="EF121" s="454">
        <v>66.41468759291024</v>
      </c>
      <c r="EG121" s="454">
        <v>3453.5637548313325</v>
      </c>
      <c r="EH121" s="447">
        <v>95679602.40210013</v>
      </c>
      <c r="EI121" s="454">
        <v>38.84</v>
      </c>
      <c r="EJ121" s="454">
        <v>40.70358395372745</v>
      </c>
      <c r="EK121" s="454">
        <v>42.63036704141891</v>
      </c>
      <c r="EL121" s="454">
        <v>45.102506434438595</v>
      </c>
      <c r="EM121" s="454">
        <v>47.82988608883475</v>
      </c>
      <c r="EN121" s="454">
        <v>50.499449927962026</v>
      </c>
      <c r="EO121" s="454">
        <v>53.75563416614871</v>
      </c>
      <c r="EP121" s="454">
        <v>56.671050020548314</v>
      </c>
      <c r="EQ121" s="454">
        <v>58.340716388187595</v>
      </c>
      <c r="ER121" s="454">
        <v>59.78172256631818</v>
      </c>
      <c r="ES121" s="454">
        <v>63.68605614162628</v>
      </c>
      <c r="ET121" s="454">
        <v>68.47855469988133</v>
      </c>
      <c r="EU121" s="447">
        <v>383646181</v>
      </c>
      <c r="EV121" s="447">
        <v>0</v>
      </c>
      <c r="EW121" s="447">
        <v>0</v>
      </c>
      <c r="EX121" s="447">
        <v>0</v>
      </c>
      <c r="EY121" s="447">
        <v>0</v>
      </c>
      <c r="EZ121" s="447">
        <v>0</v>
      </c>
      <c r="FA121" s="447">
        <v>0</v>
      </c>
      <c r="FB121" s="447">
        <v>0</v>
      </c>
      <c r="FC121" s="447">
        <v>0</v>
      </c>
      <c r="FD121" s="447">
        <v>383646181</v>
      </c>
      <c r="FE121" s="447">
        <v>228061.89962534155</v>
      </c>
      <c r="FF121" s="447">
        <v>0</v>
      </c>
      <c r="FG121" s="447">
        <v>0</v>
      </c>
      <c r="FH121" s="447">
        <v>186705</v>
      </c>
      <c r="FI121" s="456">
        <v>0.0443</v>
      </c>
      <c r="FJ121" s="447">
        <v>8271.0315</v>
      </c>
      <c r="FK121" s="471">
        <v>8271.0315</v>
      </c>
      <c r="FL121" s="446">
        <v>66.76</v>
      </c>
      <c r="FM121" s="450">
        <v>62.86</v>
      </c>
      <c r="FN121" s="450">
        <v>61.41</v>
      </c>
      <c r="FO121" s="450">
        <v>-1.45</v>
      </c>
      <c r="FP121" s="472">
        <v>61.15</v>
      </c>
      <c r="FQ121" s="446">
        <v>117570</v>
      </c>
      <c r="FR121" s="450">
        <v>250369</v>
      </c>
      <c r="FS121" s="450">
        <v>0</v>
      </c>
      <c r="FT121" s="450">
        <v>0</v>
      </c>
      <c r="FU121" s="450">
        <v>0</v>
      </c>
      <c r="FV121" s="450">
        <v>0</v>
      </c>
      <c r="FW121" s="450">
        <v>0</v>
      </c>
      <c r="FX121" s="450">
        <v>0</v>
      </c>
      <c r="FY121" s="450">
        <v>0</v>
      </c>
      <c r="FZ121" s="450">
        <v>0</v>
      </c>
      <c r="GA121" s="450">
        <v>0</v>
      </c>
      <c r="GB121" s="450">
        <v>0</v>
      </c>
      <c r="GC121" s="450">
        <v>0</v>
      </c>
      <c r="GD121" s="450">
        <v>0</v>
      </c>
      <c r="GE121" s="450">
        <v>0</v>
      </c>
      <c r="GF121" s="450">
        <v>0</v>
      </c>
      <c r="GG121" s="450">
        <v>0</v>
      </c>
      <c r="GH121" s="450">
        <v>0</v>
      </c>
      <c r="GI121" s="450">
        <v>0</v>
      </c>
      <c r="GJ121" s="450">
        <v>0</v>
      </c>
      <c r="GK121" s="450">
        <v>0</v>
      </c>
      <c r="GL121" s="450">
        <v>0</v>
      </c>
      <c r="GM121" s="450">
        <v>0</v>
      </c>
      <c r="GN121" s="450">
        <v>0</v>
      </c>
      <c r="GO121" s="450">
        <v>0</v>
      </c>
      <c r="GP121" s="450">
        <v>0</v>
      </c>
      <c r="GQ121" s="450">
        <v>0</v>
      </c>
      <c r="GR121" s="450">
        <v>0</v>
      </c>
      <c r="GS121" s="450">
        <v>0</v>
      </c>
      <c r="GT121" s="450">
        <v>0</v>
      </c>
      <c r="GU121" s="450">
        <v>0</v>
      </c>
      <c r="GV121" s="450">
        <v>0</v>
      </c>
      <c r="GW121" s="450">
        <v>2125840</v>
      </c>
      <c r="GX121" s="450">
        <v>321777824</v>
      </c>
      <c r="GY121" s="450">
        <v>340163113</v>
      </c>
      <c r="GZ121" s="450">
        <v>222</v>
      </c>
      <c r="HA121" s="450" t="s">
        <v>888</v>
      </c>
      <c r="HB121" s="450" t="s">
        <v>888</v>
      </c>
      <c r="HC121" s="450">
        <v>298</v>
      </c>
      <c r="HD121" s="450">
        <v>382</v>
      </c>
      <c r="HE121" s="450">
        <v>203</v>
      </c>
      <c r="HF121" s="450">
        <v>0</v>
      </c>
      <c r="HG121" s="472">
        <v>0</v>
      </c>
    </row>
    <row r="122" spans="2:215" ht="12.75">
      <c r="B122" s="445" t="s">
        <v>801</v>
      </c>
      <c r="C122" s="446">
        <v>5929</v>
      </c>
      <c r="D122" s="447">
        <v>1412257</v>
      </c>
      <c r="E122" s="447">
        <v>1211716.506</v>
      </c>
      <c r="F122" s="447">
        <v>177090.21089814263</v>
      </c>
      <c r="G122" s="447">
        <v>200540.49400000004</v>
      </c>
      <c r="H122" s="448">
        <v>0.4349485579355709</v>
      </c>
      <c r="I122" s="449">
        <v>2117.31</v>
      </c>
      <c r="J122" s="449">
        <v>461.5</v>
      </c>
      <c r="K122" s="447">
        <v>1388806.7168981426</v>
      </c>
      <c r="L122" s="447">
        <v>1111045.3735185142</v>
      </c>
      <c r="M122" s="447">
        <v>344936.58208295936</v>
      </c>
      <c r="N122" s="447">
        <v>277761.34337962844</v>
      </c>
      <c r="O122" s="450">
        <v>1.2418451678191937</v>
      </c>
      <c r="P122" s="451">
        <v>0.813965255523697</v>
      </c>
      <c r="Q122" s="452">
        <v>0.18603474447630292</v>
      </c>
      <c r="R122" s="447">
        <v>1455981.9556014736</v>
      </c>
      <c r="S122" s="447">
        <v>984243.8019865962</v>
      </c>
      <c r="T122" s="447">
        <v>169469.30959073207</v>
      </c>
      <c r="U122" s="447">
        <v>269664.985320301</v>
      </c>
      <c r="V122" s="447">
        <v>331963.88587713597</v>
      </c>
      <c r="W122" s="450">
        <v>0.8123322951464288</v>
      </c>
      <c r="X122" s="452">
        <v>14.260088132211097</v>
      </c>
      <c r="Y122" s="447">
        <v>169469.30959073207</v>
      </c>
      <c r="Z122" s="447">
        <v>139774.26773774147</v>
      </c>
      <c r="AA122" s="448">
        <v>1.212449990499735</v>
      </c>
      <c r="AB122" s="448">
        <v>0.09537864732669928</v>
      </c>
      <c r="AC122" s="449">
        <v>573</v>
      </c>
      <c r="AD122" s="449">
        <v>558</v>
      </c>
      <c r="AE122" s="447">
        <v>1423378.0968976293</v>
      </c>
      <c r="AF122" s="447">
        <v>37446.62406222529</v>
      </c>
      <c r="AG122" s="451">
        <v>0.25</v>
      </c>
      <c r="AH122" s="450">
        <v>0.2191289656334184</v>
      </c>
      <c r="AI122" s="452">
        <v>0.18453067541122437</v>
      </c>
      <c r="AJ122" s="447">
        <v>1460824.7209598545</v>
      </c>
      <c r="AK122" s="453">
        <v>1.0155</v>
      </c>
      <c r="AL122" s="447">
        <v>1483467.5041347323</v>
      </c>
      <c r="AM122" s="447">
        <v>3489800.836840525</v>
      </c>
      <c r="AN122" s="447">
        <v>3455355.811903644</v>
      </c>
      <c r="AO122" s="447">
        <v>3371769.734095099</v>
      </c>
      <c r="AP122" s="447">
        <v>3455355.811903644</v>
      </c>
      <c r="AQ122" s="447">
        <v>23716</v>
      </c>
      <c r="AR122" s="447">
        <v>3479071.811903644</v>
      </c>
      <c r="AS122" s="454">
        <v>586.7889714797848</v>
      </c>
      <c r="AT122" s="450">
        <v>5929</v>
      </c>
      <c r="AU122" s="450">
        <v>51</v>
      </c>
      <c r="AV122" s="450">
        <v>834</v>
      </c>
      <c r="AW122" s="450">
        <v>145</v>
      </c>
      <c r="AX122" s="450">
        <v>48</v>
      </c>
      <c r="AY122" s="450">
        <v>733</v>
      </c>
      <c r="AZ122" s="450">
        <v>168</v>
      </c>
      <c r="BA122" s="450">
        <v>138</v>
      </c>
      <c r="BB122" s="450">
        <v>855</v>
      </c>
      <c r="BC122" s="450">
        <v>2</v>
      </c>
      <c r="BD122" s="450">
        <v>1274</v>
      </c>
      <c r="BE122" s="450">
        <v>1103</v>
      </c>
      <c r="BF122" s="450">
        <v>0</v>
      </c>
      <c r="BG122" s="450">
        <v>564</v>
      </c>
      <c r="BH122" s="450">
        <v>3</v>
      </c>
      <c r="BI122" s="450">
        <v>11</v>
      </c>
      <c r="BJ122" s="452">
        <v>1.7537587120248475</v>
      </c>
      <c r="BK122" s="452">
        <v>17.811837387245347</v>
      </c>
      <c r="BL122" s="452">
        <v>10.544626476321524</v>
      </c>
      <c r="BM122" s="452">
        <v>14.53442182184765</v>
      </c>
      <c r="BN122" s="449">
        <v>4826</v>
      </c>
      <c r="BO122" s="449">
        <v>1103</v>
      </c>
      <c r="BP122" s="447">
        <v>2194099.464474894</v>
      </c>
      <c r="BQ122" s="447">
        <v>6501387</v>
      </c>
      <c r="BR122" s="447">
        <v>8165156</v>
      </c>
      <c r="BS122" s="448">
        <v>0.09537864732669928</v>
      </c>
      <c r="BT122" s="449">
        <v>573</v>
      </c>
      <c r="BU122" s="449">
        <v>558</v>
      </c>
      <c r="BV122" s="447">
        <v>778781.5344914825</v>
      </c>
      <c r="BW122" s="448">
        <v>0.011098166942080089</v>
      </c>
      <c r="BX122" s="447">
        <v>18524.464797516546</v>
      </c>
      <c r="BY122" s="447">
        <v>9492792.463763893</v>
      </c>
      <c r="BZ122" s="455">
        <v>0.97</v>
      </c>
      <c r="CA122" s="447">
        <v>9208008.689850977</v>
      </c>
      <c r="CB122" s="447">
        <v>6924672.126520004</v>
      </c>
      <c r="CC122" s="447">
        <v>6916196.878163267</v>
      </c>
      <c r="CD122" s="447">
        <v>6624598.3496177085</v>
      </c>
      <c r="CE122" s="447">
        <v>6916196.878163267</v>
      </c>
      <c r="CF122" s="454">
        <v>1166.5030997070783</v>
      </c>
      <c r="CG122" s="450">
        <v>5929</v>
      </c>
      <c r="CH122" s="450">
        <v>51</v>
      </c>
      <c r="CI122" s="450">
        <v>834</v>
      </c>
      <c r="CJ122" s="450">
        <v>145</v>
      </c>
      <c r="CK122" s="450">
        <v>48</v>
      </c>
      <c r="CL122" s="450">
        <v>733</v>
      </c>
      <c r="CM122" s="450">
        <v>168</v>
      </c>
      <c r="CN122" s="450">
        <v>138</v>
      </c>
      <c r="CO122" s="450">
        <v>855</v>
      </c>
      <c r="CP122" s="450">
        <v>2</v>
      </c>
      <c r="CQ122" s="450">
        <v>1274</v>
      </c>
      <c r="CR122" s="450">
        <v>1103</v>
      </c>
      <c r="CS122" s="450">
        <v>0</v>
      </c>
      <c r="CT122" s="450">
        <v>564</v>
      </c>
      <c r="CU122" s="450">
        <v>3</v>
      </c>
      <c r="CV122" s="450">
        <v>11</v>
      </c>
      <c r="CW122" s="447">
        <v>4290692.867990221</v>
      </c>
      <c r="CX122" s="452">
        <v>0.9469269470021162</v>
      </c>
      <c r="CY122" s="452">
        <v>0.97</v>
      </c>
      <c r="CZ122" s="447">
        <v>4062972.698009734</v>
      </c>
      <c r="DA122" s="454">
        <v>685.2711583757352</v>
      </c>
      <c r="DB122" s="449">
        <v>5929</v>
      </c>
      <c r="DC122" s="452">
        <v>0.9983471074380165</v>
      </c>
      <c r="DD122" s="454">
        <v>326.1</v>
      </c>
      <c r="DE122" s="447">
        <v>27975</v>
      </c>
      <c r="DF122" s="454">
        <v>48.555057912909824</v>
      </c>
      <c r="DG122" s="454">
        <v>50.642925403164945</v>
      </c>
      <c r="DH122" s="454">
        <v>51.75706976203456</v>
      </c>
      <c r="DI122" s="454">
        <v>52.89572529679931</v>
      </c>
      <c r="DJ122" s="454">
        <v>54.64128423159369</v>
      </c>
      <c r="DK122" s="454">
        <v>56.60837046393105</v>
      </c>
      <c r="DL122" s="454">
        <v>58.41983831877683</v>
      </c>
      <c r="DM122" s="454">
        <v>60.815051689846676</v>
      </c>
      <c r="DN122" s="454">
        <v>63.49091396419992</v>
      </c>
      <c r="DO122" s="454">
        <v>66.98291423223091</v>
      </c>
      <c r="DP122" s="454">
        <v>66.38006800414084</v>
      </c>
      <c r="DQ122" s="454">
        <v>69.76545147235201</v>
      </c>
      <c r="DR122" s="454">
        <v>74.02114401216548</v>
      </c>
      <c r="DS122" s="454">
        <v>38.35</v>
      </c>
      <c r="DT122" s="454">
        <v>40.45003697620345</v>
      </c>
      <c r="DU122" s="454">
        <v>42.62391417935985</v>
      </c>
      <c r="DV122" s="454">
        <v>45.3568509578181</v>
      </c>
      <c r="DW122" s="454">
        <v>48.36379371681833</v>
      </c>
      <c r="DX122" s="454">
        <v>51.32950231625989</v>
      </c>
      <c r="DY122" s="454">
        <v>54.91021986695057</v>
      </c>
      <c r="DZ122" s="454">
        <v>58.011230032552334</v>
      </c>
      <c r="EA122" s="454">
        <v>59.78890398985947</v>
      </c>
      <c r="EB122" s="454">
        <v>61.573039733491484</v>
      </c>
      <c r="EC122" s="454">
        <v>65.72370210239004</v>
      </c>
      <c r="ED122" s="454">
        <v>70.80492195101824</v>
      </c>
      <c r="EE122" s="454">
        <v>-0.32</v>
      </c>
      <c r="EF122" s="454">
        <v>70.48492195101825</v>
      </c>
      <c r="EG122" s="454">
        <v>3665.215941452949</v>
      </c>
      <c r="EH122" s="447">
        <v>21296444.010537047</v>
      </c>
      <c r="EI122" s="454">
        <v>39.77</v>
      </c>
      <c r="EJ122" s="454">
        <v>41.75615297620345</v>
      </c>
      <c r="EK122" s="454">
        <v>43.81044800335985</v>
      </c>
      <c r="EL122" s="454">
        <v>46.429329217986094</v>
      </c>
      <c r="EM122" s="454">
        <v>49.316154411847506</v>
      </c>
      <c r="EN122" s="454">
        <v>52.14853251398499</v>
      </c>
      <c r="EO122" s="454">
        <v>55.59230821561603</v>
      </c>
      <c r="EP122" s="454">
        <v>58.64420802011388</v>
      </c>
      <c r="EQ122" s="454">
        <v>60.392553997330666</v>
      </c>
      <c r="ER122" s="454">
        <v>61.97639788196907</v>
      </c>
      <c r="ES122" s="454">
        <v>66.06284563363</v>
      </c>
      <c r="ET122" s="454">
        <v>71.07479541600244</v>
      </c>
      <c r="EU122" s="447">
        <v>18195053</v>
      </c>
      <c r="EV122" s="447">
        <v>0</v>
      </c>
      <c r="EW122" s="447">
        <v>0</v>
      </c>
      <c r="EX122" s="447">
        <v>0</v>
      </c>
      <c r="EY122" s="447">
        <v>0</v>
      </c>
      <c r="EZ122" s="447">
        <v>0</v>
      </c>
      <c r="FA122" s="447">
        <v>0</v>
      </c>
      <c r="FB122" s="447">
        <v>0</v>
      </c>
      <c r="FC122" s="447">
        <v>0</v>
      </c>
      <c r="FD122" s="447">
        <v>18195053</v>
      </c>
      <c r="FE122" s="447">
        <v>49416.83100952029</v>
      </c>
      <c r="FF122" s="447">
        <v>0</v>
      </c>
      <c r="FG122" s="447">
        <v>0</v>
      </c>
      <c r="FH122" s="447">
        <v>0</v>
      </c>
      <c r="FI122" s="456">
        <v>0</v>
      </c>
      <c r="FJ122" s="447">
        <v>0</v>
      </c>
      <c r="FK122" s="471">
        <v>0</v>
      </c>
      <c r="FL122" s="446">
        <v>69.81</v>
      </c>
      <c r="FM122" s="450">
        <v>66.14</v>
      </c>
      <c r="FN122" s="450">
        <v>65.82</v>
      </c>
      <c r="FO122" s="450">
        <v>-0.32</v>
      </c>
      <c r="FP122" s="472">
        <v>59.77</v>
      </c>
      <c r="FQ122" s="446">
        <v>174533</v>
      </c>
      <c r="FR122" s="450">
        <v>11696</v>
      </c>
      <c r="FS122" s="450">
        <v>0</v>
      </c>
      <c r="FT122" s="450">
        <v>0</v>
      </c>
      <c r="FU122" s="450">
        <v>0</v>
      </c>
      <c r="FV122" s="450">
        <v>0</v>
      </c>
      <c r="FW122" s="450">
        <v>0</v>
      </c>
      <c r="FX122" s="450">
        <v>0</v>
      </c>
      <c r="FY122" s="450">
        <v>0</v>
      </c>
      <c r="FZ122" s="450">
        <v>0</v>
      </c>
      <c r="GA122" s="450">
        <v>0</v>
      </c>
      <c r="GB122" s="450">
        <v>0</v>
      </c>
      <c r="GC122" s="450">
        <v>0</v>
      </c>
      <c r="GD122" s="450">
        <v>0</v>
      </c>
      <c r="GE122" s="450">
        <v>0</v>
      </c>
      <c r="GF122" s="450">
        <v>0</v>
      </c>
      <c r="GG122" s="450">
        <v>0</v>
      </c>
      <c r="GH122" s="450">
        <v>0</v>
      </c>
      <c r="GI122" s="450">
        <v>0</v>
      </c>
      <c r="GJ122" s="450">
        <v>0</v>
      </c>
      <c r="GK122" s="450">
        <v>0</v>
      </c>
      <c r="GL122" s="450">
        <v>0</v>
      </c>
      <c r="GM122" s="450">
        <v>0</v>
      </c>
      <c r="GN122" s="450">
        <v>0</v>
      </c>
      <c r="GO122" s="450">
        <v>0</v>
      </c>
      <c r="GP122" s="450">
        <v>0</v>
      </c>
      <c r="GQ122" s="450">
        <v>0</v>
      </c>
      <c r="GR122" s="450">
        <v>0</v>
      </c>
      <c r="GS122" s="450">
        <v>0</v>
      </c>
      <c r="GT122" s="450">
        <v>0</v>
      </c>
      <c r="GU122" s="450">
        <v>0</v>
      </c>
      <c r="GV122" s="450">
        <v>0</v>
      </c>
      <c r="GW122" s="450">
        <v>0</v>
      </c>
      <c r="GX122" s="450">
        <v>8662475</v>
      </c>
      <c r="GY122" s="450">
        <v>9107615</v>
      </c>
      <c r="GZ122" s="450">
        <v>0</v>
      </c>
      <c r="HA122" s="450" t="s">
        <v>888</v>
      </c>
      <c r="HB122" s="450" t="s">
        <v>888</v>
      </c>
      <c r="HC122" s="450">
        <v>0</v>
      </c>
      <c r="HD122" s="450">
        <v>12</v>
      </c>
      <c r="HE122" s="450">
        <v>0</v>
      </c>
      <c r="HF122" s="450">
        <v>0</v>
      </c>
      <c r="HG122" s="472">
        <v>0</v>
      </c>
    </row>
    <row r="123" spans="2:215" ht="12.75">
      <c r="B123" s="445" t="s">
        <v>802</v>
      </c>
      <c r="C123" s="446">
        <v>4356</v>
      </c>
      <c r="D123" s="447">
        <v>1045748</v>
      </c>
      <c r="E123" s="447">
        <v>897251.784</v>
      </c>
      <c r="F123" s="447">
        <v>87218.33375398896</v>
      </c>
      <c r="G123" s="447">
        <v>148496.21600000001</v>
      </c>
      <c r="H123" s="448">
        <v>0.2892929292929293</v>
      </c>
      <c r="I123" s="449">
        <v>812.57</v>
      </c>
      <c r="J123" s="449">
        <v>447.59</v>
      </c>
      <c r="K123" s="447">
        <v>984470.117753989</v>
      </c>
      <c r="L123" s="447">
        <v>787576.0942031912</v>
      </c>
      <c r="M123" s="447">
        <v>199714.54399835737</v>
      </c>
      <c r="N123" s="447">
        <v>196894.02355079775</v>
      </c>
      <c r="O123" s="450">
        <v>1.0143250688705234</v>
      </c>
      <c r="P123" s="451">
        <v>0.9889807162534435</v>
      </c>
      <c r="Q123" s="452">
        <v>0.011019283746556474</v>
      </c>
      <c r="R123" s="447">
        <v>987290.6382015486</v>
      </c>
      <c r="S123" s="447">
        <v>667408.4714242469</v>
      </c>
      <c r="T123" s="447">
        <v>95009.66740931601</v>
      </c>
      <c r="U123" s="447">
        <v>176613.07736069348</v>
      </c>
      <c r="V123" s="447">
        <v>225102.26550995308</v>
      </c>
      <c r="W123" s="450">
        <v>0.7845904036575961</v>
      </c>
      <c r="X123" s="452">
        <v>13.773093068800895</v>
      </c>
      <c r="Y123" s="447">
        <v>95009.66740931601</v>
      </c>
      <c r="Z123" s="447">
        <v>94779.90126734867</v>
      </c>
      <c r="AA123" s="448">
        <v>1.0024242074416096</v>
      </c>
      <c r="AB123" s="448">
        <v>0.07885674931129477</v>
      </c>
      <c r="AC123" s="449">
        <v>317</v>
      </c>
      <c r="AD123" s="449">
        <v>370</v>
      </c>
      <c r="AE123" s="447">
        <v>939031.2161942564</v>
      </c>
      <c r="AF123" s="447">
        <v>0</v>
      </c>
      <c r="AG123" s="451">
        <v>0</v>
      </c>
      <c r="AH123" s="450">
        <v>0.04645434487332481</v>
      </c>
      <c r="AI123" s="452">
        <v>0.0391196645796299</v>
      </c>
      <c r="AJ123" s="447">
        <v>939031.2161942564</v>
      </c>
      <c r="AK123" s="453">
        <v>1</v>
      </c>
      <c r="AL123" s="447">
        <v>939031.2161942564</v>
      </c>
      <c r="AM123" s="447">
        <v>2209035.1928574927</v>
      </c>
      <c r="AN123" s="447">
        <v>2187231.57830701</v>
      </c>
      <c r="AO123" s="447">
        <v>2154687.173552242</v>
      </c>
      <c r="AP123" s="447">
        <v>2187231.57830701</v>
      </c>
      <c r="AQ123" s="447">
        <v>17424</v>
      </c>
      <c r="AR123" s="447">
        <v>2204655.57830701</v>
      </c>
      <c r="AS123" s="454">
        <v>506.1192787665312</v>
      </c>
      <c r="AT123" s="450">
        <v>4356</v>
      </c>
      <c r="AU123" s="450">
        <v>141</v>
      </c>
      <c r="AV123" s="450">
        <v>446</v>
      </c>
      <c r="AW123" s="450">
        <v>179</v>
      </c>
      <c r="AX123" s="450">
        <v>22</v>
      </c>
      <c r="AY123" s="450">
        <v>1325</v>
      </c>
      <c r="AZ123" s="450">
        <v>54</v>
      </c>
      <c r="BA123" s="450">
        <v>51</v>
      </c>
      <c r="BB123" s="450">
        <v>416</v>
      </c>
      <c r="BC123" s="450">
        <v>9</v>
      </c>
      <c r="BD123" s="450">
        <v>856</v>
      </c>
      <c r="BE123" s="450">
        <v>48</v>
      </c>
      <c r="BF123" s="450">
        <v>0</v>
      </c>
      <c r="BG123" s="450">
        <v>809</v>
      </c>
      <c r="BH123" s="450">
        <v>0</v>
      </c>
      <c r="BI123" s="450">
        <v>0</v>
      </c>
      <c r="BJ123" s="452">
        <v>1.2983070452375534</v>
      </c>
      <c r="BK123" s="452">
        <v>9.943396937230158</v>
      </c>
      <c r="BL123" s="452">
        <v>6.087303397912713</v>
      </c>
      <c r="BM123" s="452">
        <v>7.712187078634892</v>
      </c>
      <c r="BN123" s="449">
        <v>4308</v>
      </c>
      <c r="BO123" s="449">
        <v>48</v>
      </c>
      <c r="BP123" s="447">
        <v>1236097.3648579507</v>
      </c>
      <c r="BQ123" s="447">
        <v>4392782</v>
      </c>
      <c r="BR123" s="447">
        <v>6167230</v>
      </c>
      <c r="BS123" s="448">
        <v>0.07885674931129477</v>
      </c>
      <c r="BT123" s="449">
        <v>317</v>
      </c>
      <c r="BU123" s="449">
        <v>370</v>
      </c>
      <c r="BV123" s="447">
        <v>486327.7100550965</v>
      </c>
      <c r="BW123" s="448">
        <v>0.005452965174909816</v>
      </c>
      <c r="BX123" s="447">
        <v>3733.013976350896</v>
      </c>
      <c r="BY123" s="447">
        <v>6118940.088889398</v>
      </c>
      <c r="BZ123" s="455">
        <v>0.91</v>
      </c>
      <c r="CA123" s="447">
        <v>5568235.480889352</v>
      </c>
      <c r="CB123" s="447">
        <v>4187464.0138983442</v>
      </c>
      <c r="CC123" s="447">
        <v>4182338.8907366614</v>
      </c>
      <c r="CD123" s="447">
        <v>4156104.5304488656</v>
      </c>
      <c r="CE123" s="447">
        <v>4182338.8907366614</v>
      </c>
      <c r="CF123" s="454">
        <v>960.1328950267817</v>
      </c>
      <c r="CG123" s="450">
        <v>4356</v>
      </c>
      <c r="CH123" s="450">
        <v>141</v>
      </c>
      <c r="CI123" s="450">
        <v>446</v>
      </c>
      <c r="CJ123" s="450">
        <v>179</v>
      </c>
      <c r="CK123" s="450">
        <v>22</v>
      </c>
      <c r="CL123" s="450">
        <v>1325</v>
      </c>
      <c r="CM123" s="450">
        <v>54</v>
      </c>
      <c r="CN123" s="450">
        <v>51</v>
      </c>
      <c r="CO123" s="450">
        <v>416</v>
      </c>
      <c r="CP123" s="450">
        <v>9</v>
      </c>
      <c r="CQ123" s="450">
        <v>856</v>
      </c>
      <c r="CR123" s="450">
        <v>48</v>
      </c>
      <c r="CS123" s="450">
        <v>0</v>
      </c>
      <c r="CT123" s="450">
        <v>809</v>
      </c>
      <c r="CU123" s="450">
        <v>0</v>
      </c>
      <c r="CV123" s="450">
        <v>0</v>
      </c>
      <c r="CW123" s="447">
        <v>3087915.7221693285</v>
      </c>
      <c r="CX123" s="452">
        <v>0.8883541461566244</v>
      </c>
      <c r="CY123" s="452">
        <v>0.91</v>
      </c>
      <c r="CZ123" s="447">
        <v>2743162.73477135</v>
      </c>
      <c r="DA123" s="454">
        <v>629.7435111963613</v>
      </c>
      <c r="DB123" s="449">
        <v>4356</v>
      </c>
      <c r="DC123" s="452">
        <v>1.033287419651056</v>
      </c>
      <c r="DD123" s="454">
        <v>303.1</v>
      </c>
      <c r="DE123" s="447">
        <v>33495</v>
      </c>
      <c r="DF123" s="454">
        <v>48.87817297531462</v>
      </c>
      <c r="DG123" s="454">
        <v>50.97993441325315</v>
      </c>
      <c r="DH123" s="454">
        <v>52.10149297034471</v>
      </c>
      <c r="DI123" s="454">
        <v>53.247725815692284</v>
      </c>
      <c r="DJ123" s="454">
        <v>55.004900767610124</v>
      </c>
      <c r="DK123" s="454">
        <v>56.98507719524408</v>
      </c>
      <c r="DL123" s="454">
        <v>58.80859966549188</v>
      </c>
      <c r="DM123" s="454">
        <v>61.219752251777045</v>
      </c>
      <c r="DN123" s="454">
        <v>63.913421350855224</v>
      </c>
      <c r="DO123" s="454">
        <v>67.42865952515226</v>
      </c>
      <c r="DP123" s="454">
        <v>66.82180158942589</v>
      </c>
      <c r="DQ123" s="454">
        <v>70.2297134704866</v>
      </c>
      <c r="DR123" s="454">
        <v>74.51372599218628</v>
      </c>
      <c r="DS123" s="454">
        <v>40.31</v>
      </c>
      <c r="DT123" s="454">
        <v>42.28728729703447</v>
      </c>
      <c r="DU123" s="454">
        <v>44.33206519513845</v>
      </c>
      <c r="DV123" s="454">
        <v>46.946258024207026</v>
      </c>
      <c r="DW123" s="454">
        <v>49.829002439102126</v>
      </c>
      <c r="DX123" s="454">
        <v>52.6543753752098</v>
      </c>
      <c r="DY123" s="454">
        <v>56.094514262830124</v>
      </c>
      <c r="DZ123" s="454">
        <v>59.15720049711248</v>
      </c>
      <c r="EA123" s="454">
        <v>60.91149417575642</v>
      </c>
      <c r="EB123" s="454">
        <v>62.46704019438024</v>
      </c>
      <c r="EC123" s="454">
        <v>66.56823008953222</v>
      </c>
      <c r="ED123" s="454">
        <v>71.60010059179183</v>
      </c>
      <c r="EE123" s="454">
        <v>-2.35</v>
      </c>
      <c r="EF123" s="454">
        <v>69.25010059179183</v>
      </c>
      <c r="EG123" s="454">
        <v>3601.0052307731753</v>
      </c>
      <c r="EH123" s="447">
        <v>15372259.209542992</v>
      </c>
      <c r="EI123" s="454">
        <v>40.31</v>
      </c>
      <c r="EJ123" s="454">
        <v>42.28728729703447</v>
      </c>
      <c r="EK123" s="454">
        <v>44.33206519513845</v>
      </c>
      <c r="EL123" s="454">
        <v>46.946258024207026</v>
      </c>
      <c r="EM123" s="454">
        <v>49.829002439102126</v>
      </c>
      <c r="EN123" s="454">
        <v>52.6543753752098</v>
      </c>
      <c r="EO123" s="454">
        <v>56.094514262830124</v>
      </c>
      <c r="EP123" s="454">
        <v>59.15720049711248</v>
      </c>
      <c r="EQ123" s="454">
        <v>60.91149417575642</v>
      </c>
      <c r="ER123" s="454">
        <v>62.46704019438024</v>
      </c>
      <c r="ES123" s="454">
        <v>66.56823008953222</v>
      </c>
      <c r="ET123" s="454">
        <v>71.60010059179183</v>
      </c>
      <c r="EU123" s="447">
        <v>13601534</v>
      </c>
      <c r="EV123" s="447">
        <v>0</v>
      </c>
      <c r="EW123" s="447">
        <v>0</v>
      </c>
      <c r="EX123" s="447">
        <v>0</v>
      </c>
      <c r="EY123" s="447">
        <v>0</v>
      </c>
      <c r="EZ123" s="447">
        <v>0</v>
      </c>
      <c r="FA123" s="447">
        <v>125050</v>
      </c>
      <c r="FB123" s="447">
        <v>0</v>
      </c>
      <c r="FC123" s="447">
        <v>0</v>
      </c>
      <c r="FD123" s="447">
        <v>13476484</v>
      </c>
      <c r="FE123" s="447">
        <v>47110.23234778764</v>
      </c>
      <c r="FF123" s="447">
        <v>0</v>
      </c>
      <c r="FG123" s="447">
        <v>0</v>
      </c>
      <c r="FH123" s="447">
        <v>1749</v>
      </c>
      <c r="FI123" s="456">
        <v>0.053899999999999997</v>
      </c>
      <c r="FJ123" s="447">
        <v>94.27109999999999</v>
      </c>
      <c r="FK123" s="471">
        <v>94.27109999999999</v>
      </c>
      <c r="FL123" s="446">
        <v>70.23</v>
      </c>
      <c r="FM123" s="450">
        <v>65.97</v>
      </c>
      <c r="FN123" s="450">
        <v>62.81</v>
      </c>
      <c r="FO123" s="450">
        <v>-3.16</v>
      </c>
      <c r="FP123" s="472">
        <v>63.62</v>
      </c>
      <c r="FQ123" s="446">
        <v>65309</v>
      </c>
      <c r="FR123" s="450">
        <v>420</v>
      </c>
      <c r="FS123" s="450">
        <v>0</v>
      </c>
      <c r="FT123" s="450">
        <v>0</v>
      </c>
      <c r="FU123" s="450">
        <v>0</v>
      </c>
      <c r="FV123" s="450">
        <v>0</v>
      </c>
      <c r="FW123" s="450">
        <v>0</v>
      </c>
      <c r="FX123" s="450">
        <v>0</v>
      </c>
      <c r="FY123" s="450">
        <v>0</v>
      </c>
      <c r="FZ123" s="450">
        <v>0</v>
      </c>
      <c r="GA123" s="450">
        <v>0</v>
      </c>
      <c r="GB123" s="450">
        <v>0</v>
      </c>
      <c r="GC123" s="450">
        <v>0</v>
      </c>
      <c r="GD123" s="450">
        <v>0</v>
      </c>
      <c r="GE123" s="450">
        <v>0</v>
      </c>
      <c r="GF123" s="450">
        <v>0</v>
      </c>
      <c r="GG123" s="450">
        <v>0</v>
      </c>
      <c r="GH123" s="450">
        <v>0</v>
      </c>
      <c r="GI123" s="450">
        <v>0</v>
      </c>
      <c r="GJ123" s="450">
        <v>0</v>
      </c>
      <c r="GK123" s="450">
        <v>0</v>
      </c>
      <c r="GL123" s="450">
        <v>0</v>
      </c>
      <c r="GM123" s="450">
        <v>0</v>
      </c>
      <c r="GN123" s="450">
        <v>0</v>
      </c>
      <c r="GO123" s="450">
        <v>0</v>
      </c>
      <c r="GP123" s="450">
        <v>0</v>
      </c>
      <c r="GQ123" s="450">
        <v>0</v>
      </c>
      <c r="GR123" s="450">
        <v>0</v>
      </c>
      <c r="GS123" s="450">
        <v>0</v>
      </c>
      <c r="GT123" s="450">
        <v>0</v>
      </c>
      <c r="GU123" s="450">
        <v>0</v>
      </c>
      <c r="GV123" s="450">
        <v>0</v>
      </c>
      <c r="GW123" s="450">
        <v>0</v>
      </c>
      <c r="GX123" s="450">
        <v>3335280</v>
      </c>
      <c r="GY123" s="450">
        <v>3335280</v>
      </c>
      <c r="GZ123" s="450">
        <v>0</v>
      </c>
      <c r="HA123" s="450" t="s">
        <v>888</v>
      </c>
      <c r="HB123" s="450" t="s">
        <v>888</v>
      </c>
      <c r="HC123" s="450">
        <v>2</v>
      </c>
      <c r="HD123" s="450">
        <v>0</v>
      </c>
      <c r="HE123" s="450">
        <v>0</v>
      </c>
      <c r="HF123" s="450">
        <v>0</v>
      </c>
      <c r="HG123" s="472">
        <v>0</v>
      </c>
    </row>
    <row r="124" spans="2:215" ht="12.75">
      <c r="B124" s="445" t="s">
        <v>803</v>
      </c>
      <c r="C124" s="446">
        <v>1261</v>
      </c>
      <c r="D124" s="447">
        <v>322735</v>
      </c>
      <c r="E124" s="447">
        <v>276906.63</v>
      </c>
      <c r="F124" s="447">
        <v>43050.43536566714</v>
      </c>
      <c r="G124" s="447">
        <v>45828.37</v>
      </c>
      <c r="H124" s="448">
        <v>0.4626883425852498</v>
      </c>
      <c r="I124" s="449">
        <v>491.28</v>
      </c>
      <c r="J124" s="449">
        <v>92.17</v>
      </c>
      <c r="K124" s="447">
        <v>319957.06536566716</v>
      </c>
      <c r="L124" s="447">
        <v>255965.65229253375</v>
      </c>
      <c r="M124" s="447">
        <v>90511.56570756601</v>
      </c>
      <c r="N124" s="447">
        <v>63991.413073133415</v>
      </c>
      <c r="O124" s="450">
        <v>1.4144329896907215</v>
      </c>
      <c r="P124" s="451">
        <v>0.6812053925455988</v>
      </c>
      <c r="Q124" s="452">
        <v>0.31879460745440125</v>
      </c>
      <c r="R124" s="447">
        <v>346477.21800009976</v>
      </c>
      <c r="S124" s="447">
        <v>234218.59936806746</v>
      </c>
      <c r="T124" s="447">
        <v>37889.76826300498</v>
      </c>
      <c r="U124" s="447">
        <v>59229.754480260504</v>
      </c>
      <c r="V124" s="447">
        <v>78996.80570402274</v>
      </c>
      <c r="W124" s="450">
        <v>0.7497740440566238</v>
      </c>
      <c r="X124" s="452">
        <v>13.161909247452115</v>
      </c>
      <c r="Y124" s="447">
        <v>37889.76826300498</v>
      </c>
      <c r="Z124" s="447">
        <v>33261.812928009575</v>
      </c>
      <c r="AA124" s="448">
        <v>1.1391371945062632</v>
      </c>
      <c r="AB124" s="448">
        <v>0.08961141950832673</v>
      </c>
      <c r="AC124" s="449">
        <v>114</v>
      </c>
      <c r="AD124" s="449">
        <v>112</v>
      </c>
      <c r="AE124" s="447">
        <v>331338.12211133295</v>
      </c>
      <c r="AF124" s="447">
        <v>0</v>
      </c>
      <c r="AG124" s="451">
        <v>0</v>
      </c>
      <c r="AH124" s="450">
        <v>0</v>
      </c>
      <c r="AI124" s="452">
        <v>0</v>
      </c>
      <c r="AJ124" s="447">
        <v>331338.12211133295</v>
      </c>
      <c r="AK124" s="453">
        <v>1</v>
      </c>
      <c r="AL124" s="447">
        <v>331338.12211133295</v>
      </c>
      <c r="AM124" s="447">
        <v>779460.3202284094</v>
      </c>
      <c r="AN124" s="447">
        <v>771766.8926023549</v>
      </c>
      <c r="AO124" s="447">
        <v>744463.2766729016</v>
      </c>
      <c r="AP124" s="447">
        <v>771766.8926023549</v>
      </c>
      <c r="AQ124" s="447">
        <v>5044</v>
      </c>
      <c r="AR124" s="447">
        <v>776810.8926023549</v>
      </c>
      <c r="AS124" s="454">
        <v>616.0276705807731</v>
      </c>
      <c r="AT124" s="450">
        <v>1261</v>
      </c>
      <c r="AU124" s="450">
        <v>19</v>
      </c>
      <c r="AV124" s="450">
        <v>49</v>
      </c>
      <c r="AW124" s="450">
        <v>99</v>
      </c>
      <c r="AX124" s="450">
        <v>95</v>
      </c>
      <c r="AY124" s="450">
        <v>201</v>
      </c>
      <c r="AZ124" s="450">
        <v>29</v>
      </c>
      <c r="BA124" s="450">
        <v>33</v>
      </c>
      <c r="BB124" s="450">
        <v>0</v>
      </c>
      <c r="BC124" s="450">
        <v>0</v>
      </c>
      <c r="BD124" s="450">
        <v>150</v>
      </c>
      <c r="BE124" s="450">
        <v>361</v>
      </c>
      <c r="BF124" s="450">
        <v>41</v>
      </c>
      <c r="BG124" s="450">
        <v>184</v>
      </c>
      <c r="BH124" s="450">
        <v>0</v>
      </c>
      <c r="BI124" s="450">
        <v>0</v>
      </c>
      <c r="BJ124" s="452">
        <v>1.473517396611362</v>
      </c>
      <c r="BK124" s="452">
        <v>9.16580476281683</v>
      </c>
      <c r="BL124" s="452">
        <v>5.414479984677264</v>
      </c>
      <c r="BM124" s="452">
        <v>7.50264955627913</v>
      </c>
      <c r="BN124" s="449">
        <v>859</v>
      </c>
      <c r="BO124" s="449">
        <v>402</v>
      </c>
      <c r="BP124" s="447">
        <v>380404.7246265858</v>
      </c>
      <c r="BQ124" s="447">
        <v>1406575</v>
      </c>
      <c r="BR124" s="447">
        <v>1700425</v>
      </c>
      <c r="BS124" s="448">
        <v>0.08961141950832673</v>
      </c>
      <c r="BT124" s="449">
        <v>114</v>
      </c>
      <c r="BU124" s="449">
        <v>112</v>
      </c>
      <c r="BV124" s="447">
        <v>152377.49801744646</v>
      </c>
      <c r="BW124" s="448">
        <v>0.009987623271978016</v>
      </c>
      <c r="BX124" s="447">
        <v>1824.5345240716845</v>
      </c>
      <c r="BY124" s="447">
        <v>1941181.757168104</v>
      </c>
      <c r="BZ124" s="455">
        <v>0.91</v>
      </c>
      <c r="CA124" s="447">
        <v>1766475.3990229745</v>
      </c>
      <c r="CB124" s="447">
        <v>1328437.3820454834</v>
      </c>
      <c r="CC124" s="447">
        <v>1326811.4802650814</v>
      </c>
      <c r="CD124" s="447">
        <v>1308140.74298677</v>
      </c>
      <c r="CE124" s="447">
        <v>1326811.4802650814</v>
      </c>
      <c r="CF124" s="454">
        <v>1052.1899129778599</v>
      </c>
      <c r="CG124" s="450">
        <v>1261</v>
      </c>
      <c r="CH124" s="450">
        <v>19</v>
      </c>
      <c r="CI124" s="450">
        <v>49</v>
      </c>
      <c r="CJ124" s="450">
        <v>99</v>
      </c>
      <c r="CK124" s="450">
        <v>95</v>
      </c>
      <c r="CL124" s="450">
        <v>201</v>
      </c>
      <c r="CM124" s="450">
        <v>29</v>
      </c>
      <c r="CN124" s="450">
        <v>33</v>
      </c>
      <c r="CO124" s="450">
        <v>0</v>
      </c>
      <c r="CP124" s="450">
        <v>0</v>
      </c>
      <c r="CQ124" s="450">
        <v>150</v>
      </c>
      <c r="CR124" s="450">
        <v>361</v>
      </c>
      <c r="CS124" s="450">
        <v>41</v>
      </c>
      <c r="CT124" s="450">
        <v>184</v>
      </c>
      <c r="CU124" s="450">
        <v>0</v>
      </c>
      <c r="CV124" s="450">
        <v>0</v>
      </c>
      <c r="CW124" s="447">
        <v>949195.6375592562</v>
      </c>
      <c r="CX124" s="452">
        <v>0.8883541461566244</v>
      </c>
      <c r="CY124" s="452">
        <v>0.91</v>
      </c>
      <c r="CZ124" s="447">
        <v>843221.8801395458</v>
      </c>
      <c r="DA124" s="454">
        <v>668.6930056618127</v>
      </c>
      <c r="DB124" s="449">
        <v>1261</v>
      </c>
      <c r="DC124" s="452">
        <v>1.0107057890563047</v>
      </c>
      <c r="DD124" s="454">
        <v>303.1</v>
      </c>
      <c r="DE124" s="447">
        <v>36553</v>
      </c>
      <c r="DF124" s="454">
        <v>49.05828346708263</v>
      </c>
      <c r="DG124" s="454">
        <v>51.16778965616718</v>
      </c>
      <c r="DH124" s="454">
        <v>52.29348102860285</v>
      </c>
      <c r="DI124" s="454">
        <v>53.4439376112321</v>
      </c>
      <c r="DJ124" s="454">
        <v>55.20758755240276</v>
      </c>
      <c r="DK124" s="454">
        <v>57.19506070428925</v>
      </c>
      <c r="DL124" s="454">
        <v>59.02530264682649</v>
      </c>
      <c r="DM124" s="454">
        <v>61.44534005534637</v>
      </c>
      <c r="DN124" s="454">
        <v>64.1489350177816</v>
      </c>
      <c r="DO124" s="454">
        <v>67.67712644375958</v>
      </c>
      <c r="DP124" s="454">
        <v>67.06803230576574</v>
      </c>
      <c r="DQ124" s="454">
        <v>70.48850195335979</v>
      </c>
      <c r="DR124" s="454">
        <v>74.78830057251473</v>
      </c>
      <c r="DS124" s="454">
        <v>39.33</v>
      </c>
      <c r="DT124" s="454">
        <v>41.40508210286028</v>
      </c>
      <c r="DU124" s="454">
        <v>43.552432098246406</v>
      </c>
      <c r="DV124" s="454">
        <v>46.266903006852814</v>
      </c>
      <c r="DW124" s="454">
        <v>49.255732827840895</v>
      </c>
      <c r="DX124" s="454">
        <v>52.19748067308091</v>
      </c>
      <c r="DY124" s="454">
        <v>55.759129915611055</v>
      </c>
      <c r="DZ124" s="454">
        <v>58.87213200810723</v>
      </c>
      <c r="EA124" s="454">
        <v>60.65619832131557</v>
      </c>
      <c r="EB124" s="454">
        <v>62.37665728213774</v>
      </c>
      <c r="EC124" s="454">
        <v>66.54399383349337</v>
      </c>
      <c r="ED124" s="454">
        <v>71.64945823613104</v>
      </c>
      <c r="EE124" s="454">
        <v>-2.33</v>
      </c>
      <c r="EF124" s="454">
        <v>69.31945823613104</v>
      </c>
      <c r="EG124" s="454">
        <v>3604.6118282788143</v>
      </c>
      <c r="EH124" s="447">
        <v>4454507.205150393</v>
      </c>
      <c r="EI124" s="454">
        <v>39.33</v>
      </c>
      <c r="EJ124" s="454">
        <v>41.40508210286028</v>
      </c>
      <c r="EK124" s="454">
        <v>43.552432098246406</v>
      </c>
      <c r="EL124" s="454">
        <v>46.266903006852814</v>
      </c>
      <c r="EM124" s="454">
        <v>49.255732827840895</v>
      </c>
      <c r="EN124" s="454">
        <v>52.19748067308091</v>
      </c>
      <c r="EO124" s="454">
        <v>55.759129915611055</v>
      </c>
      <c r="EP124" s="454">
        <v>58.87213200810723</v>
      </c>
      <c r="EQ124" s="454">
        <v>60.65619832131557</v>
      </c>
      <c r="ER124" s="454">
        <v>62.37665728213774</v>
      </c>
      <c r="ES124" s="454">
        <v>66.54399383349337</v>
      </c>
      <c r="ET124" s="454">
        <v>71.64945823613104</v>
      </c>
      <c r="EU124" s="447">
        <v>3654216</v>
      </c>
      <c r="EV124" s="447">
        <v>0</v>
      </c>
      <c r="EW124" s="447">
        <v>0</v>
      </c>
      <c r="EX124" s="447">
        <v>0</v>
      </c>
      <c r="EY124" s="447">
        <v>0</v>
      </c>
      <c r="EZ124" s="447">
        <v>0</v>
      </c>
      <c r="FA124" s="447">
        <v>0</v>
      </c>
      <c r="FB124" s="447">
        <v>0</v>
      </c>
      <c r="FC124" s="447">
        <v>0</v>
      </c>
      <c r="FD124" s="447">
        <v>3654216</v>
      </c>
      <c r="FE124" s="447">
        <v>42308.77024688811</v>
      </c>
      <c r="FF124" s="447">
        <v>0</v>
      </c>
      <c r="FG124" s="447">
        <v>0</v>
      </c>
      <c r="FH124" s="447">
        <v>0</v>
      </c>
      <c r="FI124" s="456">
        <v>0</v>
      </c>
      <c r="FJ124" s="447">
        <v>0</v>
      </c>
      <c r="FK124" s="471">
        <v>0</v>
      </c>
      <c r="FL124" s="446">
        <v>70.49</v>
      </c>
      <c r="FM124" s="450">
        <v>65.96</v>
      </c>
      <c r="FN124" s="450">
        <v>63.63</v>
      </c>
      <c r="FO124" s="450">
        <v>-2.33</v>
      </c>
      <c r="FP124" s="472">
        <v>62.87</v>
      </c>
      <c r="FQ124" s="446">
        <v>0</v>
      </c>
      <c r="FR124" s="450">
        <v>0</v>
      </c>
      <c r="FS124" s="450">
        <v>0</v>
      </c>
      <c r="FT124" s="450">
        <v>0</v>
      </c>
      <c r="FU124" s="450">
        <v>0</v>
      </c>
      <c r="FV124" s="450">
        <v>0</v>
      </c>
      <c r="FW124" s="450">
        <v>0</v>
      </c>
      <c r="FX124" s="450">
        <v>0</v>
      </c>
      <c r="FY124" s="450">
        <v>0</v>
      </c>
      <c r="FZ124" s="450">
        <v>0</v>
      </c>
      <c r="GA124" s="450">
        <v>0</v>
      </c>
      <c r="GB124" s="450">
        <v>0</v>
      </c>
      <c r="GC124" s="450">
        <v>0</v>
      </c>
      <c r="GD124" s="450">
        <v>0</v>
      </c>
      <c r="GE124" s="450">
        <v>0</v>
      </c>
      <c r="GF124" s="450">
        <v>0</v>
      </c>
      <c r="GG124" s="450">
        <v>0</v>
      </c>
      <c r="GH124" s="450">
        <v>0</v>
      </c>
      <c r="GI124" s="450">
        <v>0</v>
      </c>
      <c r="GJ124" s="450">
        <v>0</v>
      </c>
      <c r="GK124" s="450">
        <v>0</v>
      </c>
      <c r="GL124" s="450">
        <v>0</v>
      </c>
      <c r="GM124" s="450">
        <v>0</v>
      </c>
      <c r="GN124" s="450">
        <v>0</v>
      </c>
      <c r="GO124" s="450">
        <v>0</v>
      </c>
      <c r="GP124" s="450">
        <v>0</v>
      </c>
      <c r="GQ124" s="450">
        <v>0</v>
      </c>
      <c r="GR124" s="450">
        <v>0</v>
      </c>
      <c r="GS124" s="450">
        <v>0</v>
      </c>
      <c r="GT124" s="450">
        <v>0</v>
      </c>
      <c r="GU124" s="450">
        <v>0</v>
      </c>
      <c r="GV124" s="450">
        <v>0</v>
      </c>
      <c r="GW124" s="450">
        <v>0</v>
      </c>
      <c r="GX124" s="450">
        <v>-107710</v>
      </c>
      <c r="GY124" s="450">
        <v>-107710</v>
      </c>
      <c r="GZ124" s="450">
        <v>0</v>
      </c>
      <c r="HA124" s="450" t="s">
        <v>888</v>
      </c>
      <c r="HB124" s="450" t="s">
        <v>888</v>
      </c>
      <c r="HC124" s="450">
        <v>0</v>
      </c>
      <c r="HD124" s="450">
        <v>0</v>
      </c>
      <c r="HE124" s="450">
        <v>0</v>
      </c>
      <c r="HF124" s="450">
        <v>0</v>
      </c>
      <c r="HG124" s="472">
        <v>0</v>
      </c>
    </row>
    <row r="125" spans="2:215" ht="12.75">
      <c r="B125" s="445" t="s">
        <v>804</v>
      </c>
      <c r="C125" s="446">
        <v>1765</v>
      </c>
      <c r="D125" s="447">
        <v>442045</v>
      </c>
      <c r="E125" s="447">
        <v>379274.61</v>
      </c>
      <c r="F125" s="447">
        <v>62607.8621466488</v>
      </c>
      <c r="G125" s="447">
        <v>62770.39</v>
      </c>
      <c r="H125" s="448">
        <v>0.4912691218130312</v>
      </c>
      <c r="I125" s="449">
        <v>746.71</v>
      </c>
      <c r="J125" s="449">
        <v>120.38</v>
      </c>
      <c r="K125" s="447">
        <v>441882.4721466488</v>
      </c>
      <c r="L125" s="447">
        <v>353505.97771731904</v>
      </c>
      <c r="M125" s="447">
        <v>125935.25277008906</v>
      </c>
      <c r="N125" s="447">
        <v>88376.49442932974</v>
      </c>
      <c r="O125" s="450">
        <v>1.4249858356940508</v>
      </c>
      <c r="P125" s="451">
        <v>0.6730878186968838</v>
      </c>
      <c r="Q125" s="452">
        <v>0.32691218130311617</v>
      </c>
      <c r="R125" s="447">
        <v>479441.2304874081</v>
      </c>
      <c r="S125" s="447">
        <v>324102.2718094879</v>
      </c>
      <c r="T125" s="447">
        <v>514477.39204195293</v>
      </c>
      <c r="U125" s="447">
        <v>96824.7931199908</v>
      </c>
      <c r="V125" s="447">
        <v>109312.60055112906</v>
      </c>
      <c r="W125" s="450">
        <v>0.8857605859875477</v>
      </c>
      <c r="X125" s="452">
        <v>15.549085141253116</v>
      </c>
      <c r="Y125" s="447">
        <v>514477.39204195293</v>
      </c>
      <c r="Z125" s="447">
        <v>46026.35812679118</v>
      </c>
      <c r="AA125" s="448">
        <v>11.177886171760441</v>
      </c>
      <c r="AB125" s="448">
        <v>0.8793201133144476</v>
      </c>
      <c r="AC125" s="449">
        <v>1502</v>
      </c>
      <c r="AD125" s="449">
        <v>1602</v>
      </c>
      <c r="AE125" s="447">
        <v>935404.4569714316</v>
      </c>
      <c r="AF125" s="447">
        <v>79627.55382138352</v>
      </c>
      <c r="AG125" s="451">
        <v>1</v>
      </c>
      <c r="AH125" s="450">
        <v>0.4786243316586756</v>
      </c>
      <c r="AI125" s="452">
        <v>0.40305429697036743</v>
      </c>
      <c r="AJ125" s="447">
        <v>1015032.0107928151</v>
      </c>
      <c r="AK125" s="453">
        <v>1.0168</v>
      </c>
      <c r="AL125" s="447">
        <v>1032084.5485741344</v>
      </c>
      <c r="AM125" s="447">
        <v>2427939.615303543</v>
      </c>
      <c r="AN125" s="447">
        <v>2403975.370779467</v>
      </c>
      <c r="AO125" s="447">
        <v>1206257.6343405358</v>
      </c>
      <c r="AP125" s="447">
        <v>2403975.370779467</v>
      </c>
      <c r="AQ125" s="447">
        <v>7060</v>
      </c>
      <c r="AR125" s="447">
        <v>2411035.370779467</v>
      </c>
      <c r="AS125" s="454">
        <v>1366.0257058240604</v>
      </c>
      <c r="AT125" s="450">
        <v>1765</v>
      </c>
      <c r="AU125" s="450">
        <v>0</v>
      </c>
      <c r="AV125" s="450">
        <v>9</v>
      </c>
      <c r="AW125" s="450">
        <v>0</v>
      </c>
      <c r="AX125" s="450">
        <v>0</v>
      </c>
      <c r="AY125" s="450">
        <v>0</v>
      </c>
      <c r="AZ125" s="450">
        <v>0</v>
      </c>
      <c r="BA125" s="450">
        <v>2</v>
      </c>
      <c r="BB125" s="450">
        <v>103</v>
      </c>
      <c r="BC125" s="450">
        <v>0</v>
      </c>
      <c r="BD125" s="450">
        <v>242</v>
      </c>
      <c r="BE125" s="450">
        <v>415</v>
      </c>
      <c r="BF125" s="450">
        <v>162</v>
      </c>
      <c r="BG125" s="450">
        <v>812</v>
      </c>
      <c r="BH125" s="450">
        <v>0</v>
      </c>
      <c r="BI125" s="450">
        <v>20</v>
      </c>
      <c r="BJ125" s="452">
        <v>2.19880831316238</v>
      </c>
      <c r="BK125" s="452">
        <v>22.95134117541052</v>
      </c>
      <c r="BL125" s="452">
        <v>13.353996659868605</v>
      </c>
      <c r="BM125" s="452">
        <v>19.194689031083826</v>
      </c>
      <c r="BN125" s="449">
        <v>1188</v>
      </c>
      <c r="BO125" s="449">
        <v>577</v>
      </c>
      <c r="BP125" s="447">
        <v>770009.4784195866</v>
      </c>
      <c r="BQ125" s="447">
        <v>1910780</v>
      </c>
      <c r="BR125" s="447">
        <v>2074458</v>
      </c>
      <c r="BS125" s="448">
        <v>0.8793201133144476</v>
      </c>
      <c r="BT125" s="449">
        <v>1502</v>
      </c>
      <c r="BU125" s="449">
        <v>1602</v>
      </c>
      <c r="BV125" s="447">
        <v>1824112.6436260624</v>
      </c>
      <c r="BW125" s="448">
        <v>0.053561832553600905</v>
      </c>
      <c r="BX125" s="447">
        <v>34293.55042617558</v>
      </c>
      <c r="BY125" s="447">
        <v>4539195.672471825</v>
      </c>
      <c r="BZ125" s="455">
        <v>0.9333333333333332</v>
      </c>
      <c r="CA125" s="447">
        <v>4236582.627640369</v>
      </c>
      <c r="CB125" s="447">
        <v>3186024.972549731</v>
      </c>
      <c r="CC125" s="447">
        <v>3182125.5311870542</v>
      </c>
      <c r="CD125" s="447">
        <v>2031093.2615775773</v>
      </c>
      <c r="CE125" s="447">
        <v>3182125.5311870542</v>
      </c>
      <c r="CF125" s="454">
        <v>1802.9039836753848</v>
      </c>
      <c r="CG125" s="450">
        <v>20</v>
      </c>
      <c r="CH125" s="450">
        <v>0</v>
      </c>
      <c r="CI125" s="450">
        <v>0</v>
      </c>
      <c r="CJ125" s="450">
        <v>0</v>
      </c>
      <c r="CK125" s="450">
        <v>0</v>
      </c>
      <c r="CL125" s="450">
        <v>0</v>
      </c>
      <c r="CM125" s="450">
        <v>0</v>
      </c>
      <c r="CN125" s="450">
        <v>0</v>
      </c>
      <c r="CO125" s="450">
        <v>0</v>
      </c>
      <c r="CP125" s="450">
        <v>0</v>
      </c>
      <c r="CQ125" s="450">
        <v>0</v>
      </c>
      <c r="CR125" s="450">
        <v>0</v>
      </c>
      <c r="CS125" s="450">
        <v>0</v>
      </c>
      <c r="CT125" s="450">
        <v>0</v>
      </c>
      <c r="CU125" s="450">
        <v>0</v>
      </c>
      <c r="CV125" s="450">
        <v>20</v>
      </c>
      <c r="CW125" s="447">
        <v>16805.780282143245</v>
      </c>
      <c r="CX125" s="452">
        <v>0.9111324575965377</v>
      </c>
      <c r="CY125" s="452">
        <v>0.9333333333333332</v>
      </c>
      <c r="CZ125" s="447">
        <v>15312.29189029661</v>
      </c>
      <c r="DA125" s="454">
        <v>765.6145945148305</v>
      </c>
      <c r="DB125" s="449">
        <v>1765</v>
      </c>
      <c r="DC125" s="452">
        <v>0.9306515580736545</v>
      </c>
      <c r="DD125" s="454">
        <v>307.3</v>
      </c>
      <c r="DE125" s="447">
        <v>24904</v>
      </c>
      <c r="DF125" s="454">
        <v>42.76169191195064</v>
      </c>
      <c r="DG125" s="454">
        <v>44.60044466416451</v>
      </c>
      <c r="DH125" s="454">
        <v>45.58165444677612</v>
      </c>
      <c r="DI125" s="454">
        <v>46.584450844605186</v>
      </c>
      <c r="DJ125" s="454">
        <v>48.12173772247716</v>
      </c>
      <c r="DK125" s="454">
        <v>49.85412028048633</v>
      </c>
      <c r="DL125" s="454">
        <v>51.44945212946188</v>
      </c>
      <c r="DM125" s="454">
        <v>53.55887966676981</v>
      </c>
      <c r="DN125" s="454">
        <v>55.91547037210768</v>
      </c>
      <c r="DO125" s="454">
        <v>58.990821242573595</v>
      </c>
      <c r="DP125" s="454">
        <v>58.459903851390436</v>
      </c>
      <c r="DQ125" s="454">
        <v>61.441358947811345</v>
      </c>
      <c r="DR125" s="454">
        <v>65.18928184362784</v>
      </c>
      <c r="DS125" s="454">
        <v>36.63</v>
      </c>
      <c r="DT125" s="454">
        <v>38.25043944467761</v>
      </c>
      <c r="DU125" s="454">
        <v>39.92444930492103</v>
      </c>
      <c r="DV125" s="454">
        <v>42.10192883079514</v>
      </c>
      <c r="DW125" s="454">
        <v>44.5085299846727</v>
      </c>
      <c r="DX125" s="454">
        <v>46.85224447506216</v>
      </c>
      <c r="DY125" s="454">
        <v>49.730325132185726</v>
      </c>
      <c r="DZ125" s="454">
        <v>52.362571764013644</v>
      </c>
      <c r="EA125" s="454">
        <v>53.86916068845259</v>
      </c>
      <c r="EB125" s="454">
        <v>55.03761694230013</v>
      </c>
      <c r="EC125" s="454">
        <v>58.56390011464822</v>
      </c>
      <c r="ED125" s="454">
        <v>62.89954397713828</v>
      </c>
      <c r="EE125" s="454">
        <v>0</v>
      </c>
      <c r="EF125" s="454">
        <v>62.89954397713828</v>
      </c>
      <c r="EG125" s="454">
        <v>3270.7762868111904</v>
      </c>
      <c r="EH125" s="447">
        <v>5657461.743297316</v>
      </c>
      <c r="EI125" s="454">
        <v>38.55</v>
      </c>
      <c r="EJ125" s="454">
        <v>40.016455444677604</v>
      </c>
      <c r="EK125" s="454">
        <v>41.528776728921024</v>
      </c>
      <c r="EL125" s="454">
        <v>43.55204028116313</v>
      </c>
      <c r="EM125" s="454">
        <v>45.79622895259947</v>
      </c>
      <c r="EN125" s="454">
        <v>47.959665587479186</v>
      </c>
      <c r="EO125" s="454">
        <v>50.65258543460663</v>
      </c>
      <c r="EP125" s="454">
        <v>53.21842932466024</v>
      </c>
      <c r="EQ125" s="454">
        <v>54.68536351545589</v>
      </c>
      <c r="ER125" s="454">
        <v>55.58300260784729</v>
      </c>
      <c r="ES125" s="454">
        <v>59.02246038224027</v>
      </c>
      <c r="ET125" s="454">
        <v>63.264443310074654</v>
      </c>
      <c r="EU125" s="447">
        <v>28794738</v>
      </c>
      <c r="EV125" s="447">
        <v>0</v>
      </c>
      <c r="EW125" s="447">
        <v>0</v>
      </c>
      <c r="EX125" s="447">
        <v>0</v>
      </c>
      <c r="EY125" s="447">
        <v>0</v>
      </c>
      <c r="EZ125" s="447">
        <v>0</v>
      </c>
      <c r="FA125" s="447">
        <v>0</v>
      </c>
      <c r="FB125" s="447">
        <v>0</v>
      </c>
      <c r="FC125" s="447">
        <v>0</v>
      </c>
      <c r="FD125" s="447">
        <v>28794738</v>
      </c>
      <c r="FE125" s="447">
        <v>54598.321252809656</v>
      </c>
      <c r="FF125" s="447">
        <v>0</v>
      </c>
      <c r="FG125" s="447">
        <v>0</v>
      </c>
      <c r="FH125" s="447">
        <v>42785</v>
      </c>
      <c r="FI125" s="456">
        <v>0.0525</v>
      </c>
      <c r="FJ125" s="447">
        <v>2246.2125</v>
      </c>
      <c r="FK125" s="471">
        <v>2246.2125</v>
      </c>
      <c r="FL125" s="446">
        <v>61.42</v>
      </c>
      <c r="FM125" s="450">
        <v>58.53</v>
      </c>
      <c r="FN125" s="450">
        <v>58.53</v>
      </c>
      <c r="FO125" s="450">
        <v>0</v>
      </c>
      <c r="FP125" s="472">
        <v>58.53</v>
      </c>
      <c r="FQ125" s="446">
        <v>0</v>
      </c>
      <c r="FR125" s="450">
        <v>0</v>
      </c>
      <c r="FS125" s="450">
        <v>0</v>
      </c>
      <c r="FT125" s="450">
        <v>0</v>
      </c>
      <c r="FU125" s="450">
        <v>0</v>
      </c>
      <c r="FV125" s="450">
        <v>0</v>
      </c>
      <c r="FW125" s="450">
        <v>0</v>
      </c>
      <c r="FX125" s="450">
        <v>0</v>
      </c>
      <c r="FY125" s="450">
        <v>0</v>
      </c>
      <c r="FZ125" s="450">
        <v>0</v>
      </c>
      <c r="GA125" s="450">
        <v>0</v>
      </c>
      <c r="GB125" s="450">
        <v>0</v>
      </c>
      <c r="GC125" s="450">
        <v>0</v>
      </c>
      <c r="GD125" s="450">
        <v>0</v>
      </c>
      <c r="GE125" s="450">
        <v>0</v>
      </c>
      <c r="GF125" s="450">
        <v>0</v>
      </c>
      <c r="GG125" s="450">
        <v>0</v>
      </c>
      <c r="GH125" s="450">
        <v>0</v>
      </c>
      <c r="GI125" s="450">
        <v>0</v>
      </c>
      <c r="GJ125" s="450">
        <v>0</v>
      </c>
      <c r="GK125" s="450">
        <v>0</v>
      </c>
      <c r="GL125" s="450">
        <v>0</v>
      </c>
      <c r="GM125" s="450">
        <v>0</v>
      </c>
      <c r="GN125" s="450">
        <v>0</v>
      </c>
      <c r="GO125" s="450">
        <v>0</v>
      </c>
      <c r="GP125" s="450">
        <v>0</v>
      </c>
      <c r="GQ125" s="450">
        <v>0</v>
      </c>
      <c r="GR125" s="450">
        <v>0</v>
      </c>
      <c r="GS125" s="450">
        <v>0</v>
      </c>
      <c r="GT125" s="450">
        <v>0</v>
      </c>
      <c r="GU125" s="450">
        <v>0</v>
      </c>
      <c r="GV125" s="450">
        <v>0</v>
      </c>
      <c r="GW125" s="450">
        <v>0</v>
      </c>
      <c r="GX125" s="450">
        <v>20940664</v>
      </c>
      <c r="GY125" s="450">
        <v>20940664</v>
      </c>
      <c r="GZ125" s="450">
        <v>0</v>
      </c>
      <c r="HA125" s="450" t="s">
        <v>888</v>
      </c>
      <c r="HB125" s="450" t="s">
        <v>888</v>
      </c>
      <c r="HC125" s="450">
        <v>0</v>
      </c>
      <c r="HD125" s="450">
        <v>0</v>
      </c>
      <c r="HE125" s="450">
        <v>0</v>
      </c>
      <c r="HF125" s="450">
        <v>0</v>
      </c>
      <c r="HG125" s="472">
        <v>0</v>
      </c>
    </row>
    <row r="126" spans="2:215" ht="12.75">
      <c r="B126" s="445" t="s">
        <v>805</v>
      </c>
      <c r="C126" s="446">
        <v>7752</v>
      </c>
      <c r="D126" s="447">
        <v>1837016</v>
      </c>
      <c r="E126" s="447">
        <v>1576159.728</v>
      </c>
      <c r="F126" s="447">
        <v>248916.52001414262</v>
      </c>
      <c r="G126" s="447">
        <v>260856.27200000003</v>
      </c>
      <c r="H126" s="448">
        <v>0.47</v>
      </c>
      <c r="I126" s="449">
        <v>3086.52</v>
      </c>
      <c r="J126" s="449">
        <v>556.92</v>
      </c>
      <c r="K126" s="447">
        <v>1825076.2480141425</v>
      </c>
      <c r="L126" s="447">
        <v>1460060.998411314</v>
      </c>
      <c r="M126" s="447">
        <v>497785.3088527117</v>
      </c>
      <c r="N126" s="447">
        <v>365015.2496028284</v>
      </c>
      <c r="O126" s="450">
        <v>1.3637383900928792</v>
      </c>
      <c r="P126" s="451">
        <v>0.7202012383900929</v>
      </c>
      <c r="Q126" s="452">
        <v>0.27979876160990713</v>
      </c>
      <c r="R126" s="447">
        <v>1957846.3072640258</v>
      </c>
      <c r="S126" s="447">
        <v>1323504.1037104814</v>
      </c>
      <c r="T126" s="447">
        <v>175680.5152448327</v>
      </c>
      <c r="U126" s="447">
        <v>679419.8886657951</v>
      </c>
      <c r="V126" s="447">
        <v>446388.9580561979</v>
      </c>
      <c r="W126" s="450">
        <v>1.522035606849083</v>
      </c>
      <c r="X126" s="452">
        <v>26.718575666278237</v>
      </c>
      <c r="Y126" s="447">
        <v>175680.5152448327</v>
      </c>
      <c r="Z126" s="447">
        <v>187953.24549734648</v>
      </c>
      <c r="AA126" s="448">
        <v>0.9347032810205608</v>
      </c>
      <c r="AB126" s="448">
        <v>0.07352941176470588</v>
      </c>
      <c r="AC126" s="449">
        <v>622</v>
      </c>
      <c r="AD126" s="449">
        <v>518</v>
      </c>
      <c r="AE126" s="447">
        <v>2178604.507621109</v>
      </c>
      <c r="AF126" s="447">
        <v>0</v>
      </c>
      <c r="AG126" s="451">
        <v>0</v>
      </c>
      <c r="AH126" s="450">
        <v>0.12833400043600557</v>
      </c>
      <c r="AI126" s="452">
        <v>0.10807133466005325</v>
      </c>
      <c r="AJ126" s="447">
        <v>2178604.507621109</v>
      </c>
      <c r="AK126" s="453">
        <v>1.0486</v>
      </c>
      <c r="AL126" s="447">
        <v>2284484.6866914947</v>
      </c>
      <c r="AM126" s="447">
        <v>5374163.268925416</v>
      </c>
      <c r="AN126" s="447">
        <v>5321119.213843867</v>
      </c>
      <c r="AO126" s="447">
        <v>5097121.098049753</v>
      </c>
      <c r="AP126" s="447">
        <v>5321119.213843867</v>
      </c>
      <c r="AQ126" s="447">
        <v>31008</v>
      </c>
      <c r="AR126" s="447">
        <v>5352127.213843867</v>
      </c>
      <c r="AS126" s="454">
        <v>690.418887234761</v>
      </c>
      <c r="AT126" s="450">
        <v>7749</v>
      </c>
      <c r="AU126" s="450">
        <v>5</v>
      </c>
      <c r="AV126" s="450">
        <v>72</v>
      </c>
      <c r="AW126" s="450">
        <v>1173</v>
      </c>
      <c r="AX126" s="450">
        <v>0</v>
      </c>
      <c r="AY126" s="450">
        <v>725</v>
      </c>
      <c r="AZ126" s="450">
        <v>482</v>
      </c>
      <c r="BA126" s="450">
        <v>512</v>
      </c>
      <c r="BB126" s="450">
        <v>990</v>
      </c>
      <c r="BC126" s="450">
        <v>83</v>
      </c>
      <c r="BD126" s="450">
        <v>1216</v>
      </c>
      <c r="BE126" s="450">
        <v>1867</v>
      </c>
      <c r="BF126" s="450">
        <v>300</v>
      </c>
      <c r="BG126" s="450">
        <v>321</v>
      </c>
      <c r="BH126" s="450">
        <v>3</v>
      </c>
      <c r="BI126" s="450">
        <v>0</v>
      </c>
      <c r="BJ126" s="452">
        <v>1.8712974762340289</v>
      </c>
      <c r="BK126" s="452">
        <v>17.815653271866548</v>
      </c>
      <c r="BL126" s="452">
        <v>11.021019954408269</v>
      </c>
      <c r="BM126" s="452">
        <v>13.589266634916557</v>
      </c>
      <c r="BN126" s="449">
        <v>5582</v>
      </c>
      <c r="BO126" s="449">
        <v>2167</v>
      </c>
      <c r="BP126" s="447">
        <v>2919239.033304895</v>
      </c>
      <c r="BQ126" s="447">
        <v>8952239</v>
      </c>
      <c r="BR126" s="447">
        <v>10898508</v>
      </c>
      <c r="BS126" s="448">
        <v>0.07355787843592722</v>
      </c>
      <c r="BT126" s="449">
        <v>622</v>
      </c>
      <c r="BU126" s="449">
        <v>518</v>
      </c>
      <c r="BV126" s="447">
        <v>801671.1265969803</v>
      </c>
      <c r="BW126" s="448">
        <v>0.01047225640901109</v>
      </c>
      <c r="BX126" s="447">
        <v>22850.30093567369</v>
      </c>
      <c r="BY126" s="447">
        <v>12695999.460837549</v>
      </c>
      <c r="BZ126" s="455">
        <v>1.0133333333333334</v>
      </c>
      <c r="CA126" s="447">
        <v>12865279.453648716</v>
      </c>
      <c r="CB126" s="447">
        <v>9675038.874666134</v>
      </c>
      <c r="CC126" s="447">
        <v>9663197.39599022</v>
      </c>
      <c r="CD126" s="447">
        <v>9097622.777861757</v>
      </c>
      <c r="CE126" s="447">
        <v>9663197.39599022</v>
      </c>
      <c r="CF126" s="454">
        <v>1247.0250865905564</v>
      </c>
      <c r="CG126" s="450">
        <v>7749</v>
      </c>
      <c r="CH126" s="450">
        <v>5</v>
      </c>
      <c r="CI126" s="450">
        <v>72</v>
      </c>
      <c r="CJ126" s="450">
        <v>1173</v>
      </c>
      <c r="CK126" s="450">
        <v>0</v>
      </c>
      <c r="CL126" s="450">
        <v>725</v>
      </c>
      <c r="CM126" s="450">
        <v>482</v>
      </c>
      <c r="CN126" s="450">
        <v>512</v>
      </c>
      <c r="CO126" s="450">
        <v>990</v>
      </c>
      <c r="CP126" s="450">
        <v>83</v>
      </c>
      <c r="CQ126" s="450">
        <v>1216</v>
      </c>
      <c r="CR126" s="450">
        <v>1867</v>
      </c>
      <c r="CS126" s="450">
        <v>300</v>
      </c>
      <c r="CT126" s="450">
        <v>321</v>
      </c>
      <c r="CU126" s="450">
        <v>3</v>
      </c>
      <c r="CV126" s="450">
        <v>0</v>
      </c>
      <c r="CW126" s="447">
        <v>5723833.463106088</v>
      </c>
      <c r="CX126" s="452">
        <v>0.9892295253905269</v>
      </c>
      <c r="CY126" s="452">
        <v>1.0133333333333334</v>
      </c>
      <c r="CZ126" s="447">
        <v>5662185.060122851</v>
      </c>
      <c r="DA126" s="454">
        <v>730.6988076039297</v>
      </c>
      <c r="DB126" s="449">
        <v>7752</v>
      </c>
      <c r="DC126" s="452">
        <v>1.0216460268317853</v>
      </c>
      <c r="DD126" s="454">
        <v>323.8</v>
      </c>
      <c r="DE126" s="447">
        <v>81202</v>
      </c>
      <c r="DF126" s="454">
        <v>66.72043743409785</v>
      </c>
      <c r="DG126" s="454">
        <v>69.58941624376405</v>
      </c>
      <c r="DH126" s="454">
        <v>71.12038340112684</v>
      </c>
      <c r="DI126" s="454">
        <v>72.68503183595162</v>
      </c>
      <c r="DJ126" s="454">
        <v>75.08363788653801</v>
      </c>
      <c r="DK126" s="454">
        <v>77.78664885045337</v>
      </c>
      <c r="DL126" s="454">
        <v>80.27582161366787</v>
      </c>
      <c r="DM126" s="454">
        <v>83.56713029982825</v>
      </c>
      <c r="DN126" s="454">
        <v>87.24408403302068</v>
      </c>
      <c r="DO126" s="454">
        <v>92.04250865483682</v>
      </c>
      <c r="DP126" s="454">
        <v>91.21412607694329</v>
      </c>
      <c r="DQ126" s="454">
        <v>95.86604650686739</v>
      </c>
      <c r="DR126" s="454">
        <v>101.7138753437863</v>
      </c>
      <c r="DS126" s="454">
        <v>47.2</v>
      </c>
      <c r="DT126" s="454">
        <v>50.52659834011268</v>
      </c>
      <c r="DU126" s="454">
        <v>53.976722207190306</v>
      </c>
      <c r="DV126" s="454">
        <v>58.173664520841385</v>
      </c>
      <c r="DW126" s="454">
        <v>62.770592501714766</v>
      </c>
      <c r="DX126" s="454">
        <v>67.36201315375267</v>
      </c>
      <c r="DY126" s="454">
        <v>72.81251061441087</v>
      </c>
      <c r="DZ126" s="454">
        <v>77.26379696495336</v>
      </c>
      <c r="EA126" s="454">
        <v>79.82007494923297</v>
      </c>
      <c r="EB126" s="454">
        <v>83.04711179985385</v>
      </c>
      <c r="EC126" s="454">
        <v>88.9992209026906</v>
      </c>
      <c r="ED126" s="454">
        <v>96.24959886926261</v>
      </c>
      <c r="EE126" s="454">
        <v>-4.22</v>
      </c>
      <c r="EF126" s="454">
        <v>92.02959886926261</v>
      </c>
      <c r="EG126" s="454">
        <v>4785.539141201656</v>
      </c>
      <c r="EH126" s="447">
        <v>36355549.434143335</v>
      </c>
      <c r="EI126" s="454">
        <v>48.62</v>
      </c>
      <c r="EJ126" s="454">
        <v>51.83271434011267</v>
      </c>
      <c r="EK126" s="454">
        <v>55.16325603119031</v>
      </c>
      <c r="EL126" s="454">
        <v>59.24614278100939</v>
      </c>
      <c r="EM126" s="454">
        <v>63.72295319674395</v>
      </c>
      <c r="EN126" s="454">
        <v>68.18104335147777</v>
      </c>
      <c r="EO126" s="454">
        <v>73.49459896307633</v>
      </c>
      <c r="EP126" s="454">
        <v>77.89677495251489</v>
      </c>
      <c r="EQ126" s="454">
        <v>80.42372495670415</v>
      </c>
      <c r="ER126" s="454">
        <v>83.45046994833143</v>
      </c>
      <c r="ES126" s="454">
        <v>89.33836443393054</v>
      </c>
      <c r="ET126" s="454">
        <v>96.51947233424679</v>
      </c>
      <c r="EU126" s="447">
        <v>34489207</v>
      </c>
      <c r="EV126" s="447">
        <v>0</v>
      </c>
      <c r="EW126" s="447">
        <v>0</v>
      </c>
      <c r="EX126" s="447">
        <v>0</v>
      </c>
      <c r="EY126" s="447">
        <v>0</v>
      </c>
      <c r="EZ126" s="447">
        <v>0</v>
      </c>
      <c r="FA126" s="447">
        <v>0</v>
      </c>
      <c r="FB126" s="447">
        <v>0</v>
      </c>
      <c r="FC126" s="447">
        <v>0</v>
      </c>
      <c r="FD126" s="447">
        <v>34489207</v>
      </c>
      <c r="FE126" s="447">
        <v>57381.97336739737</v>
      </c>
      <c r="FF126" s="447">
        <v>0</v>
      </c>
      <c r="FG126" s="447">
        <v>0</v>
      </c>
      <c r="FH126" s="447">
        <v>57386</v>
      </c>
      <c r="FI126" s="456">
        <v>0.1017</v>
      </c>
      <c r="FJ126" s="447">
        <v>5836.1562</v>
      </c>
      <c r="FK126" s="471">
        <v>5836.1562</v>
      </c>
      <c r="FL126" s="446">
        <v>96.33</v>
      </c>
      <c r="FM126" s="450">
        <v>88.88</v>
      </c>
      <c r="FN126" s="450">
        <v>81.48</v>
      </c>
      <c r="FO126" s="450">
        <v>-7.4</v>
      </c>
      <c r="FP126" s="472">
        <v>84.66</v>
      </c>
      <c r="FQ126" s="446">
        <v>0</v>
      </c>
      <c r="FR126" s="450">
        <v>0</v>
      </c>
      <c r="FS126" s="450">
        <v>0</v>
      </c>
      <c r="FT126" s="450">
        <v>0</v>
      </c>
      <c r="FU126" s="450">
        <v>0</v>
      </c>
      <c r="FV126" s="450">
        <v>0</v>
      </c>
      <c r="FW126" s="450">
        <v>0</v>
      </c>
      <c r="FX126" s="450">
        <v>0</v>
      </c>
      <c r="FY126" s="450">
        <v>0</v>
      </c>
      <c r="FZ126" s="450">
        <v>0</v>
      </c>
      <c r="GA126" s="450">
        <v>0</v>
      </c>
      <c r="GB126" s="450">
        <v>0</v>
      </c>
      <c r="GC126" s="450">
        <v>0</v>
      </c>
      <c r="GD126" s="450">
        <v>0</v>
      </c>
      <c r="GE126" s="450">
        <v>0</v>
      </c>
      <c r="GF126" s="450">
        <v>0</v>
      </c>
      <c r="GG126" s="450">
        <v>0</v>
      </c>
      <c r="GH126" s="450">
        <v>0</v>
      </c>
      <c r="GI126" s="450">
        <v>0</v>
      </c>
      <c r="GJ126" s="450">
        <v>0</v>
      </c>
      <c r="GK126" s="450">
        <v>0</v>
      </c>
      <c r="GL126" s="450">
        <v>0</v>
      </c>
      <c r="GM126" s="450">
        <v>0</v>
      </c>
      <c r="GN126" s="450">
        <v>0</v>
      </c>
      <c r="GO126" s="450">
        <v>0</v>
      </c>
      <c r="GP126" s="450">
        <v>0</v>
      </c>
      <c r="GQ126" s="450">
        <v>0</v>
      </c>
      <c r="GR126" s="450">
        <v>0</v>
      </c>
      <c r="GS126" s="450">
        <v>0</v>
      </c>
      <c r="GT126" s="450">
        <v>0</v>
      </c>
      <c r="GU126" s="450">
        <v>0</v>
      </c>
      <c r="GV126" s="450">
        <v>0</v>
      </c>
      <c r="GW126" s="450">
        <v>8100000</v>
      </c>
      <c r="GX126" s="450">
        <v>17894421</v>
      </c>
      <c r="GY126" s="450">
        <v>17894421</v>
      </c>
      <c r="GZ126" s="450">
        <v>5</v>
      </c>
      <c r="HA126" s="450" t="s">
        <v>888</v>
      </c>
      <c r="HB126" s="450" t="s">
        <v>888</v>
      </c>
      <c r="HC126" s="450">
        <v>0</v>
      </c>
      <c r="HD126" s="450">
        <v>0</v>
      </c>
      <c r="HE126" s="450">
        <v>0</v>
      </c>
      <c r="HF126" s="450">
        <v>0</v>
      </c>
      <c r="HG126" s="472">
        <v>0</v>
      </c>
    </row>
    <row r="127" spans="2:215" ht="12.75">
      <c r="B127" s="445" t="s">
        <v>806</v>
      </c>
      <c r="C127" s="446">
        <v>4613</v>
      </c>
      <c r="D127" s="447">
        <v>1105629</v>
      </c>
      <c r="E127" s="447">
        <v>948629.682</v>
      </c>
      <c r="F127" s="447">
        <v>166160.57562252658</v>
      </c>
      <c r="G127" s="447">
        <v>156999.31800000003</v>
      </c>
      <c r="H127" s="448">
        <v>0.5212854975070453</v>
      </c>
      <c r="I127" s="449">
        <v>2113.75</v>
      </c>
      <c r="J127" s="449">
        <v>290.94</v>
      </c>
      <c r="K127" s="447">
        <v>1114790.2576225265</v>
      </c>
      <c r="L127" s="447">
        <v>891832.2060980212</v>
      </c>
      <c r="M127" s="447">
        <v>285539.03680825327</v>
      </c>
      <c r="N127" s="447">
        <v>222958.05152450525</v>
      </c>
      <c r="O127" s="450">
        <v>1.2806850205939737</v>
      </c>
      <c r="P127" s="451">
        <v>0.7840884456969435</v>
      </c>
      <c r="Q127" s="452">
        <v>0.21591155430305659</v>
      </c>
      <c r="R127" s="447">
        <v>1177371.2429062745</v>
      </c>
      <c r="S127" s="447">
        <v>795902.9602046416</v>
      </c>
      <c r="T127" s="447">
        <v>77399.87709754077</v>
      </c>
      <c r="U127" s="447">
        <v>194777.8623805863</v>
      </c>
      <c r="V127" s="447">
        <v>268440.6433826306</v>
      </c>
      <c r="W127" s="450">
        <v>0.7255900594119548</v>
      </c>
      <c r="X127" s="452">
        <v>12.737371463491604</v>
      </c>
      <c r="Y127" s="447">
        <v>77399.87709754077</v>
      </c>
      <c r="Z127" s="447">
        <v>113027.63931900235</v>
      </c>
      <c r="AA127" s="448">
        <v>0.6847871685534549</v>
      </c>
      <c r="AB127" s="448">
        <v>0.05386949924127466</v>
      </c>
      <c r="AC127" s="449">
        <v>248</v>
      </c>
      <c r="AD127" s="449">
        <v>249</v>
      </c>
      <c r="AE127" s="447">
        <v>1068080.6996827687</v>
      </c>
      <c r="AF127" s="447">
        <v>0</v>
      </c>
      <c r="AG127" s="451">
        <v>0</v>
      </c>
      <c r="AH127" s="450">
        <v>0.05916546871306162</v>
      </c>
      <c r="AI127" s="452">
        <v>0.0498238280415535</v>
      </c>
      <c r="AJ127" s="447">
        <v>1068080.6996827687</v>
      </c>
      <c r="AK127" s="453">
        <v>1</v>
      </c>
      <c r="AL127" s="447">
        <v>1068080.6996827687</v>
      </c>
      <c r="AM127" s="447">
        <v>2512619.190630824</v>
      </c>
      <c r="AN127" s="447">
        <v>2487819.141939071</v>
      </c>
      <c r="AO127" s="447">
        <v>2413558.7953368914</v>
      </c>
      <c r="AP127" s="447">
        <v>2487819.141939071</v>
      </c>
      <c r="AQ127" s="447">
        <v>18452</v>
      </c>
      <c r="AR127" s="447">
        <v>2506271.141939071</v>
      </c>
      <c r="AS127" s="454">
        <v>543.3061222499612</v>
      </c>
      <c r="AT127" s="450">
        <v>4613</v>
      </c>
      <c r="AU127" s="450">
        <v>5</v>
      </c>
      <c r="AV127" s="450">
        <v>254</v>
      </c>
      <c r="AW127" s="450">
        <v>67</v>
      </c>
      <c r="AX127" s="450">
        <v>61</v>
      </c>
      <c r="AY127" s="450">
        <v>1023</v>
      </c>
      <c r="AZ127" s="450">
        <v>190</v>
      </c>
      <c r="BA127" s="450">
        <v>210</v>
      </c>
      <c r="BB127" s="450">
        <v>137</v>
      </c>
      <c r="BC127" s="450">
        <v>28</v>
      </c>
      <c r="BD127" s="450">
        <v>1351</v>
      </c>
      <c r="BE127" s="450">
        <v>682</v>
      </c>
      <c r="BF127" s="450">
        <v>314</v>
      </c>
      <c r="BG127" s="450">
        <v>273</v>
      </c>
      <c r="BH127" s="450">
        <v>0</v>
      </c>
      <c r="BI127" s="450">
        <v>18</v>
      </c>
      <c r="BJ127" s="452">
        <v>1.4120472223700433</v>
      </c>
      <c r="BK127" s="452">
        <v>9.276051706620535</v>
      </c>
      <c r="BL127" s="452">
        <v>6.602387163504225</v>
      </c>
      <c r="BM127" s="452">
        <v>5.34732908623262</v>
      </c>
      <c r="BN127" s="449">
        <v>3617</v>
      </c>
      <c r="BO127" s="449">
        <v>996</v>
      </c>
      <c r="BP127" s="447">
        <v>1249783.227858612</v>
      </c>
      <c r="BQ127" s="447">
        <v>4946434</v>
      </c>
      <c r="BR127" s="447">
        <v>6277560</v>
      </c>
      <c r="BS127" s="448">
        <v>0.05386949924127466</v>
      </c>
      <c r="BT127" s="449">
        <v>248</v>
      </c>
      <c r="BU127" s="449">
        <v>249</v>
      </c>
      <c r="BV127" s="447">
        <v>338169.01365705614</v>
      </c>
      <c r="BW127" s="448">
        <v>0.006615191753309016</v>
      </c>
      <c r="BX127" s="447">
        <v>4473.972363223599</v>
      </c>
      <c r="BY127" s="447">
        <v>6538860.213878892</v>
      </c>
      <c r="BZ127" s="455">
        <v>1.0433333333333332</v>
      </c>
      <c r="CA127" s="447">
        <v>6822210.8231469765</v>
      </c>
      <c r="CB127" s="447">
        <v>5130487.4614593275</v>
      </c>
      <c r="CC127" s="447">
        <v>5124208.152542958</v>
      </c>
      <c r="CD127" s="447">
        <v>4921315.063277452</v>
      </c>
      <c r="CE127" s="447">
        <v>5124208.152542958</v>
      </c>
      <c r="CF127" s="454">
        <v>1110.819022879462</v>
      </c>
      <c r="CG127" s="450">
        <v>4613</v>
      </c>
      <c r="CH127" s="450">
        <v>5</v>
      </c>
      <c r="CI127" s="450">
        <v>254</v>
      </c>
      <c r="CJ127" s="450">
        <v>67</v>
      </c>
      <c r="CK127" s="450">
        <v>61</v>
      </c>
      <c r="CL127" s="450">
        <v>1023</v>
      </c>
      <c r="CM127" s="450">
        <v>190</v>
      </c>
      <c r="CN127" s="450">
        <v>210</v>
      </c>
      <c r="CO127" s="450">
        <v>137</v>
      </c>
      <c r="CP127" s="450">
        <v>28</v>
      </c>
      <c r="CQ127" s="450">
        <v>1351</v>
      </c>
      <c r="CR127" s="450">
        <v>682</v>
      </c>
      <c r="CS127" s="450">
        <v>314</v>
      </c>
      <c r="CT127" s="450">
        <v>273</v>
      </c>
      <c r="CU127" s="450">
        <v>0</v>
      </c>
      <c r="CV127" s="450">
        <v>18</v>
      </c>
      <c r="CW127" s="447">
        <v>3640859.1113191633</v>
      </c>
      <c r="CX127" s="452">
        <v>1.0185159258132725</v>
      </c>
      <c r="CY127" s="452">
        <v>1.0433333333333332</v>
      </c>
      <c r="CZ127" s="447">
        <v>3708272.9885209263</v>
      </c>
      <c r="DA127" s="454">
        <v>803.8744826622428</v>
      </c>
      <c r="DB127" s="449">
        <v>4613</v>
      </c>
      <c r="DC127" s="452">
        <v>0.9983741599826577</v>
      </c>
      <c r="DD127" s="454">
        <v>293.9</v>
      </c>
      <c r="DE127" s="447">
        <v>52560</v>
      </c>
      <c r="DF127" s="454">
        <v>52.76886302991498</v>
      </c>
      <c r="DG127" s="454">
        <v>55.03792414020132</v>
      </c>
      <c r="DH127" s="454">
        <v>56.24875847128574</v>
      </c>
      <c r="DI127" s="454">
        <v>57.48623115765402</v>
      </c>
      <c r="DJ127" s="454">
        <v>59.383276785856594</v>
      </c>
      <c r="DK127" s="454">
        <v>61.52107475014742</v>
      </c>
      <c r="DL127" s="454">
        <v>63.48974914215213</v>
      </c>
      <c r="DM127" s="454">
        <v>66.09282885698036</v>
      </c>
      <c r="DN127" s="454">
        <v>69.00091332668748</v>
      </c>
      <c r="DO127" s="454">
        <v>72.79596355965529</v>
      </c>
      <c r="DP127" s="454">
        <v>72.1407998876184</v>
      </c>
      <c r="DQ127" s="454">
        <v>75.81998068188693</v>
      </c>
      <c r="DR127" s="454">
        <v>80.44499950348204</v>
      </c>
      <c r="DS127" s="454">
        <v>44.77</v>
      </c>
      <c r="DT127" s="454">
        <v>46.80432184712856</v>
      </c>
      <c r="DU127" s="454">
        <v>48.90648517553079</v>
      </c>
      <c r="DV127" s="454">
        <v>51.628258886264966</v>
      </c>
      <c r="DW127" s="454">
        <v>54.63461885531005</v>
      </c>
      <c r="DX127" s="454">
        <v>57.56739707259199</v>
      </c>
      <c r="DY127" s="454">
        <v>61.160694053450676</v>
      </c>
      <c r="DZ127" s="454">
        <v>64.42389222901194</v>
      </c>
      <c r="EA127" s="454">
        <v>66.29198279304474</v>
      </c>
      <c r="EB127" s="454">
        <v>67.79484841361126</v>
      </c>
      <c r="EC127" s="454">
        <v>72.16590468254174</v>
      </c>
      <c r="ED127" s="454">
        <v>77.53726852700309</v>
      </c>
      <c r="EE127" s="454">
        <v>-0.32</v>
      </c>
      <c r="EF127" s="454">
        <v>77.2172685270031</v>
      </c>
      <c r="EG127" s="454">
        <v>4015.2979634041612</v>
      </c>
      <c r="EH127" s="447">
        <v>18152118.115079727</v>
      </c>
      <c r="EI127" s="454">
        <v>48.04</v>
      </c>
      <c r="EJ127" s="454">
        <v>49.81206784712857</v>
      </c>
      <c r="EK127" s="454">
        <v>51.63885531953079</v>
      </c>
      <c r="EL127" s="454">
        <v>54.09797995017296</v>
      </c>
      <c r="EM127" s="454">
        <v>56.82773116006036</v>
      </c>
      <c r="EN127" s="454">
        <v>59.45347365467725</v>
      </c>
      <c r="EO127" s="454">
        <v>62.73141863101129</v>
      </c>
      <c r="EP127" s="454">
        <v>65.88152463698819</v>
      </c>
      <c r="EQ127" s="454">
        <v>67.68207823278476</v>
      </c>
      <c r="ER127" s="454">
        <v>68.72370837524628</v>
      </c>
      <c r="ES127" s="454">
        <v>72.94689013828445</v>
      </c>
      <c r="ET127" s="454">
        <v>78.15873770341035</v>
      </c>
      <c r="EU127" s="447">
        <v>45864478</v>
      </c>
      <c r="EV127" s="447">
        <v>0</v>
      </c>
      <c r="EW127" s="447">
        <v>0</v>
      </c>
      <c r="EX127" s="447">
        <v>0</v>
      </c>
      <c r="EY127" s="447">
        <v>0</v>
      </c>
      <c r="EZ127" s="447">
        <v>0</v>
      </c>
      <c r="FA127" s="447">
        <v>0</v>
      </c>
      <c r="FB127" s="447">
        <v>0</v>
      </c>
      <c r="FC127" s="447">
        <v>0</v>
      </c>
      <c r="FD127" s="447">
        <v>45864478</v>
      </c>
      <c r="FE127" s="447">
        <v>62942.596697361645</v>
      </c>
      <c r="FF127" s="447">
        <v>0</v>
      </c>
      <c r="FG127" s="447">
        <v>0</v>
      </c>
      <c r="FH127" s="447">
        <v>929</v>
      </c>
      <c r="FI127" s="456">
        <v>0.0313</v>
      </c>
      <c r="FJ127" s="447">
        <v>29.0777</v>
      </c>
      <c r="FK127" s="471">
        <v>29.0777</v>
      </c>
      <c r="FL127" s="446">
        <v>75.81</v>
      </c>
      <c r="FM127" s="450">
        <v>72.83</v>
      </c>
      <c r="FN127" s="450">
        <v>72.25</v>
      </c>
      <c r="FO127" s="450">
        <v>-0.58</v>
      </c>
      <c r="FP127" s="472">
        <v>72.51</v>
      </c>
      <c r="FQ127" s="446">
        <v>0</v>
      </c>
      <c r="FR127" s="450">
        <v>1350</v>
      </c>
      <c r="FS127" s="450">
        <v>480</v>
      </c>
      <c r="FT127" s="450">
        <v>479</v>
      </c>
      <c r="FU127" s="450">
        <v>391</v>
      </c>
      <c r="FV127" s="450">
        <v>0</v>
      </c>
      <c r="FW127" s="450">
        <v>0</v>
      </c>
      <c r="FX127" s="450">
        <v>0</v>
      </c>
      <c r="FY127" s="450">
        <v>0</v>
      </c>
      <c r="FZ127" s="450">
        <v>0</v>
      </c>
      <c r="GA127" s="450">
        <v>0</v>
      </c>
      <c r="GB127" s="450">
        <v>0</v>
      </c>
      <c r="GC127" s="450">
        <v>0</v>
      </c>
      <c r="GD127" s="450">
        <v>0</v>
      </c>
      <c r="GE127" s="450">
        <v>0</v>
      </c>
      <c r="GF127" s="450">
        <v>0</v>
      </c>
      <c r="GG127" s="450">
        <v>0</v>
      </c>
      <c r="GH127" s="450">
        <v>0</v>
      </c>
      <c r="GI127" s="450">
        <v>0</v>
      </c>
      <c r="GJ127" s="450">
        <v>0</v>
      </c>
      <c r="GK127" s="450">
        <v>0</v>
      </c>
      <c r="GL127" s="450">
        <v>0</v>
      </c>
      <c r="GM127" s="450">
        <v>0</v>
      </c>
      <c r="GN127" s="450">
        <v>0</v>
      </c>
      <c r="GO127" s="450">
        <v>0</v>
      </c>
      <c r="GP127" s="450">
        <v>0</v>
      </c>
      <c r="GQ127" s="450">
        <v>0</v>
      </c>
      <c r="GR127" s="450">
        <v>0</v>
      </c>
      <c r="GS127" s="450">
        <v>0</v>
      </c>
      <c r="GT127" s="450">
        <v>0</v>
      </c>
      <c r="GU127" s="450">
        <v>0</v>
      </c>
      <c r="GV127" s="450">
        <v>0</v>
      </c>
      <c r="GW127" s="450">
        <v>0</v>
      </c>
      <c r="GX127" s="450">
        <v>45861000</v>
      </c>
      <c r="GY127" s="450">
        <v>55861000</v>
      </c>
      <c r="GZ127" s="450">
        <v>4</v>
      </c>
      <c r="HA127" s="450" t="s">
        <v>888</v>
      </c>
      <c r="HB127" s="450" t="s">
        <v>888</v>
      </c>
      <c r="HC127" s="450">
        <v>0</v>
      </c>
      <c r="HD127" s="450">
        <v>0</v>
      </c>
      <c r="HE127" s="450">
        <v>0</v>
      </c>
      <c r="HF127" s="450">
        <v>0</v>
      </c>
      <c r="HG127" s="472">
        <v>0</v>
      </c>
    </row>
    <row r="128" spans="2:215" ht="12.75">
      <c r="B128" s="445" t="s">
        <v>807</v>
      </c>
      <c r="C128" s="446">
        <v>15159</v>
      </c>
      <c r="D128" s="447">
        <v>3562847</v>
      </c>
      <c r="E128" s="447">
        <v>3056922.726</v>
      </c>
      <c r="F128" s="447">
        <v>678268.1933830015</v>
      </c>
      <c r="G128" s="447">
        <v>505924.27400000003</v>
      </c>
      <c r="H128" s="448">
        <v>0.6603304967346132</v>
      </c>
      <c r="I128" s="449">
        <v>9414.42</v>
      </c>
      <c r="J128" s="449">
        <v>595.53</v>
      </c>
      <c r="K128" s="447">
        <v>3735190.9193830015</v>
      </c>
      <c r="L128" s="447">
        <v>2988152.7355064014</v>
      </c>
      <c r="M128" s="447">
        <v>1281141.6564455677</v>
      </c>
      <c r="N128" s="447">
        <v>747038.1838766001</v>
      </c>
      <c r="O128" s="450">
        <v>1.7149614090639225</v>
      </c>
      <c r="P128" s="451">
        <v>0.4500296853354443</v>
      </c>
      <c r="Q128" s="452">
        <v>0.5499703146645557</v>
      </c>
      <c r="R128" s="447">
        <v>4269294.391951969</v>
      </c>
      <c r="S128" s="447">
        <v>2886043.0089595313</v>
      </c>
      <c r="T128" s="447">
        <v>532378.9511219284</v>
      </c>
      <c r="U128" s="447">
        <v>1425040.6820788838</v>
      </c>
      <c r="V128" s="447">
        <v>973399.1213650489</v>
      </c>
      <c r="W128" s="450">
        <v>1.4639839412228708</v>
      </c>
      <c r="X128" s="452">
        <v>25.699507640794636</v>
      </c>
      <c r="Y128" s="447">
        <v>532378.9511219284</v>
      </c>
      <c r="Z128" s="447">
        <v>409852.261627389</v>
      </c>
      <c r="AA128" s="448">
        <v>1.2989533082189815</v>
      </c>
      <c r="AB128" s="448">
        <v>0.10218352134045781</v>
      </c>
      <c r="AC128" s="449">
        <v>1485</v>
      </c>
      <c r="AD128" s="449">
        <v>1613</v>
      </c>
      <c r="AE128" s="447">
        <v>4843462.642160343</v>
      </c>
      <c r="AF128" s="447">
        <v>199330.03198914358</v>
      </c>
      <c r="AG128" s="451">
        <v>0.5</v>
      </c>
      <c r="AH128" s="450">
        <v>0.23266108140705224</v>
      </c>
      <c r="AI128" s="452">
        <v>0.19592620432376862</v>
      </c>
      <c r="AJ128" s="447">
        <v>5042792.674149486</v>
      </c>
      <c r="AK128" s="453">
        <v>1.0362</v>
      </c>
      <c r="AL128" s="447">
        <v>5225341.768953698</v>
      </c>
      <c r="AM128" s="447">
        <v>12292417.614303317</v>
      </c>
      <c r="AN128" s="447">
        <v>12171089.019619796</v>
      </c>
      <c r="AO128" s="447">
        <v>11620566.2857736</v>
      </c>
      <c r="AP128" s="447">
        <v>12171089.019619796</v>
      </c>
      <c r="AQ128" s="447">
        <v>60636</v>
      </c>
      <c r="AR128" s="447">
        <v>12231725.019619796</v>
      </c>
      <c r="AS128" s="454">
        <v>806.8952450438549</v>
      </c>
      <c r="AT128" s="450">
        <v>15159</v>
      </c>
      <c r="AU128" s="450">
        <v>264</v>
      </c>
      <c r="AV128" s="450">
        <v>178</v>
      </c>
      <c r="AW128" s="450">
        <v>416</v>
      </c>
      <c r="AX128" s="450">
        <v>1000</v>
      </c>
      <c r="AY128" s="450">
        <v>746</v>
      </c>
      <c r="AZ128" s="450">
        <v>314</v>
      </c>
      <c r="BA128" s="450">
        <v>307</v>
      </c>
      <c r="BB128" s="450">
        <v>1136</v>
      </c>
      <c r="BC128" s="450">
        <v>212</v>
      </c>
      <c r="BD128" s="450">
        <v>2029</v>
      </c>
      <c r="BE128" s="450">
        <v>5922</v>
      </c>
      <c r="BF128" s="450">
        <v>2415</v>
      </c>
      <c r="BG128" s="450">
        <v>220</v>
      </c>
      <c r="BH128" s="450">
        <v>0</v>
      </c>
      <c r="BI128" s="450">
        <v>0</v>
      </c>
      <c r="BJ128" s="452">
        <v>2.092568068891733</v>
      </c>
      <c r="BK128" s="452">
        <v>16.083470470098376</v>
      </c>
      <c r="BL128" s="452">
        <v>9.471189663050128</v>
      </c>
      <c r="BM128" s="452">
        <v>13.2245616140965</v>
      </c>
      <c r="BN128" s="449">
        <v>6822</v>
      </c>
      <c r="BO128" s="449">
        <v>8337</v>
      </c>
      <c r="BP128" s="447">
        <v>5792431.393795</v>
      </c>
      <c r="BQ128" s="447">
        <v>18292183</v>
      </c>
      <c r="BR128" s="447">
        <v>20172768</v>
      </c>
      <c r="BS128" s="448">
        <v>0.10218352134045781</v>
      </c>
      <c r="BT128" s="449">
        <v>1485</v>
      </c>
      <c r="BU128" s="449">
        <v>1613</v>
      </c>
      <c r="BV128" s="447">
        <v>2061324.4694241046</v>
      </c>
      <c r="BW128" s="448">
        <v>0.001846989255922744</v>
      </c>
      <c r="BX128" s="447">
        <v>7117.359982709237</v>
      </c>
      <c r="BY128" s="447">
        <v>26153056.22320181</v>
      </c>
      <c r="BZ128" s="455">
        <v>1.0266666666666666</v>
      </c>
      <c r="CA128" s="447">
        <v>26850471.055820525</v>
      </c>
      <c r="CB128" s="447">
        <v>20192282.04129569</v>
      </c>
      <c r="CC128" s="447">
        <v>20167568.292823203</v>
      </c>
      <c r="CD128" s="447">
        <v>19492868.349281337</v>
      </c>
      <c r="CE128" s="447">
        <v>20167568.292823203</v>
      </c>
      <c r="CF128" s="454">
        <v>1330.4022885957652</v>
      </c>
      <c r="CG128" s="450">
        <v>15159</v>
      </c>
      <c r="CH128" s="450">
        <v>264</v>
      </c>
      <c r="CI128" s="450">
        <v>178</v>
      </c>
      <c r="CJ128" s="450">
        <v>416</v>
      </c>
      <c r="CK128" s="450">
        <v>1000</v>
      </c>
      <c r="CL128" s="450">
        <v>746</v>
      </c>
      <c r="CM128" s="450">
        <v>314</v>
      </c>
      <c r="CN128" s="450">
        <v>307</v>
      </c>
      <c r="CO128" s="450">
        <v>1136</v>
      </c>
      <c r="CP128" s="450">
        <v>212</v>
      </c>
      <c r="CQ128" s="450">
        <v>2029</v>
      </c>
      <c r="CR128" s="450">
        <v>5922</v>
      </c>
      <c r="CS128" s="450">
        <v>2415</v>
      </c>
      <c r="CT128" s="450">
        <v>220</v>
      </c>
      <c r="CU128" s="450">
        <v>0</v>
      </c>
      <c r="CV128" s="450">
        <v>0</v>
      </c>
      <c r="CW128" s="447">
        <v>12377037.64843714</v>
      </c>
      <c r="CX128" s="452">
        <v>1.0022457033561916</v>
      </c>
      <c r="CY128" s="452">
        <v>1.0266666666666666</v>
      </c>
      <c r="CZ128" s="447">
        <v>12404832.803423945</v>
      </c>
      <c r="DA128" s="454">
        <v>818.314717555508</v>
      </c>
      <c r="DB128" s="449">
        <v>15159</v>
      </c>
      <c r="DC128" s="452">
        <v>1.0036282076654135</v>
      </c>
      <c r="DD128" s="454">
        <v>328.7</v>
      </c>
      <c r="DE128" s="447">
        <v>38311</v>
      </c>
      <c r="DF128" s="454">
        <v>52.48282713651367</v>
      </c>
      <c r="DG128" s="454">
        <v>54.73958870338375</v>
      </c>
      <c r="DH128" s="454">
        <v>55.94385965485819</v>
      </c>
      <c r="DI128" s="454">
        <v>57.174624567265056</v>
      </c>
      <c r="DJ128" s="454">
        <v>59.0613871779848</v>
      </c>
      <c r="DK128" s="454">
        <v>61.18759711639224</v>
      </c>
      <c r="DL128" s="454">
        <v>63.14560022411678</v>
      </c>
      <c r="DM128" s="454">
        <v>65.73456983330556</v>
      </c>
      <c r="DN128" s="454">
        <v>68.626890905971</v>
      </c>
      <c r="DO128" s="454">
        <v>72.4013699057994</v>
      </c>
      <c r="DP128" s="454">
        <v>71.7497575766472</v>
      </c>
      <c r="DQ128" s="454">
        <v>75.4089952130562</v>
      </c>
      <c r="DR128" s="454">
        <v>80.00894392105262</v>
      </c>
      <c r="DS128" s="454">
        <v>40.44</v>
      </c>
      <c r="DT128" s="454">
        <v>42.79109796548581</v>
      </c>
      <c r="DU128" s="454">
        <v>45.226071281452995</v>
      </c>
      <c r="DV128" s="454">
        <v>48.261388576771424</v>
      </c>
      <c r="DW128" s="454">
        <v>51.59719835851477</v>
      </c>
      <c r="DX128" s="454">
        <v>54.89785729234215</v>
      </c>
      <c r="DY128" s="454">
        <v>58.86584951972365</v>
      </c>
      <c r="DZ128" s="454">
        <v>62.25271845496699</v>
      </c>
      <c r="EA128" s="454">
        <v>64.19510049360682</v>
      </c>
      <c r="EB128" s="454">
        <v>66.26633904762782</v>
      </c>
      <c r="EC128" s="454">
        <v>70.79853691385671</v>
      </c>
      <c r="ED128" s="454">
        <v>76.34017172946463</v>
      </c>
      <c r="EE128" s="454">
        <v>-0.18</v>
      </c>
      <c r="EF128" s="454">
        <v>76.16017172946462</v>
      </c>
      <c r="EG128" s="454">
        <v>3960.3289299321605</v>
      </c>
      <c r="EH128" s="447">
        <v>58833933.72386479</v>
      </c>
      <c r="EI128" s="454">
        <v>45.85</v>
      </c>
      <c r="EJ128" s="454">
        <v>47.76721596548581</v>
      </c>
      <c r="EK128" s="454">
        <v>49.746598033453</v>
      </c>
      <c r="EL128" s="454">
        <v>52.34737969473542</v>
      </c>
      <c r="EM128" s="454">
        <v>55.225558471266794</v>
      </c>
      <c r="EN128" s="454">
        <v>58.01824698930889</v>
      </c>
      <c r="EO128" s="454">
        <v>61.46451005935755</v>
      </c>
      <c r="EP128" s="454">
        <v>64.66427543574724</v>
      </c>
      <c r="EQ128" s="454">
        <v>66.49492200094424</v>
      </c>
      <c r="ER128" s="454">
        <v>67.80307678232057</v>
      </c>
      <c r="ES128" s="454">
        <v>72.09062600118638</v>
      </c>
      <c r="ET128" s="454">
        <v>77.36835162070722</v>
      </c>
      <c r="EU128" s="447">
        <v>91501900</v>
      </c>
      <c r="EV128" s="447">
        <v>0</v>
      </c>
      <c r="EW128" s="447">
        <v>0</v>
      </c>
      <c r="EX128" s="447">
        <v>367085</v>
      </c>
      <c r="EY128" s="447">
        <v>0</v>
      </c>
      <c r="EZ128" s="447">
        <v>0</v>
      </c>
      <c r="FA128" s="447">
        <v>0</v>
      </c>
      <c r="FB128" s="447">
        <v>0</v>
      </c>
      <c r="FC128" s="447">
        <v>0</v>
      </c>
      <c r="FD128" s="447">
        <v>91868985</v>
      </c>
      <c r="FE128" s="447">
        <v>85431.18047771334</v>
      </c>
      <c r="FF128" s="447">
        <v>0</v>
      </c>
      <c r="FG128" s="447">
        <v>0</v>
      </c>
      <c r="FH128" s="447">
        <v>14452</v>
      </c>
      <c r="FI128" s="456">
        <v>0.0479</v>
      </c>
      <c r="FJ128" s="447">
        <v>692.2508</v>
      </c>
      <c r="FK128" s="471">
        <v>692.2508</v>
      </c>
      <c r="FL128" s="446">
        <v>75.31</v>
      </c>
      <c r="FM128" s="450">
        <v>73.49</v>
      </c>
      <c r="FN128" s="450">
        <v>73.31</v>
      </c>
      <c r="FO128" s="450">
        <v>-0.18</v>
      </c>
      <c r="FP128" s="472">
        <v>72.07</v>
      </c>
      <c r="FQ128" s="446">
        <v>805155</v>
      </c>
      <c r="FR128" s="450">
        <v>132300</v>
      </c>
      <c r="FS128" s="450">
        <v>0</v>
      </c>
      <c r="FT128" s="450">
        <v>0</v>
      </c>
      <c r="FU128" s="450">
        <v>0</v>
      </c>
      <c r="FV128" s="450">
        <v>0</v>
      </c>
      <c r="FW128" s="450">
        <v>0</v>
      </c>
      <c r="FX128" s="450">
        <v>0</v>
      </c>
      <c r="FY128" s="450">
        <v>0</v>
      </c>
      <c r="FZ128" s="450">
        <v>0</v>
      </c>
      <c r="GA128" s="450">
        <v>0</v>
      </c>
      <c r="GB128" s="450">
        <v>0</v>
      </c>
      <c r="GC128" s="450">
        <v>0</v>
      </c>
      <c r="GD128" s="450">
        <v>0</v>
      </c>
      <c r="GE128" s="450">
        <v>0</v>
      </c>
      <c r="GF128" s="450">
        <v>0</v>
      </c>
      <c r="GG128" s="450">
        <v>0</v>
      </c>
      <c r="GH128" s="450">
        <v>0</v>
      </c>
      <c r="GI128" s="450">
        <v>0</v>
      </c>
      <c r="GJ128" s="450">
        <v>0</v>
      </c>
      <c r="GK128" s="450">
        <v>0</v>
      </c>
      <c r="GL128" s="450">
        <v>0</v>
      </c>
      <c r="GM128" s="450">
        <v>0</v>
      </c>
      <c r="GN128" s="450">
        <v>0</v>
      </c>
      <c r="GO128" s="450">
        <v>0</v>
      </c>
      <c r="GP128" s="450">
        <v>0</v>
      </c>
      <c r="GQ128" s="450">
        <v>0</v>
      </c>
      <c r="GR128" s="450">
        <v>0</v>
      </c>
      <c r="GS128" s="450">
        <v>0</v>
      </c>
      <c r="GT128" s="450">
        <v>0</v>
      </c>
      <c r="GU128" s="450">
        <v>0</v>
      </c>
      <c r="GV128" s="450">
        <v>0</v>
      </c>
      <c r="GW128" s="450">
        <v>1212278</v>
      </c>
      <c r="GX128" s="450">
        <v>55718674</v>
      </c>
      <c r="GY128" s="450">
        <v>55718674</v>
      </c>
      <c r="GZ128" s="450">
        <v>6</v>
      </c>
      <c r="HA128" s="450" t="s">
        <v>888</v>
      </c>
      <c r="HB128" s="450" t="s">
        <v>888</v>
      </c>
      <c r="HC128" s="450">
        <v>0</v>
      </c>
      <c r="HD128" s="450">
        <v>0</v>
      </c>
      <c r="HE128" s="450">
        <v>0</v>
      </c>
      <c r="HF128" s="450">
        <v>0</v>
      </c>
      <c r="HG128" s="472">
        <v>0</v>
      </c>
    </row>
    <row r="129" spans="2:215" ht="12.75">
      <c r="B129" s="445" t="s">
        <v>808</v>
      </c>
      <c r="C129" s="446">
        <v>7231.63</v>
      </c>
      <c r="D129" s="447">
        <v>1715769.79</v>
      </c>
      <c r="E129" s="447">
        <v>1472130.47982</v>
      </c>
      <c r="F129" s="447">
        <v>229205.28021917253</v>
      </c>
      <c r="G129" s="447">
        <v>243639.31018000003</v>
      </c>
      <c r="H129" s="448">
        <v>0.46336441438513865</v>
      </c>
      <c r="I129" s="449">
        <v>2823.08</v>
      </c>
      <c r="J129" s="449">
        <v>527.8</v>
      </c>
      <c r="K129" s="447">
        <v>1701335.7600391726</v>
      </c>
      <c r="L129" s="447">
        <v>1361068.608031338</v>
      </c>
      <c r="M129" s="447">
        <v>431241.9848453258</v>
      </c>
      <c r="N129" s="447">
        <v>340267.15200783446</v>
      </c>
      <c r="O129" s="450">
        <v>1.2673629596646951</v>
      </c>
      <c r="P129" s="451">
        <v>0.7944267060123374</v>
      </c>
      <c r="Q129" s="452">
        <v>0.20562445810972077</v>
      </c>
      <c r="R129" s="447">
        <v>1792310.592876664</v>
      </c>
      <c r="S129" s="447">
        <v>1211601.9607846248</v>
      </c>
      <c r="T129" s="447">
        <v>125518.88684944321</v>
      </c>
      <c r="U129" s="447">
        <v>687702.3478551001</v>
      </c>
      <c r="V129" s="447">
        <v>408646.8151758794</v>
      </c>
      <c r="W129" s="450">
        <v>1.682877052545036</v>
      </c>
      <c r="X129" s="452">
        <v>29.542066994445975</v>
      </c>
      <c r="Y129" s="447">
        <v>125518.88684944321</v>
      </c>
      <c r="Z129" s="447">
        <v>172061.81691615973</v>
      </c>
      <c r="AA129" s="448">
        <v>0.7294987876979387</v>
      </c>
      <c r="AB129" s="448">
        <v>0.057386785551805056</v>
      </c>
      <c r="AC129" s="449">
        <v>394</v>
      </c>
      <c r="AD129" s="449">
        <v>436</v>
      </c>
      <c r="AE129" s="447">
        <v>2024823.195489168</v>
      </c>
      <c r="AF129" s="447">
        <v>0</v>
      </c>
      <c r="AG129" s="451">
        <v>0</v>
      </c>
      <c r="AH129" s="450">
        <v>0.147783131114518</v>
      </c>
      <c r="AI129" s="452">
        <v>0.12444964051246643</v>
      </c>
      <c r="AJ129" s="447">
        <v>2024823.195489168</v>
      </c>
      <c r="AK129" s="453">
        <v>1.0836</v>
      </c>
      <c r="AL129" s="447">
        <v>2194098.414632062</v>
      </c>
      <c r="AM129" s="447">
        <v>5161533.004364356</v>
      </c>
      <c r="AN129" s="447">
        <v>5110587.6520763375</v>
      </c>
      <c r="AO129" s="447">
        <v>5142164.848610176</v>
      </c>
      <c r="AP129" s="447">
        <v>5142164.848610176</v>
      </c>
      <c r="AQ129" s="447">
        <v>28926.52</v>
      </c>
      <c r="AR129" s="447">
        <v>5171091.368610175</v>
      </c>
      <c r="AS129" s="454">
        <v>715.0658106969211</v>
      </c>
      <c r="AT129" s="450">
        <v>7226</v>
      </c>
      <c r="AU129" s="450">
        <v>485</v>
      </c>
      <c r="AV129" s="450">
        <v>681</v>
      </c>
      <c r="AW129" s="450">
        <v>427</v>
      </c>
      <c r="AX129" s="450">
        <v>61</v>
      </c>
      <c r="AY129" s="450">
        <v>729</v>
      </c>
      <c r="AZ129" s="450">
        <v>358</v>
      </c>
      <c r="BA129" s="450">
        <v>359</v>
      </c>
      <c r="BB129" s="450">
        <v>601</v>
      </c>
      <c r="BC129" s="450">
        <v>55</v>
      </c>
      <c r="BD129" s="450">
        <v>1625</v>
      </c>
      <c r="BE129" s="450">
        <v>1067</v>
      </c>
      <c r="BF129" s="450">
        <v>420</v>
      </c>
      <c r="BG129" s="450">
        <v>356</v>
      </c>
      <c r="BH129" s="450">
        <v>2</v>
      </c>
      <c r="BI129" s="450">
        <v>0</v>
      </c>
      <c r="BJ129" s="452">
        <v>2.085956927024581</v>
      </c>
      <c r="BK129" s="452">
        <v>24.845824652288982</v>
      </c>
      <c r="BL129" s="452">
        <v>10.49636803874092</v>
      </c>
      <c r="BM129" s="452">
        <v>28.698913227096124</v>
      </c>
      <c r="BN129" s="449">
        <v>5739</v>
      </c>
      <c r="BO129" s="449">
        <v>1487</v>
      </c>
      <c r="BP129" s="447">
        <v>3012837.2858494646</v>
      </c>
      <c r="BQ129" s="447">
        <v>7929847</v>
      </c>
      <c r="BR129" s="447">
        <v>10096606</v>
      </c>
      <c r="BS129" s="448">
        <v>0.05743149737060614</v>
      </c>
      <c r="BT129" s="449">
        <v>394</v>
      </c>
      <c r="BU129" s="449">
        <v>436</v>
      </c>
      <c r="BV129" s="447">
        <v>579863.2009410462</v>
      </c>
      <c r="BW129" s="448">
        <v>0.019274597767885742</v>
      </c>
      <c r="BX129" s="447">
        <v>54694.158007667575</v>
      </c>
      <c r="BY129" s="447">
        <v>11577241.644798178</v>
      </c>
      <c r="BZ129" s="455">
        <v>1.0633333333333332</v>
      </c>
      <c r="CA129" s="447">
        <v>12310466.948968729</v>
      </c>
      <c r="CB129" s="447">
        <v>9257804.832431054</v>
      </c>
      <c r="CC129" s="447">
        <v>9246474.015063895</v>
      </c>
      <c r="CD129" s="447">
        <v>8923177.606087504</v>
      </c>
      <c r="CE129" s="447">
        <v>9246474.015063895</v>
      </c>
      <c r="CF129" s="454">
        <v>1279.611682128964</v>
      </c>
      <c r="CG129" s="450">
        <v>5889</v>
      </c>
      <c r="CH129" s="450">
        <v>93</v>
      </c>
      <c r="CI129" s="450">
        <v>117</v>
      </c>
      <c r="CJ129" s="450">
        <v>229</v>
      </c>
      <c r="CK129" s="450">
        <v>61</v>
      </c>
      <c r="CL129" s="450">
        <v>702</v>
      </c>
      <c r="CM129" s="450">
        <v>358</v>
      </c>
      <c r="CN129" s="450">
        <v>359</v>
      </c>
      <c r="CO129" s="450">
        <v>601</v>
      </c>
      <c r="CP129" s="450">
        <v>34</v>
      </c>
      <c r="CQ129" s="450">
        <v>1522</v>
      </c>
      <c r="CR129" s="450">
        <v>1052</v>
      </c>
      <c r="CS129" s="450">
        <v>420</v>
      </c>
      <c r="CT129" s="450">
        <v>339</v>
      </c>
      <c r="CU129" s="450">
        <v>2</v>
      </c>
      <c r="CV129" s="450">
        <v>0</v>
      </c>
      <c r="CW129" s="447">
        <v>4556251.262858495</v>
      </c>
      <c r="CX129" s="452">
        <v>1.0380401927617697</v>
      </c>
      <c r="CY129" s="452">
        <v>1.0633333333333332</v>
      </c>
      <c r="CZ129" s="447">
        <v>4729571.939168689</v>
      </c>
      <c r="DA129" s="454">
        <v>803.1197043927133</v>
      </c>
      <c r="DB129" s="449">
        <v>7231.63</v>
      </c>
      <c r="DC129" s="452">
        <v>0.9983267949272847</v>
      </c>
      <c r="DD129" s="454">
        <v>345.4</v>
      </c>
      <c r="DE129" s="447">
        <v>68998</v>
      </c>
      <c r="DF129" s="454">
        <v>64.39419648506271</v>
      </c>
      <c r="DG129" s="454">
        <v>67.1631469339204</v>
      </c>
      <c r="DH129" s="454">
        <v>68.64073616646664</v>
      </c>
      <c r="DI129" s="454">
        <v>70.1508323621289</v>
      </c>
      <c r="DJ129" s="454">
        <v>72.46580983007914</v>
      </c>
      <c r="DK129" s="454">
        <v>75.07457898396197</v>
      </c>
      <c r="DL129" s="454">
        <v>77.47696551144874</v>
      </c>
      <c r="DM129" s="454">
        <v>80.65352109741814</v>
      </c>
      <c r="DN129" s="454">
        <v>84.20227602570452</v>
      </c>
      <c r="DO129" s="454">
        <v>88.83340120711826</v>
      </c>
      <c r="DP129" s="454">
        <v>88.0339005962542</v>
      </c>
      <c r="DQ129" s="454">
        <v>92.52362952666316</v>
      </c>
      <c r="DR129" s="454">
        <v>98.1675709277896</v>
      </c>
      <c r="DS129" s="454">
        <v>47.91</v>
      </c>
      <c r="DT129" s="454">
        <v>50.931691616646646</v>
      </c>
      <c r="DU129" s="454">
        <v>54.06314922442576</v>
      </c>
      <c r="DV129" s="454">
        <v>57.92455523398772</v>
      </c>
      <c r="DW129" s="454">
        <v>62.1619449026328</v>
      </c>
      <c r="DX129" s="454">
        <v>66.37210020150565</v>
      </c>
      <c r="DY129" s="454">
        <v>71.40538926729752</v>
      </c>
      <c r="DZ129" s="454">
        <v>75.62000968735259</v>
      </c>
      <c r="EA129" s="454">
        <v>78.0385093189798</v>
      </c>
      <c r="EB129" s="454">
        <v>80.82076790160579</v>
      </c>
      <c r="EC129" s="454">
        <v>86.45882755700278</v>
      </c>
      <c r="ED129" s="454">
        <v>93.34150476043236</v>
      </c>
      <c r="EE129" s="454">
        <v>0</v>
      </c>
      <c r="EF129" s="454">
        <v>93.34150476043236</v>
      </c>
      <c r="EG129" s="454">
        <v>4853.758247542482</v>
      </c>
      <c r="EH129" s="447">
        <v>34398572.08056213</v>
      </c>
      <c r="EI129" s="454">
        <v>63.41</v>
      </c>
      <c r="EJ129" s="454">
        <v>65.18859161664665</v>
      </c>
      <c r="EK129" s="454">
        <v>67.01475082442576</v>
      </c>
      <c r="EL129" s="454">
        <v>69.63118413018772</v>
      </c>
      <c r="EM129" s="454">
        <v>72.55743136245839</v>
      </c>
      <c r="EN129" s="454">
        <v>75.31221855695566</v>
      </c>
      <c r="EO129" s="454">
        <v>78.8507198337163</v>
      </c>
      <c r="EP129" s="454">
        <v>82.52927645298921</v>
      </c>
      <c r="EQ129" s="454">
        <v>84.62764672447527</v>
      </c>
      <c r="ER129" s="454">
        <v>85.22362093076255</v>
      </c>
      <c r="ES129" s="454">
        <v>90.16074638391778</v>
      </c>
      <c r="ET129" s="454">
        <v>96.28730666694997</v>
      </c>
      <c r="EU129" s="447">
        <v>54234647</v>
      </c>
      <c r="EV129" s="447">
        <v>0</v>
      </c>
      <c r="EW129" s="447">
        <v>0</v>
      </c>
      <c r="EX129" s="447">
        <v>2000000</v>
      </c>
      <c r="EY129" s="447">
        <v>0</v>
      </c>
      <c r="EZ129" s="447">
        <v>0</v>
      </c>
      <c r="FA129" s="447">
        <v>0</v>
      </c>
      <c r="FB129" s="447">
        <v>0</v>
      </c>
      <c r="FC129" s="447">
        <v>0</v>
      </c>
      <c r="FD129" s="447">
        <v>56234647</v>
      </c>
      <c r="FE129" s="447">
        <v>68011.89163346228</v>
      </c>
      <c r="FF129" s="447">
        <v>0</v>
      </c>
      <c r="FG129" s="447">
        <v>0</v>
      </c>
      <c r="FH129" s="447">
        <v>43249</v>
      </c>
      <c r="FI129" s="456">
        <v>0.0385</v>
      </c>
      <c r="FJ129" s="447">
        <v>1665.0865</v>
      </c>
      <c r="FK129" s="471">
        <v>1665.0865</v>
      </c>
      <c r="FL129" s="446">
        <v>0</v>
      </c>
      <c r="FM129" s="450">
        <v>0</v>
      </c>
      <c r="FN129" s="450">
        <v>0</v>
      </c>
      <c r="FO129" s="450">
        <v>0</v>
      </c>
      <c r="FP129" s="472">
        <v>89.4</v>
      </c>
      <c r="FQ129" s="446">
        <v>1198453</v>
      </c>
      <c r="FR129" s="450">
        <v>1335701</v>
      </c>
      <c r="FS129" s="450">
        <v>0</v>
      </c>
      <c r="FT129" s="450">
        <v>0</v>
      </c>
      <c r="FU129" s="450">
        <v>0</v>
      </c>
      <c r="FV129" s="450">
        <v>0</v>
      </c>
      <c r="FW129" s="450">
        <v>0</v>
      </c>
      <c r="FX129" s="450">
        <v>0</v>
      </c>
      <c r="FY129" s="450">
        <v>0</v>
      </c>
      <c r="FZ129" s="450">
        <v>0</v>
      </c>
      <c r="GA129" s="450">
        <v>0</v>
      </c>
      <c r="GB129" s="450">
        <v>0</v>
      </c>
      <c r="GC129" s="450">
        <v>0</v>
      </c>
      <c r="GD129" s="450">
        <v>0</v>
      </c>
      <c r="GE129" s="450">
        <v>0</v>
      </c>
      <c r="GF129" s="450">
        <v>0</v>
      </c>
      <c r="GG129" s="450">
        <v>0</v>
      </c>
      <c r="GH129" s="450">
        <v>0</v>
      </c>
      <c r="GI129" s="450">
        <v>0</v>
      </c>
      <c r="GJ129" s="450">
        <v>0</v>
      </c>
      <c r="GK129" s="450">
        <v>0</v>
      </c>
      <c r="GL129" s="450">
        <v>0</v>
      </c>
      <c r="GM129" s="450">
        <v>0</v>
      </c>
      <c r="GN129" s="450">
        <v>0</v>
      </c>
      <c r="GO129" s="450">
        <v>0</v>
      </c>
      <c r="GP129" s="450">
        <v>0</v>
      </c>
      <c r="GQ129" s="450">
        <v>0</v>
      </c>
      <c r="GR129" s="450">
        <v>0</v>
      </c>
      <c r="GS129" s="450">
        <v>0</v>
      </c>
      <c r="GT129" s="450">
        <v>0</v>
      </c>
      <c r="GU129" s="450">
        <v>0</v>
      </c>
      <c r="GV129" s="450">
        <v>0</v>
      </c>
      <c r="GW129" s="450">
        <v>4450533</v>
      </c>
      <c r="GX129" s="450">
        <v>54637335</v>
      </c>
      <c r="GY129" s="450">
        <v>56481335</v>
      </c>
      <c r="GZ129" s="450">
        <v>85</v>
      </c>
      <c r="HA129" s="450" t="s">
        <v>888</v>
      </c>
      <c r="HB129" s="450" t="s">
        <v>888</v>
      </c>
      <c r="HC129" s="450">
        <v>18</v>
      </c>
      <c r="HD129" s="450">
        <v>8</v>
      </c>
      <c r="HE129" s="450">
        <v>115</v>
      </c>
      <c r="HF129" s="450">
        <v>57</v>
      </c>
      <c r="HG129" s="472">
        <v>23</v>
      </c>
    </row>
    <row r="130" spans="2:215" ht="12.75">
      <c r="B130" s="445" t="s">
        <v>809</v>
      </c>
      <c r="C130" s="446">
        <v>4649</v>
      </c>
      <c r="D130" s="447">
        <v>1114017</v>
      </c>
      <c r="E130" s="447">
        <v>955826.586</v>
      </c>
      <c r="F130" s="447">
        <v>211286.08739989155</v>
      </c>
      <c r="G130" s="447">
        <v>158190.41400000002</v>
      </c>
      <c r="H130" s="448">
        <v>0.6578640567864057</v>
      </c>
      <c r="I130" s="449">
        <v>2873.81</v>
      </c>
      <c r="J130" s="449">
        <v>184.6</v>
      </c>
      <c r="K130" s="447">
        <v>1167112.6733998915</v>
      </c>
      <c r="L130" s="447">
        <v>933690.1387199132</v>
      </c>
      <c r="M130" s="447">
        <v>382568.9402009237</v>
      </c>
      <c r="N130" s="447">
        <v>233422.53467997824</v>
      </c>
      <c r="O130" s="450">
        <v>1.6389546138954616</v>
      </c>
      <c r="P130" s="451">
        <v>0.5084964508496451</v>
      </c>
      <c r="Q130" s="452">
        <v>0.49150354915035493</v>
      </c>
      <c r="R130" s="447">
        <v>1316259.078920837</v>
      </c>
      <c r="S130" s="447">
        <v>889791.1373504859</v>
      </c>
      <c r="T130" s="447">
        <v>104345.25028583803</v>
      </c>
      <c r="U130" s="447">
        <v>274126.3829714356</v>
      </c>
      <c r="V130" s="447">
        <v>300107.06999395083</v>
      </c>
      <c r="W130" s="450">
        <v>0.913428607253275</v>
      </c>
      <c r="X130" s="452">
        <v>16.034783449753878</v>
      </c>
      <c r="Y130" s="447">
        <v>104345.25028583803</v>
      </c>
      <c r="Z130" s="447">
        <v>126360.87157640036</v>
      </c>
      <c r="AA130" s="448">
        <v>0.8257718468074096</v>
      </c>
      <c r="AB130" s="448">
        <v>0.06496020649602065</v>
      </c>
      <c r="AC130" s="449">
        <v>304</v>
      </c>
      <c r="AD130" s="449">
        <v>300</v>
      </c>
      <c r="AE130" s="447">
        <v>1268262.7706077595</v>
      </c>
      <c r="AF130" s="447">
        <v>56453.169062634704</v>
      </c>
      <c r="AG130" s="451">
        <v>0.75</v>
      </c>
      <c r="AH130" s="450">
        <v>0.10053294779399587</v>
      </c>
      <c r="AI130" s="452">
        <v>0.08465979248285294</v>
      </c>
      <c r="AJ130" s="447">
        <v>1324715.9396703942</v>
      </c>
      <c r="AK130" s="453">
        <v>1.0703</v>
      </c>
      <c r="AL130" s="447">
        <v>1417843.470229223</v>
      </c>
      <c r="AM130" s="447">
        <v>3335422.7949879155</v>
      </c>
      <c r="AN130" s="447">
        <v>3302501.511877555</v>
      </c>
      <c r="AO130" s="447">
        <v>3238912.755681924</v>
      </c>
      <c r="AP130" s="447">
        <v>3302501.511877555</v>
      </c>
      <c r="AQ130" s="447">
        <v>18596</v>
      </c>
      <c r="AR130" s="447">
        <v>3321097.511877555</v>
      </c>
      <c r="AS130" s="454">
        <v>714.3681462416766</v>
      </c>
      <c r="AT130" s="450">
        <v>4649</v>
      </c>
      <c r="AU130" s="450">
        <v>94</v>
      </c>
      <c r="AV130" s="450">
        <v>113</v>
      </c>
      <c r="AW130" s="450">
        <v>98</v>
      </c>
      <c r="AX130" s="450">
        <v>91</v>
      </c>
      <c r="AY130" s="450">
        <v>301</v>
      </c>
      <c r="AZ130" s="450">
        <v>191</v>
      </c>
      <c r="BA130" s="450">
        <v>53</v>
      </c>
      <c r="BB130" s="450">
        <v>413</v>
      </c>
      <c r="BC130" s="450">
        <v>78</v>
      </c>
      <c r="BD130" s="450">
        <v>866</v>
      </c>
      <c r="BE130" s="450">
        <v>1622</v>
      </c>
      <c r="BF130" s="450">
        <v>663</v>
      </c>
      <c r="BG130" s="450">
        <v>66</v>
      </c>
      <c r="BH130" s="450">
        <v>0</v>
      </c>
      <c r="BI130" s="450">
        <v>0</v>
      </c>
      <c r="BJ130" s="452">
        <v>2.2165523589565774</v>
      </c>
      <c r="BK130" s="452">
        <v>19.063346163612792</v>
      </c>
      <c r="BL130" s="452">
        <v>5.615084933777048</v>
      </c>
      <c r="BM130" s="452">
        <v>26.89652245967149</v>
      </c>
      <c r="BN130" s="449">
        <v>2364</v>
      </c>
      <c r="BO130" s="449">
        <v>2285</v>
      </c>
      <c r="BP130" s="447">
        <v>1873215.0482112805</v>
      </c>
      <c r="BQ130" s="447">
        <v>5528878</v>
      </c>
      <c r="BR130" s="447">
        <v>6174005</v>
      </c>
      <c r="BS130" s="448">
        <v>0.06496020649602065</v>
      </c>
      <c r="BT130" s="449">
        <v>304</v>
      </c>
      <c r="BU130" s="449">
        <v>300</v>
      </c>
      <c r="BV130" s="447">
        <v>401064.63970746397</v>
      </c>
      <c r="BW130" s="448">
        <v>0.005669375620985231</v>
      </c>
      <c r="BX130" s="447">
        <v>7941.419834884339</v>
      </c>
      <c r="BY130" s="447">
        <v>7811099.107753629</v>
      </c>
      <c r="BZ130" s="455">
        <v>1.1433333333333333</v>
      </c>
      <c r="CA130" s="447">
        <v>8930689.979864983</v>
      </c>
      <c r="CB130" s="447">
        <v>6716120.93962559</v>
      </c>
      <c r="CC130" s="447">
        <v>6707900.941347374</v>
      </c>
      <c r="CD130" s="447">
        <v>6597055.613816294</v>
      </c>
      <c r="CE130" s="447">
        <v>6707900.941347374</v>
      </c>
      <c r="CF130" s="454">
        <v>1442.8696367707837</v>
      </c>
      <c r="CG130" s="450">
        <v>4649</v>
      </c>
      <c r="CH130" s="450">
        <v>94</v>
      </c>
      <c r="CI130" s="450">
        <v>113</v>
      </c>
      <c r="CJ130" s="450">
        <v>98</v>
      </c>
      <c r="CK130" s="450">
        <v>91</v>
      </c>
      <c r="CL130" s="450">
        <v>301</v>
      </c>
      <c r="CM130" s="450">
        <v>191</v>
      </c>
      <c r="CN130" s="450">
        <v>53</v>
      </c>
      <c r="CO130" s="450">
        <v>413</v>
      </c>
      <c r="CP130" s="450">
        <v>78</v>
      </c>
      <c r="CQ130" s="450">
        <v>866</v>
      </c>
      <c r="CR130" s="450">
        <v>1622</v>
      </c>
      <c r="CS130" s="450">
        <v>663</v>
      </c>
      <c r="CT130" s="450">
        <v>66</v>
      </c>
      <c r="CU130" s="450">
        <v>0</v>
      </c>
      <c r="CV130" s="450">
        <v>0</v>
      </c>
      <c r="CW130" s="447">
        <v>3780900.718782984</v>
      </c>
      <c r="CX130" s="452">
        <v>1.116137260555759</v>
      </c>
      <c r="CY130" s="452">
        <v>1.1433333333333333</v>
      </c>
      <c r="CZ130" s="447">
        <v>4220004.17069574</v>
      </c>
      <c r="DA130" s="454">
        <v>907.7229878889524</v>
      </c>
      <c r="DB130" s="449">
        <v>4649</v>
      </c>
      <c r="DC130" s="452">
        <v>0.9818455581845559</v>
      </c>
      <c r="DD130" s="454">
        <v>354.1</v>
      </c>
      <c r="DE130" s="447">
        <v>65222</v>
      </c>
      <c r="DF130" s="454">
        <v>63.4948353260019</v>
      </c>
      <c r="DG130" s="454">
        <v>66.22511324501997</v>
      </c>
      <c r="DH130" s="454">
        <v>67.6820657364104</v>
      </c>
      <c r="DI130" s="454">
        <v>69.17107118261141</v>
      </c>
      <c r="DJ130" s="454">
        <v>71.45371653163758</v>
      </c>
      <c r="DK130" s="454">
        <v>74.02605032677653</v>
      </c>
      <c r="DL130" s="454">
        <v>76.39488393723336</v>
      </c>
      <c r="DM130" s="454">
        <v>79.52707417865992</v>
      </c>
      <c r="DN130" s="454">
        <v>83.02626544252094</v>
      </c>
      <c r="DO130" s="454">
        <v>87.59271004185959</v>
      </c>
      <c r="DP130" s="454">
        <v>86.80437565148286</v>
      </c>
      <c r="DQ130" s="454">
        <v>91.23139880970848</v>
      </c>
      <c r="DR130" s="454">
        <v>96.79651413710069</v>
      </c>
      <c r="DS130" s="454">
        <v>52.31</v>
      </c>
      <c r="DT130" s="454">
        <v>54.88294457364103</v>
      </c>
      <c r="DU130" s="454">
        <v>57.543780668522274</v>
      </c>
      <c r="DV130" s="454">
        <v>60.944099318215265</v>
      </c>
      <c r="DW130" s="454">
        <v>64.6935102412575</v>
      </c>
      <c r="DX130" s="454">
        <v>68.368899463687</v>
      </c>
      <c r="DY130" s="454">
        <v>72.84303430909051</v>
      </c>
      <c r="DZ130" s="454">
        <v>76.82347644356054</v>
      </c>
      <c r="EA130" s="454">
        <v>79.10350270446621</v>
      </c>
      <c r="EB130" s="454">
        <v>81.13189836949306</v>
      </c>
      <c r="EC130" s="454">
        <v>86.46197991101145</v>
      </c>
      <c r="ED130" s="454">
        <v>93.00124904846253</v>
      </c>
      <c r="EE130" s="454">
        <v>-0.27</v>
      </c>
      <c r="EF130" s="454">
        <v>92.73124904846253</v>
      </c>
      <c r="EG130" s="454">
        <v>4822.024950520052</v>
      </c>
      <c r="EH130" s="447">
        <v>21969242.115068365</v>
      </c>
      <c r="EI130" s="454">
        <v>70.99</v>
      </c>
      <c r="EJ130" s="454">
        <v>72.06480857364102</v>
      </c>
      <c r="EK130" s="454">
        <v>73.15254956452225</v>
      </c>
      <c r="EL130" s="454">
        <v>75.05247530408724</v>
      </c>
      <c r="EM130" s="454">
        <v>77.22174811671181</v>
      </c>
      <c r="EN130" s="454">
        <v>79.14318403657771</v>
      </c>
      <c r="EO130" s="454">
        <v>81.81585850139389</v>
      </c>
      <c r="EP130" s="454">
        <v>85.15025729401806</v>
      </c>
      <c r="EQ130" s="454">
        <v>87.04447604218586</v>
      </c>
      <c r="ER130" s="454">
        <v>86.43804640721227</v>
      </c>
      <c r="ES130" s="454">
        <v>90.92338918112577</v>
      </c>
      <c r="ET130" s="454">
        <v>96.551415475156</v>
      </c>
      <c r="EU130" s="447">
        <v>39935548</v>
      </c>
      <c r="EV130" s="447">
        <v>0</v>
      </c>
      <c r="EW130" s="447">
        <v>0</v>
      </c>
      <c r="EX130" s="447">
        <v>0</v>
      </c>
      <c r="EY130" s="447">
        <v>0</v>
      </c>
      <c r="EZ130" s="447">
        <v>0</v>
      </c>
      <c r="FA130" s="447">
        <v>0</v>
      </c>
      <c r="FB130" s="447">
        <v>0</v>
      </c>
      <c r="FC130" s="447">
        <v>0</v>
      </c>
      <c r="FD130" s="447">
        <v>39935548</v>
      </c>
      <c r="FE130" s="447">
        <v>60044.33198967028</v>
      </c>
      <c r="FF130" s="447">
        <v>0</v>
      </c>
      <c r="FG130" s="447">
        <v>0</v>
      </c>
      <c r="FH130" s="447">
        <v>272769</v>
      </c>
      <c r="FI130" s="456">
        <v>0.0487</v>
      </c>
      <c r="FJ130" s="447">
        <v>13283.8503</v>
      </c>
      <c r="FK130" s="471">
        <v>13283.8503</v>
      </c>
      <c r="FL130" s="446">
        <v>91.04</v>
      </c>
      <c r="FM130" s="450">
        <v>89.56</v>
      </c>
      <c r="FN130" s="450">
        <v>89.27</v>
      </c>
      <c r="FO130" s="450">
        <v>-0.29</v>
      </c>
      <c r="FP130" s="472">
        <v>89.29</v>
      </c>
      <c r="FQ130" s="446">
        <v>0</v>
      </c>
      <c r="FR130" s="450">
        <v>0</v>
      </c>
      <c r="FS130" s="450">
        <v>0</v>
      </c>
      <c r="FT130" s="450">
        <v>0</v>
      </c>
      <c r="FU130" s="450">
        <v>0</v>
      </c>
      <c r="FV130" s="450">
        <v>0</v>
      </c>
      <c r="FW130" s="450">
        <v>0</v>
      </c>
      <c r="FX130" s="450">
        <v>0</v>
      </c>
      <c r="FY130" s="450">
        <v>0</v>
      </c>
      <c r="FZ130" s="450">
        <v>0</v>
      </c>
      <c r="GA130" s="450">
        <v>0</v>
      </c>
      <c r="GB130" s="450">
        <v>0</v>
      </c>
      <c r="GC130" s="450">
        <v>0</v>
      </c>
      <c r="GD130" s="450">
        <v>0</v>
      </c>
      <c r="GE130" s="450">
        <v>0</v>
      </c>
      <c r="GF130" s="450">
        <v>0</v>
      </c>
      <c r="GG130" s="450">
        <v>0</v>
      </c>
      <c r="GH130" s="450">
        <v>0</v>
      </c>
      <c r="GI130" s="450">
        <v>0</v>
      </c>
      <c r="GJ130" s="450">
        <v>0</v>
      </c>
      <c r="GK130" s="450">
        <v>0</v>
      </c>
      <c r="GL130" s="450">
        <v>0</v>
      </c>
      <c r="GM130" s="450">
        <v>0</v>
      </c>
      <c r="GN130" s="450">
        <v>0</v>
      </c>
      <c r="GO130" s="450">
        <v>0</v>
      </c>
      <c r="GP130" s="450">
        <v>0</v>
      </c>
      <c r="GQ130" s="450">
        <v>0</v>
      </c>
      <c r="GR130" s="450">
        <v>0</v>
      </c>
      <c r="GS130" s="450">
        <v>0</v>
      </c>
      <c r="GT130" s="450">
        <v>0</v>
      </c>
      <c r="GU130" s="450">
        <v>0</v>
      </c>
      <c r="GV130" s="450">
        <v>0</v>
      </c>
      <c r="GW130" s="450">
        <v>0</v>
      </c>
      <c r="GX130" s="450">
        <v>9175</v>
      </c>
      <c r="GY130" s="450">
        <v>6005075</v>
      </c>
      <c r="GZ130" s="450">
        <v>0</v>
      </c>
      <c r="HA130" s="450" t="s">
        <v>888</v>
      </c>
      <c r="HB130" s="450" t="s">
        <v>888</v>
      </c>
      <c r="HC130" s="450">
        <v>0</v>
      </c>
      <c r="HD130" s="450">
        <v>0</v>
      </c>
      <c r="HE130" s="450">
        <v>0</v>
      </c>
      <c r="HF130" s="450">
        <v>0</v>
      </c>
      <c r="HG130" s="472">
        <v>0</v>
      </c>
    </row>
    <row r="131" spans="2:215" ht="12.75">
      <c r="B131" s="445" t="s">
        <v>810</v>
      </c>
      <c r="C131" s="446">
        <v>6036</v>
      </c>
      <c r="D131" s="447">
        <v>1437188</v>
      </c>
      <c r="E131" s="447">
        <v>1233107.304</v>
      </c>
      <c r="F131" s="447">
        <v>168116.46395862536</v>
      </c>
      <c r="G131" s="447">
        <v>204080.69600000003</v>
      </c>
      <c r="H131" s="448">
        <v>0.4057455268389662</v>
      </c>
      <c r="I131" s="449">
        <v>1949.1</v>
      </c>
      <c r="J131" s="449">
        <v>499.98</v>
      </c>
      <c r="K131" s="447">
        <v>1401223.7679586255</v>
      </c>
      <c r="L131" s="447">
        <v>1120979.0143669003</v>
      </c>
      <c r="M131" s="447">
        <v>331971.17505901144</v>
      </c>
      <c r="N131" s="447">
        <v>280244.753591725</v>
      </c>
      <c r="O131" s="450">
        <v>1.1845758780649436</v>
      </c>
      <c r="P131" s="451">
        <v>0.8580185553346588</v>
      </c>
      <c r="Q131" s="452">
        <v>0.1419814446653413</v>
      </c>
      <c r="R131" s="447">
        <v>1452950.1894259118</v>
      </c>
      <c r="S131" s="447">
        <v>982194.3280519164</v>
      </c>
      <c r="T131" s="447">
        <v>149668.2193402534</v>
      </c>
      <c r="U131" s="447">
        <v>352183.7877119144</v>
      </c>
      <c r="V131" s="447">
        <v>331272.6431891079</v>
      </c>
      <c r="W131" s="450">
        <v>1.063123668533261</v>
      </c>
      <c r="X131" s="452">
        <v>18.662605560931365</v>
      </c>
      <c r="Y131" s="447">
        <v>149668.2193402534</v>
      </c>
      <c r="Z131" s="447">
        <v>139483.21818488752</v>
      </c>
      <c r="AA131" s="448">
        <v>1.0730195452033913</v>
      </c>
      <c r="AB131" s="448">
        <v>0.08441020543406229</v>
      </c>
      <c r="AC131" s="449">
        <v>489</v>
      </c>
      <c r="AD131" s="449">
        <v>530</v>
      </c>
      <c r="AE131" s="447">
        <v>1484046.3351040843</v>
      </c>
      <c r="AF131" s="447">
        <v>41573.82415024037</v>
      </c>
      <c r="AG131" s="451">
        <v>0.25</v>
      </c>
      <c r="AH131" s="450">
        <v>0.24902718027556117</v>
      </c>
      <c r="AI131" s="452">
        <v>0.20970825850963593</v>
      </c>
      <c r="AJ131" s="447">
        <v>1525620.1592543246</v>
      </c>
      <c r="AK131" s="453">
        <v>1</v>
      </c>
      <c r="AL131" s="447">
        <v>1525620.1592543246</v>
      </c>
      <c r="AM131" s="447">
        <v>3588963.3535127086</v>
      </c>
      <c r="AN131" s="447">
        <v>3553539.574910713</v>
      </c>
      <c r="AO131" s="447">
        <v>3342231.912654645</v>
      </c>
      <c r="AP131" s="447">
        <v>3553539.574910713</v>
      </c>
      <c r="AQ131" s="447">
        <v>24144</v>
      </c>
      <c r="AR131" s="447">
        <v>3577683.574910713</v>
      </c>
      <c r="AS131" s="454">
        <v>592.7242503165528</v>
      </c>
      <c r="AT131" s="450">
        <v>6036</v>
      </c>
      <c r="AU131" s="450">
        <v>19</v>
      </c>
      <c r="AV131" s="450">
        <v>226</v>
      </c>
      <c r="AW131" s="450">
        <v>179</v>
      </c>
      <c r="AX131" s="450">
        <v>2</v>
      </c>
      <c r="AY131" s="450">
        <v>281</v>
      </c>
      <c r="AZ131" s="450">
        <v>497</v>
      </c>
      <c r="BA131" s="450">
        <v>1066</v>
      </c>
      <c r="BB131" s="450">
        <v>848</v>
      </c>
      <c r="BC131" s="450">
        <v>25</v>
      </c>
      <c r="BD131" s="450">
        <v>1308</v>
      </c>
      <c r="BE131" s="450">
        <v>857</v>
      </c>
      <c r="BF131" s="450">
        <v>0</v>
      </c>
      <c r="BG131" s="450">
        <v>728</v>
      </c>
      <c r="BH131" s="450">
        <v>0</v>
      </c>
      <c r="BI131" s="450">
        <v>0</v>
      </c>
      <c r="BJ131" s="452">
        <v>1.5187122984277672</v>
      </c>
      <c r="BK131" s="452">
        <v>13.22657044656195</v>
      </c>
      <c r="BL131" s="452">
        <v>9.319488461789206</v>
      </c>
      <c r="BM131" s="452">
        <v>7.81416396954549</v>
      </c>
      <c r="BN131" s="449">
        <v>5179</v>
      </c>
      <c r="BO131" s="449">
        <v>857</v>
      </c>
      <c r="BP131" s="447">
        <v>1876031.8905772555</v>
      </c>
      <c r="BQ131" s="447">
        <v>6474155</v>
      </c>
      <c r="BR131" s="447">
        <v>8346610</v>
      </c>
      <c r="BS131" s="448">
        <v>0.08441020543406229</v>
      </c>
      <c r="BT131" s="449">
        <v>489</v>
      </c>
      <c r="BU131" s="449">
        <v>530</v>
      </c>
      <c r="BV131" s="447">
        <v>704539.0647779986</v>
      </c>
      <c r="BW131" s="448">
        <v>0.00707291663425992</v>
      </c>
      <c r="BX131" s="447">
        <v>8924.815849076324</v>
      </c>
      <c r="BY131" s="447">
        <v>9063650.77120433</v>
      </c>
      <c r="BZ131" s="455">
        <v>0.95</v>
      </c>
      <c r="CA131" s="447">
        <v>8610468.232644113</v>
      </c>
      <c r="CB131" s="447">
        <v>6475305.505803299</v>
      </c>
      <c r="CC131" s="447">
        <v>6467380.246477699</v>
      </c>
      <c r="CD131" s="447">
        <v>6225079.226208592</v>
      </c>
      <c r="CE131" s="447">
        <v>6467380.246477699</v>
      </c>
      <c r="CF131" s="454">
        <v>1071.467900344218</v>
      </c>
      <c r="CG131" s="450">
        <v>6036</v>
      </c>
      <c r="CH131" s="450">
        <v>19</v>
      </c>
      <c r="CI131" s="450">
        <v>226</v>
      </c>
      <c r="CJ131" s="450">
        <v>179</v>
      </c>
      <c r="CK131" s="450">
        <v>2</v>
      </c>
      <c r="CL131" s="450">
        <v>281</v>
      </c>
      <c r="CM131" s="450">
        <v>497</v>
      </c>
      <c r="CN131" s="450">
        <v>1066</v>
      </c>
      <c r="CO131" s="450">
        <v>848</v>
      </c>
      <c r="CP131" s="450">
        <v>25</v>
      </c>
      <c r="CQ131" s="450">
        <v>1308</v>
      </c>
      <c r="CR131" s="450">
        <v>857</v>
      </c>
      <c r="CS131" s="450">
        <v>0</v>
      </c>
      <c r="CT131" s="450">
        <v>728</v>
      </c>
      <c r="CU131" s="450">
        <v>0</v>
      </c>
      <c r="CV131" s="450">
        <v>0</v>
      </c>
      <c r="CW131" s="447">
        <v>4329303.10244077</v>
      </c>
      <c r="CX131" s="452">
        <v>0.9274026800536187</v>
      </c>
      <c r="CY131" s="452">
        <v>0.95</v>
      </c>
      <c r="CZ131" s="447">
        <v>4015007.299968016</v>
      </c>
      <c r="DA131" s="454">
        <v>665.1768223936408</v>
      </c>
      <c r="DB131" s="449">
        <v>6036</v>
      </c>
      <c r="DC131" s="452">
        <v>0.9987077534791253</v>
      </c>
      <c r="DD131" s="454">
        <v>289.6</v>
      </c>
      <c r="DE131" s="447">
        <v>40544</v>
      </c>
      <c r="DF131" s="454">
        <v>48.304095178075855</v>
      </c>
      <c r="DG131" s="454">
        <v>50.38117127073311</v>
      </c>
      <c r="DH131" s="454">
        <v>51.48955703868923</v>
      </c>
      <c r="DI131" s="454">
        <v>52.62232729354038</v>
      </c>
      <c r="DJ131" s="454">
        <v>54.35886409422721</v>
      </c>
      <c r="DK131" s="454">
        <v>56.315783201619375</v>
      </c>
      <c r="DL131" s="454">
        <v>58.11788826407118</v>
      </c>
      <c r="DM131" s="454">
        <v>60.500721682898096</v>
      </c>
      <c r="DN131" s="454">
        <v>63.1627534369456</v>
      </c>
      <c r="DO131" s="454">
        <v>66.6367048759776</v>
      </c>
      <c r="DP131" s="454">
        <v>66.0369745320938</v>
      </c>
      <c r="DQ131" s="454">
        <v>69.40486023323058</v>
      </c>
      <c r="DR131" s="454">
        <v>73.63855670745764</v>
      </c>
      <c r="DS131" s="454">
        <v>38.41</v>
      </c>
      <c r="DT131" s="454">
        <v>40.478473703868914</v>
      </c>
      <c r="DU131" s="454">
        <v>42.61936981070806</v>
      </c>
      <c r="DV131" s="454">
        <v>45.31744089943214</v>
      </c>
      <c r="DW131" s="454">
        <v>48.28699940464136</v>
      </c>
      <c r="DX131" s="454">
        <v>51.21313419867009</v>
      </c>
      <c r="DY131" s="454">
        <v>54.750442497232065</v>
      </c>
      <c r="DZ131" s="454">
        <v>57.82649435264753</v>
      </c>
      <c r="EA131" s="454">
        <v>59.58964710604003</v>
      </c>
      <c r="EB131" s="454">
        <v>61.328139712055744</v>
      </c>
      <c r="EC131" s="454">
        <v>65.44567191654258</v>
      </c>
      <c r="ED131" s="454">
        <v>70.48803260445317</v>
      </c>
      <c r="EE131" s="454">
        <v>0</v>
      </c>
      <c r="EF131" s="454">
        <v>70.48803260445317</v>
      </c>
      <c r="EG131" s="454">
        <v>3665.3776954315645</v>
      </c>
      <c r="EH131" s="447">
        <v>21681735.374232423</v>
      </c>
      <c r="EI131" s="454">
        <v>42.8</v>
      </c>
      <c r="EJ131" s="454">
        <v>44.516395703868916</v>
      </c>
      <c r="EK131" s="454">
        <v>46.28759761870806</v>
      </c>
      <c r="EL131" s="454">
        <v>48.63306030938815</v>
      </c>
      <c r="EM131" s="454">
        <v>51.2312694406823</v>
      </c>
      <c r="EN131" s="454">
        <v>53.7452064296653</v>
      </c>
      <c r="EO131" s="454">
        <v>56.85915225120488</v>
      </c>
      <c r="EP131" s="454">
        <v>59.7833770043343</v>
      </c>
      <c r="EQ131" s="454">
        <v>61.45586086153199</v>
      </c>
      <c r="ER131" s="454">
        <v>62.5751413119266</v>
      </c>
      <c r="ES131" s="454">
        <v>66.494150861714</v>
      </c>
      <c r="ET131" s="454">
        <v>71.32235972507333</v>
      </c>
      <c r="EU131" s="447">
        <v>-7449163</v>
      </c>
      <c r="EV131" s="447">
        <v>0</v>
      </c>
      <c r="EW131" s="447">
        <v>0</v>
      </c>
      <c r="EX131" s="447">
        <v>0</v>
      </c>
      <c r="EY131" s="447">
        <v>0</v>
      </c>
      <c r="EZ131" s="447">
        <v>0</v>
      </c>
      <c r="FA131" s="447">
        <v>0</v>
      </c>
      <c r="FB131" s="447">
        <v>0</v>
      </c>
      <c r="FC131" s="447">
        <v>0</v>
      </c>
      <c r="FD131" s="447">
        <v>0</v>
      </c>
      <c r="FE131" s="447">
        <v>0</v>
      </c>
      <c r="FF131" s="447">
        <v>0</v>
      </c>
      <c r="FG131" s="447">
        <v>0</v>
      </c>
      <c r="FH131" s="447">
        <v>35110</v>
      </c>
      <c r="FI131" s="456">
        <v>0.0313</v>
      </c>
      <c r="FJ131" s="447">
        <v>1098.943</v>
      </c>
      <c r="FK131" s="471">
        <v>1098.943</v>
      </c>
      <c r="FL131" s="446">
        <v>69.38</v>
      </c>
      <c r="FM131" s="450">
        <v>66.8</v>
      </c>
      <c r="FN131" s="450">
        <v>66.65</v>
      </c>
      <c r="FO131" s="450">
        <v>-0.15</v>
      </c>
      <c r="FP131" s="472">
        <v>67.15</v>
      </c>
      <c r="FQ131" s="446">
        <v>0</v>
      </c>
      <c r="FR131" s="450">
        <v>0</v>
      </c>
      <c r="FS131" s="450">
        <v>84</v>
      </c>
      <c r="FT131" s="450">
        <v>84</v>
      </c>
      <c r="FU131" s="450">
        <v>84</v>
      </c>
      <c r="FV131" s="450">
        <v>84</v>
      </c>
      <c r="FW131" s="450">
        <v>84</v>
      </c>
      <c r="FX131" s="450">
        <v>84</v>
      </c>
      <c r="FY131" s="450">
        <v>84</v>
      </c>
      <c r="FZ131" s="450">
        <v>84</v>
      </c>
      <c r="GA131" s="450">
        <v>84</v>
      </c>
      <c r="GB131" s="450">
        <v>84</v>
      </c>
      <c r="GC131" s="450">
        <v>84</v>
      </c>
      <c r="GD131" s="450">
        <v>84</v>
      </c>
      <c r="GE131" s="450">
        <v>84</v>
      </c>
      <c r="GF131" s="450">
        <v>84</v>
      </c>
      <c r="GG131" s="450">
        <v>84</v>
      </c>
      <c r="GH131" s="450">
        <v>84</v>
      </c>
      <c r="GI131" s="450">
        <v>84</v>
      </c>
      <c r="GJ131" s="450">
        <v>84</v>
      </c>
      <c r="GK131" s="450">
        <v>84</v>
      </c>
      <c r="GL131" s="450">
        <v>84</v>
      </c>
      <c r="GM131" s="450">
        <v>84</v>
      </c>
      <c r="GN131" s="450">
        <v>84</v>
      </c>
      <c r="GO131" s="450">
        <v>84</v>
      </c>
      <c r="GP131" s="450">
        <v>84</v>
      </c>
      <c r="GQ131" s="450">
        <v>84</v>
      </c>
      <c r="GR131" s="450">
        <v>84</v>
      </c>
      <c r="GS131" s="450">
        <v>84</v>
      </c>
      <c r="GT131" s="450">
        <v>84</v>
      </c>
      <c r="GU131" s="450">
        <v>84</v>
      </c>
      <c r="GV131" s="450">
        <v>84</v>
      </c>
      <c r="GW131" s="450">
        <v>0</v>
      </c>
      <c r="GX131" s="450">
        <v>15393025</v>
      </c>
      <c r="GY131" s="450">
        <v>18528425</v>
      </c>
      <c r="GZ131" s="450">
        <v>31</v>
      </c>
      <c r="HA131" s="450" t="s">
        <v>888</v>
      </c>
      <c r="HB131" s="450" t="s">
        <v>888</v>
      </c>
      <c r="HC131" s="450">
        <v>0</v>
      </c>
      <c r="HD131" s="450">
        <v>0</v>
      </c>
      <c r="HE131" s="450">
        <v>0</v>
      </c>
      <c r="HF131" s="450">
        <v>0</v>
      </c>
      <c r="HG131" s="472">
        <v>0</v>
      </c>
    </row>
    <row r="132" spans="2:215" ht="12.75">
      <c r="B132" s="445" t="s">
        <v>813</v>
      </c>
      <c r="C132" s="446">
        <v>1589</v>
      </c>
      <c r="D132" s="447">
        <v>401037</v>
      </c>
      <c r="E132" s="447">
        <v>344089.746</v>
      </c>
      <c r="F132" s="447">
        <v>41352.717148669006</v>
      </c>
      <c r="G132" s="447">
        <v>56947.25400000001</v>
      </c>
      <c r="H132" s="448">
        <v>0.3576651982378854</v>
      </c>
      <c r="I132" s="449">
        <v>423.64</v>
      </c>
      <c r="J132" s="449">
        <v>144.69</v>
      </c>
      <c r="K132" s="447">
        <v>385442.463148669</v>
      </c>
      <c r="L132" s="447">
        <v>308353.9705189352</v>
      </c>
      <c r="M132" s="447">
        <v>86044.14759477397</v>
      </c>
      <c r="N132" s="447">
        <v>77088.49262973378</v>
      </c>
      <c r="O132" s="450">
        <v>1.1161736941472624</v>
      </c>
      <c r="P132" s="451">
        <v>0.9106356198867213</v>
      </c>
      <c r="Q132" s="452">
        <v>0.0893643801132788</v>
      </c>
      <c r="R132" s="447">
        <v>394398.11811370915</v>
      </c>
      <c r="S132" s="447">
        <v>266613.1278448674</v>
      </c>
      <c r="T132" s="447">
        <v>49523.645068181984</v>
      </c>
      <c r="U132" s="447">
        <v>38957.68079435852</v>
      </c>
      <c r="V132" s="447">
        <v>89922.77092992568</v>
      </c>
      <c r="W132" s="450">
        <v>0.4332348791244118</v>
      </c>
      <c r="X132" s="452">
        <v>7.605222142680305</v>
      </c>
      <c r="Y132" s="447">
        <v>49523.645068181984</v>
      </c>
      <c r="Z132" s="447">
        <v>37862.21933891608</v>
      </c>
      <c r="AA132" s="448">
        <v>1.3079963597717552</v>
      </c>
      <c r="AB132" s="448">
        <v>0.10289490245437383</v>
      </c>
      <c r="AC132" s="449">
        <v>160</v>
      </c>
      <c r="AD132" s="449">
        <v>167</v>
      </c>
      <c r="AE132" s="447">
        <v>355094.4537074079</v>
      </c>
      <c r="AF132" s="447">
        <v>0</v>
      </c>
      <c r="AG132" s="451">
        <v>0</v>
      </c>
      <c r="AH132" s="450">
        <v>0</v>
      </c>
      <c r="AI132" s="452">
        <v>0</v>
      </c>
      <c r="AJ132" s="447">
        <v>355094.4537074079</v>
      </c>
      <c r="AK132" s="453">
        <v>1</v>
      </c>
      <c r="AL132" s="447">
        <v>355094.4537074079</v>
      </c>
      <c r="AM132" s="447">
        <v>835346.1860483012</v>
      </c>
      <c r="AN132" s="447">
        <v>827101.1538660601</v>
      </c>
      <c r="AO132" s="447">
        <v>789814.798963066</v>
      </c>
      <c r="AP132" s="447">
        <v>827101.1538660601</v>
      </c>
      <c r="AQ132" s="447">
        <v>6356</v>
      </c>
      <c r="AR132" s="447">
        <v>833457.1538660601</v>
      </c>
      <c r="AS132" s="454">
        <v>524.5167739874513</v>
      </c>
      <c r="AT132" s="450">
        <v>1589</v>
      </c>
      <c r="AU132" s="450">
        <v>11</v>
      </c>
      <c r="AV132" s="450">
        <v>75</v>
      </c>
      <c r="AW132" s="450">
        <v>19</v>
      </c>
      <c r="AX132" s="450">
        <v>0</v>
      </c>
      <c r="AY132" s="450">
        <v>199</v>
      </c>
      <c r="AZ132" s="450">
        <v>52</v>
      </c>
      <c r="BA132" s="450">
        <v>44</v>
      </c>
      <c r="BB132" s="450">
        <v>310</v>
      </c>
      <c r="BC132" s="450">
        <v>3</v>
      </c>
      <c r="BD132" s="450">
        <v>331</v>
      </c>
      <c r="BE132" s="450">
        <v>142</v>
      </c>
      <c r="BF132" s="450">
        <v>0</v>
      </c>
      <c r="BG132" s="450">
        <v>403</v>
      </c>
      <c r="BH132" s="450">
        <v>0</v>
      </c>
      <c r="BI132" s="450">
        <v>0</v>
      </c>
      <c r="BJ132" s="452">
        <v>1.1606852478584</v>
      </c>
      <c r="BK132" s="452">
        <v>4.524518415780552</v>
      </c>
      <c r="BL132" s="452">
        <v>3.1156264447526585</v>
      </c>
      <c r="BM132" s="452">
        <v>2.8177839420557866</v>
      </c>
      <c r="BN132" s="449">
        <v>1447</v>
      </c>
      <c r="BO132" s="449">
        <v>142</v>
      </c>
      <c r="BP132" s="447">
        <v>383428.88957427884</v>
      </c>
      <c r="BQ132" s="447">
        <v>1661639</v>
      </c>
      <c r="BR132" s="447">
        <v>2125736</v>
      </c>
      <c r="BS132" s="448">
        <v>0.10289490245437383</v>
      </c>
      <c r="BT132" s="449">
        <v>160</v>
      </c>
      <c r="BU132" s="449">
        <v>167</v>
      </c>
      <c r="BV132" s="447">
        <v>218727.3983637508</v>
      </c>
      <c r="BW132" s="448">
        <v>0.014327783838220856</v>
      </c>
      <c r="BX132" s="447">
        <v>1628.0941741427284</v>
      </c>
      <c r="BY132" s="447">
        <v>2265423.3821121724</v>
      </c>
      <c r="BZ132" s="455">
        <v>0.97</v>
      </c>
      <c r="CA132" s="447">
        <v>2197460.6806488074</v>
      </c>
      <c r="CB132" s="447">
        <v>1652549.9960902776</v>
      </c>
      <c r="CC132" s="447">
        <v>1650527.406228564</v>
      </c>
      <c r="CD132" s="447">
        <v>1628618.9998834478</v>
      </c>
      <c r="CE132" s="447">
        <v>1650527.406228564</v>
      </c>
      <c r="CF132" s="454">
        <v>1038.72083463094</v>
      </c>
      <c r="CG132" s="450">
        <v>1589</v>
      </c>
      <c r="CH132" s="450">
        <v>11</v>
      </c>
      <c r="CI132" s="450">
        <v>75</v>
      </c>
      <c r="CJ132" s="450">
        <v>19</v>
      </c>
      <c r="CK132" s="450">
        <v>0</v>
      </c>
      <c r="CL132" s="450">
        <v>199</v>
      </c>
      <c r="CM132" s="450">
        <v>52</v>
      </c>
      <c r="CN132" s="450">
        <v>44</v>
      </c>
      <c r="CO132" s="450">
        <v>310</v>
      </c>
      <c r="CP132" s="450">
        <v>3</v>
      </c>
      <c r="CQ132" s="450">
        <v>331</v>
      </c>
      <c r="CR132" s="450">
        <v>142</v>
      </c>
      <c r="CS132" s="450">
        <v>0</v>
      </c>
      <c r="CT132" s="450">
        <v>403</v>
      </c>
      <c r="CU132" s="450">
        <v>0</v>
      </c>
      <c r="CV132" s="450">
        <v>0</v>
      </c>
      <c r="CW132" s="447">
        <v>1141485.2594463616</v>
      </c>
      <c r="CX132" s="452">
        <v>0.9469269470021162</v>
      </c>
      <c r="CY132" s="452">
        <v>0.97</v>
      </c>
      <c r="CZ132" s="447">
        <v>1080903.1517754616</v>
      </c>
      <c r="DA132" s="454">
        <v>680.241127611996</v>
      </c>
      <c r="DB132" s="449">
        <v>1589</v>
      </c>
      <c r="DC132" s="452">
        <v>0.9982378854625551</v>
      </c>
      <c r="DD132" s="454">
        <v>299.6</v>
      </c>
      <c r="DE132" s="447">
        <v>35793</v>
      </c>
      <c r="DF132" s="454">
        <v>47.9291078252735</v>
      </c>
      <c r="DG132" s="454">
        <v>49.990059461760254</v>
      </c>
      <c r="DH132" s="454">
        <v>51.08984076991897</v>
      </c>
      <c r="DI132" s="454">
        <v>52.21381726685718</v>
      </c>
      <c r="DJ132" s="454">
        <v>53.93687323666346</v>
      </c>
      <c r="DK132" s="454">
        <v>55.878600673183335</v>
      </c>
      <c r="DL132" s="454">
        <v>57.66671589472519</v>
      </c>
      <c r="DM132" s="454">
        <v>60.03105124640892</v>
      </c>
      <c r="DN132" s="454">
        <v>62.672417501250905</v>
      </c>
      <c r="DO132" s="454">
        <v>66.1194004638197</v>
      </c>
      <c r="DP132" s="454">
        <v>65.52432585964533</v>
      </c>
      <c r="DQ132" s="454">
        <v>68.86606647848724</v>
      </c>
      <c r="DR132" s="454">
        <v>73.06689653367496</v>
      </c>
      <c r="DS132" s="454">
        <v>39.05</v>
      </c>
      <c r="DT132" s="454">
        <v>41.027174076991884</v>
      </c>
      <c r="DU132" s="454">
        <v>43.07244361337141</v>
      </c>
      <c r="DV132" s="454">
        <v>45.67421412561902</v>
      </c>
      <c r="DW132" s="454">
        <v>48.54135938257587</v>
      </c>
      <c r="DX132" s="454">
        <v>51.35668838480277</v>
      </c>
      <c r="DY132" s="454">
        <v>54.77606033614553</v>
      </c>
      <c r="DZ132" s="454">
        <v>57.79578593652648</v>
      </c>
      <c r="EA132" s="454">
        <v>59.52587455238873</v>
      </c>
      <c r="EB132" s="454">
        <v>61.118540436540385</v>
      </c>
      <c r="EC132" s="454">
        <v>65.1616820947406</v>
      </c>
      <c r="ED132" s="454">
        <v>70.11913266030857</v>
      </c>
      <c r="EE132" s="454">
        <v>0</v>
      </c>
      <c r="EF132" s="454">
        <v>70.11913266030857</v>
      </c>
      <c r="EG132" s="454">
        <v>3646.1948983360453</v>
      </c>
      <c r="EH132" s="447">
        <v>5677927.619586857</v>
      </c>
      <c r="EI132" s="454">
        <v>44.89</v>
      </c>
      <c r="EJ132" s="454">
        <v>46.39880607699189</v>
      </c>
      <c r="EK132" s="454">
        <v>47.952272861371426</v>
      </c>
      <c r="EL132" s="454">
        <v>50.084969787155025</v>
      </c>
      <c r="EM132" s="454">
        <v>52.45811041001984</v>
      </c>
      <c r="EN132" s="454">
        <v>54.72509426840459</v>
      </c>
      <c r="EO132" s="454">
        <v>57.58126875600912</v>
      </c>
      <c r="EP132" s="454">
        <v>60.39901935015989</v>
      </c>
      <c r="EQ132" s="454">
        <v>62.008491484523795</v>
      </c>
      <c r="ER132" s="454">
        <v>62.777421835912996</v>
      </c>
      <c r="ES132" s="454">
        <v>66.5564695753331</v>
      </c>
      <c r="ET132" s="454">
        <v>71.22903479799004</v>
      </c>
      <c r="EU132" s="447">
        <v>6231615</v>
      </c>
      <c r="EV132" s="447">
        <v>0</v>
      </c>
      <c r="EW132" s="447">
        <v>0</v>
      </c>
      <c r="EX132" s="447">
        <v>0</v>
      </c>
      <c r="EY132" s="447">
        <v>0</v>
      </c>
      <c r="EZ132" s="447">
        <v>0</v>
      </c>
      <c r="FA132" s="447">
        <v>0</v>
      </c>
      <c r="FB132" s="447">
        <v>0</v>
      </c>
      <c r="FC132" s="447">
        <v>0</v>
      </c>
      <c r="FD132" s="447">
        <v>6231615</v>
      </c>
      <c r="FE132" s="447">
        <v>43568.69143997675</v>
      </c>
      <c r="FF132" s="447">
        <v>0</v>
      </c>
      <c r="FG132" s="447">
        <v>0</v>
      </c>
      <c r="FH132" s="447">
        <v>0</v>
      </c>
      <c r="FI132" s="456">
        <v>0</v>
      </c>
      <c r="FJ132" s="447">
        <v>0</v>
      </c>
      <c r="FK132" s="471">
        <v>0</v>
      </c>
      <c r="FL132" s="446">
        <v>68.86</v>
      </c>
      <c r="FM132" s="450">
        <v>66.15</v>
      </c>
      <c r="FN132" s="450">
        <v>65.97</v>
      </c>
      <c r="FO132" s="450">
        <v>-0.18</v>
      </c>
      <c r="FP132" s="472">
        <v>66.34</v>
      </c>
      <c r="FQ132" s="446">
        <v>0</v>
      </c>
      <c r="FR132" s="450">
        <v>1798</v>
      </c>
      <c r="FS132" s="450">
        <v>0</v>
      </c>
      <c r="FT132" s="450">
        <v>0</v>
      </c>
      <c r="FU132" s="450">
        <v>0</v>
      </c>
      <c r="FV132" s="450">
        <v>0</v>
      </c>
      <c r="FW132" s="450">
        <v>0</v>
      </c>
      <c r="FX132" s="450">
        <v>0</v>
      </c>
      <c r="FY132" s="450">
        <v>0</v>
      </c>
      <c r="FZ132" s="450">
        <v>0</v>
      </c>
      <c r="GA132" s="450">
        <v>0</v>
      </c>
      <c r="GB132" s="450">
        <v>0</v>
      </c>
      <c r="GC132" s="450">
        <v>0</v>
      </c>
      <c r="GD132" s="450">
        <v>0</v>
      </c>
      <c r="GE132" s="450">
        <v>0</v>
      </c>
      <c r="GF132" s="450">
        <v>0</v>
      </c>
      <c r="GG132" s="450">
        <v>0</v>
      </c>
      <c r="GH132" s="450">
        <v>0</v>
      </c>
      <c r="GI132" s="450">
        <v>0</v>
      </c>
      <c r="GJ132" s="450">
        <v>0</v>
      </c>
      <c r="GK132" s="450">
        <v>0</v>
      </c>
      <c r="GL132" s="450">
        <v>0</v>
      </c>
      <c r="GM132" s="450">
        <v>0</v>
      </c>
      <c r="GN132" s="450">
        <v>0</v>
      </c>
      <c r="GO132" s="450">
        <v>0</v>
      </c>
      <c r="GP132" s="450">
        <v>0</v>
      </c>
      <c r="GQ132" s="450">
        <v>0</v>
      </c>
      <c r="GR132" s="450">
        <v>0</v>
      </c>
      <c r="GS132" s="450">
        <v>0</v>
      </c>
      <c r="GT132" s="450">
        <v>0</v>
      </c>
      <c r="GU132" s="450">
        <v>0</v>
      </c>
      <c r="GV132" s="450">
        <v>0</v>
      </c>
      <c r="GW132" s="450">
        <v>0</v>
      </c>
      <c r="GX132" s="450">
        <v>2571925</v>
      </c>
      <c r="GY132" s="450">
        <v>2571925</v>
      </c>
      <c r="GZ132" s="450">
        <v>0</v>
      </c>
      <c r="HA132" s="450" t="s">
        <v>888</v>
      </c>
      <c r="HB132" s="450" t="s">
        <v>888</v>
      </c>
      <c r="HC132" s="450">
        <v>0</v>
      </c>
      <c r="HD132" s="450">
        <v>0</v>
      </c>
      <c r="HE132" s="450">
        <v>0</v>
      </c>
      <c r="HF132" s="450">
        <v>0</v>
      </c>
      <c r="HG132" s="472">
        <v>0</v>
      </c>
    </row>
    <row r="133" spans="2:215" ht="12.75">
      <c r="B133" s="445" t="s">
        <v>814</v>
      </c>
      <c r="C133" s="446">
        <v>13714.75</v>
      </c>
      <c r="D133" s="447">
        <v>3226336.75</v>
      </c>
      <c r="E133" s="447">
        <v>2768196.9315</v>
      </c>
      <c r="F133" s="447">
        <v>429464.12495617126</v>
      </c>
      <c r="G133" s="447">
        <v>458139.81850000005</v>
      </c>
      <c r="H133" s="448">
        <v>0.4617153065130607</v>
      </c>
      <c r="I133" s="449">
        <v>5327.54</v>
      </c>
      <c r="J133" s="449">
        <v>1004.77</v>
      </c>
      <c r="K133" s="447">
        <v>3197661.056456171</v>
      </c>
      <c r="L133" s="447">
        <v>2558128.845164937</v>
      </c>
      <c r="M133" s="447">
        <v>796489.7531053924</v>
      </c>
      <c r="N133" s="447">
        <v>639532.211291234</v>
      </c>
      <c r="O133" s="450">
        <v>1.2454255454893455</v>
      </c>
      <c r="P133" s="451">
        <v>0.8112433693650997</v>
      </c>
      <c r="Q133" s="452">
        <v>0.1887748591844547</v>
      </c>
      <c r="R133" s="447">
        <v>3354618.5982703296</v>
      </c>
      <c r="S133" s="447">
        <v>2267722.172430743</v>
      </c>
      <c r="T133" s="447">
        <v>565650.7637286183</v>
      </c>
      <c r="U133" s="447">
        <v>854467.3259596695</v>
      </c>
      <c r="V133" s="447">
        <v>764853.0404056351</v>
      </c>
      <c r="W133" s="450">
        <v>1.1171653648738953</v>
      </c>
      <c r="X133" s="452">
        <v>19.611280576360514</v>
      </c>
      <c r="Y133" s="447">
        <v>565650.7637286183</v>
      </c>
      <c r="Z133" s="447">
        <v>322043.3854339516</v>
      </c>
      <c r="AA133" s="448">
        <v>1.7564427319828573</v>
      </c>
      <c r="AB133" s="448">
        <v>0.13817240562168467</v>
      </c>
      <c r="AC133" s="449">
        <v>1918</v>
      </c>
      <c r="AD133" s="449">
        <v>1872</v>
      </c>
      <c r="AE133" s="447">
        <v>3687840.2621190306</v>
      </c>
      <c r="AF133" s="447">
        <v>652219.3855429782</v>
      </c>
      <c r="AG133" s="451">
        <v>1</v>
      </c>
      <c r="AH133" s="450">
        <v>0.5105366478249975</v>
      </c>
      <c r="AI133" s="452">
        <v>0.4299279749393463</v>
      </c>
      <c r="AJ133" s="447">
        <v>4340059.647662009</v>
      </c>
      <c r="AK133" s="453">
        <v>1.0168</v>
      </c>
      <c r="AL133" s="447">
        <v>4412972.649742731</v>
      </c>
      <c r="AM133" s="447">
        <v>10381350.183338985</v>
      </c>
      <c r="AN133" s="447">
        <v>10278884.202424342</v>
      </c>
      <c r="AO133" s="447">
        <v>9733191.24611607</v>
      </c>
      <c r="AP133" s="447">
        <v>10278884.202424342</v>
      </c>
      <c r="AQ133" s="447">
        <v>54859</v>
      </c>
      <c r="AR133" s="447">
        <v>10333743.202424342</v>
      </c>
      <c r="AS133" s="454">
        <v>753.476600187706</v>
      </c>
      <c r="AT133" s="450">
        <v>13709</v>
      </c>
      <c r="AU133" s="450">
        <v>581</v>
      </c>
      <c r="AV133" s="450">
        <v>1633</v>
      </c>
      <c r="AW133" s="450">
        <v>564</v>
      </c>
      <c r="AX133" s="450">
        <v>567</v>
      </c>
      <c r="AY133" s="450">
        <v>1442</v>
      </c>
      <c r="AZ133" s="450">
        <v>147</v>
      </c>
      <c r="BA133" s="450">
        <v>617</v>
      </c>
      <c r="BB133" s="450">
        <v>561</v>
      </c>
      <c r="BC133" s="450">
        <v>69</v>
      </c>
      <c r="BD133" s="450">
        <v>3328</v>
      </c>
      <c r="BE133" s="450">
        <v>1868</v>
      </c>
      <c r="BF133" s="450">
        <v>715</v>
      </c>
      <c r="BG133" s="450">
        <v>1617</v>
      </c>
      <c r="BH133" s="450">
        <v>0</v>
      </c>
      <c r="BI133" s="450">
        <v>0</v>
      </c>
      <c r="BJ133" s="452">
        <v>2.3139803165373865</v>
      </c>
      <c r="BK133" s="452">
        <v>30.927758988093295</v>
      </c>
      <c r="BL133" s="452">
        <v>20.219397450347643</v>
      </c>
      <c r="BM133" s="452">
        <v>21.41672307549131</v>
      </c>
      <c r="BN133" s="449">
        <v>11126</v>
      </c>
      <c r="BO133" s="449">
        <v>2583</v>
      </c>
      <c r="BP133" s="447">
        <v>6435517.101416687</v>
      </c>
      <c r="BQ133" s="447">
        <v>14691178</v>
      </c>
      <c r="BR133" s="447">
        <v>18613779</v>
      </c>
      <c r="BS133" s="448">
        <v>0.13823035961776936</v>
      </c>
      <c r="BT133" s="449">
        <v>1918</v>
      </c>
      <c r="BU133" s="449">
        <v>1872</v>
      </c>
      <c r="BV133" s="447">
        <v>2572989.365015683</v>
      </c>
      <c r="BW133" s="448">
        <v>0.014819663729411606</v>
      </c>
      <c r="BX133" s="447">
        <v>99310.87814755464</v>
      </c>
      <c r="BY133" s="447">
        <v>23798995.344579928</v>
      </c>
      <c r="BZ133" s="455">
        <v>0.9333333333333332</v>
      </c>
      <c r="CA133" s="447">
        <v>22212395.654941265</v>
      </c>
      <c r="CB133" s="447">
        <v>16704323.620430375</v>
      </c>
      <c r="CC133" s="447">
        <v>16683878.855865672</v>
      </c>
      <c r="CD133" s="447">
        <v>15761435.87307966</v>
      </c>
      <c r="CE133" s="447">
        <v>16683878.855865672</v>
      </c>
      <c r="CF133" s="454">
        <v>1217.0018860504538</v>
      </c>
      <c r="CG133" s="450">
        <v>13709</v>
      </c>
      <c r="CH133" s="450">
        <v>581</v>
      </c>
      <c r="CI133" s="450">
        <v>1633</v>
      </c>
      <c r="CJ133" s="450">
        <v>564</v>
      </c>
      <c r="CK133" s="450">
        <v>567</v>
      </c>
      <c r="CL133" s="450">
        <v>1442</v>
      </c>
      <c r="CM133" s="450">
        <v>147</v>
      </c>
      <c r="CN133" s="450">
        <v>617</v>
      </c>
      <c r="CO133" s="450">
        <v>561</v>
      </c>
      <c r="CP133" s="450">
        <v>69</v>
      </c>
      <c r="CQ133" s="450">
        <v>3328</v>
      </c>
      <c r="CR133" s="450">
        <v>1868</v>
      </c>
      <c r="CS133" s="450">
        <v>715</v>
      </c>
      <c r="CT133" s="450">
        <v>1617</v>
      </c>
      <c r="CU133" s="450">
        <v>0</v>
      </c>
      <c r="CV133" s="450">
        <v>0</v>
      </c>
      <c r="CW133" s="447">
        <v>9959842.339736082</v>
      </c>
      <c r="CX133" s="452">
        <v>0.9111324575965377</v>
      </c>
      <c r="CY133" s="452">
        <v>0.9333333333333332</v>
      </c>
      <c r="CZ133" s="447">
        <v>9074735.628277786</v>
      </c>
      <c r="DA133" s="454">
        <v>661.9546012311464</v>
      </c>
      <c r="DB133" s="449">
        <v>13714.75</v>
      </c>
      <c r="DC133" s="452">
        <v>0.9896498295630615</v>
      </c>
      <c r="DD133" s="454">
        <v>307.3</v>
      </c>
      <c r="DE133" s="447">
        <v>24973</v>
      </c>
      <c r="DF133" s="454">
        <v>44.97528066028566</v>
      </c>
      <c r="DG133" s="454">
        <v>46.909217728677945</v>
      </c>
      <c r="DH133" s="454">
        <v>47.94122051870885</v>
      </c>
      <c r="DI133" s="454">
        <v>48.99592737012044</v>
      </c>
      <c r="DJ133" s="454">
        <v>50.612792973334415</v>
      </c>
      <c r="DK133" s="454">
        <v>52.434853520374446</v>
      </c>
      <c r="DL133" s="454">
        <v>54.112768833026415</v>
      </c>
      <c r="DM133" s="454">
        <v>56.33139235518049</v>
      </c>
      <c r="DN133" s="454">
        <v>58.80997361880842</v>
      </c>
      <c r="DO133" s="454">
        <v>62.04452216784288</v>
      </c>
      <c r="DP133" s="454">
        <v>61.48612146833229</v>
      </c>
      <c r="DQ133" s="454">
        <v>64.62191366321724</v>
      </c>
      <c r="DR133" s="454">
        <v>68.56385039667349</v>
      </c>
      <c r="DS133" s="454">
        <v>35.72</v>
      </c>
      <c r="DT133" s="454">
        <v>37.649378051870876</v>
      </c>
      <c r="DU133" s="454">
        <v>39.646360258024075</v>
      </c>
      <c r="DV133" s="454">
        <v>42.16195299988831</v>
      </c>
      <c r="DW133" s="454">
        <v>44.930507623954306</v>
      </c>
      <c r="DX133" s="454">
        <v>47.6590313621051</v>
      </c>
      <c r="DY133" s="454">
        <v>50.95671978939722</v>
      </c>
      <c r="DZ133" s="454">
        <v>53.822277477761546</v>
      </c>
      <c r="EA133" s="454">
        <v>55.464813432481456</v>
      </c>
      <c r="EB133" s="454">
        <v>57.089568664274196</v>
      </c>
      <c r="EC133" s="454">
        <v>60.92529206556519</v>
      </c>
      <c r="ED133" s="454">
        <v>65.62226376034187</v>
      </c>
      <c r="EE133" s="454">
        <v>-0.74</v>
      </c>
      <c r="EF133" s="454">
        <v>64.88226376034187</v>
      </c>
      <c r="EG133" s="454">
        <v>3373.8777155377775</v>
      </c>
      <c r="EH133" s="447">
        <v>45346451.6111883</v>
      </c>
      <c r="EI133" s="454">
        <v>40.55</v>
      </c>
      <c r="EJ133" s="454">
        <v>42.092012051870874</v>
      </c>
      <c r="EK133" s="454">
        <v>43.68224643402407</v>
      </c>
      <c r="EL133" s="454">
        <v>45.80988961722031</v>
      </c>
      <c r="EM133" s="454">
        <v>48.16987534014512</v>
      </c>
      <c r="EN133" s="454">
        <v>50.4448875980292</v>
      </c>
      <c r="EO133" s="454">
        <v>53.276780862674805</v>
      </c>
      <c r="EP133" s="454">
        <v>55.975294153763144</v>
      </c>
      <c r="EQ133" s="454">
        <v>57.518073669161645</v>
      </c>
      <c r="ER133" s="454">
        <v>58.46155447916626</v>
      </c>
      <c r="ES133" s="454">
        <v>62.078857738726434</v>
      </c>
      <c r="ET133" s="454">
        <v>66.54021364475993</v>
      </c>
      <c r="EU133" s="447">
        <v>240776958</v>
      </c>
      <c r="EV133" s="447">
        <v>0</v>
      </c>
      <c r="EW133" s="447">
        <v>0</v>
      </c>
      <c r="EX133" s="447">
        <v>0</v>
      </c>
      <c r="EY133" s="447">
        <v>0</v>
      </c>
      <c r="EZ133" s="447">
        <v>0</v>
      </c>
      <c r="FA133" s="447">
        <v>0</v>
      </c>
      <c r="FB133" s="447">
        <v>0</v>
      </c>
      <c r="FC133" s="447">
        <v>0</v>
      </c>
      <c r="FD133" s="447">
        <v>240776958</v>
      </c>
      <c r="FE133" s="447">
        <v>158222.51430013313</v>
      </c>
      <c r="FF133" s="447">
        <v>0</v>
      </c>
      <c r="FG133" s="447">
        <v>0</v>
      </c>
      <c r="FH133" s="447">
        <v>193000</v>
      </c>
      <c r="FI133" s="456">
        <v>0.0554</v>
      </c>
      <c r="FJ133" s="447">
        <v>10692.2</v>
      </c>
      <c r="FK133" s="471">
        <v>10692.2</v>
      </c>
      <c r="FL133" s="446">
        <v>64.64</v>
      </c>
      <c r="FM133" s="450">
        <v>61.38</v>
      </c>
      <c r="FN133" s="450">
        <v>60.64</v>
      </c>
      <c r="FO133" s="450">
        <v>-0.74</v>
      </c>
      <c r="FP133" s="472">
        <v>59.93</v>
      </c>
      <c r="FQ133" s="446">
        <v>44073</v>
      </c>
      <c r="FR133" s="450">
        <v>495558</v>
      </c>
      <c r="FS133" s="450">
        <v>0</v>
      </c>
      <c r="FT133" s="450">
        <v>0</v>
      </c>
      <c r="FU133" s="450">
        <v>0</v>
      </c>
      <c r="FV133" s="450">
        <v>0</v>
      </c>
      <c r="FW133" s="450">
        <v>0</v>
      </c>
      <c r="FX133" s="450">
        <v>0</v>
      </c>
      <c r="FY133" s="450">
        <v>0</v>
      </c>
      <c r="FZ133" s="450">
        <v>0</v>
      </c>
      <c r="GA133" s="450">
        <v>0</v>
      </c>
      <c r="GB133" s="450">
        <v>0</v>
      </c>
      <c r="GC133" s="450">
        <v>0</v>
      </c>
      <c r="GD133" s="450">
        <v>0</v>
      </c>
      <c r="GE133" s="450">
        <v>0</v>
      </c>
      <c r="GF133" s="450">
        <v>0</v>
      </c>
      <c r="GG133" s="450">
        <v>0</v>
      </c>
      <c r="GH133" s="450">
        <v>0</v>
      </c>
      <c r="GI133" s="450">
        <v>0</v>
      </c>
      <c r="GJ133" s="450">
        <v>0</v>
      </c>
      <c r="GK133" s="450">
        <v>0</v>
      </c>
      <c r="GL133" s="450">
        <v>0</v>
      </c>
      <c r="GM133" s="450">
        <v>0</v>
      </c>
      <c r="GN133" s="450">
        <v>0</v>
      </c>
      <c r="GO133" s="450">
        <v>0</v>
      </c>
      <c r="GP133" s="450">
        <v>0</v>
      </c>
      <c r="GQ133" s="450">
        <v>0</v>
      </c>
      <c r="GR133" s="450">
        <v>0</v>
      </c>
      <c r="GS133" s="450">
        <v>0</v>
      </c>
      <c r="GT133" s="450">
        <v>0</v>
      </c>
      <c r="GU133" s="450">
        <v>0</v>
      </c>
      <c r="GV133" s="450">
        <v>0</v>
      </c>
      <c r="GW133" s="450">
        <v>0</v>
      </c>
      <c r="GX133" s="450">
        <v>219804792</v>
      </c>
      <c r="GY133" s="450">
        <v>219804792</v>
      </c>
      <c r="GZ133" s="450">
        <v>13</v>
      </c>
      <c r="HA133" s="450" t="s">
        <v>889</v>
      </c>
      <c r="HB133" s="450" t="s">
        <v>888</v>
      </c>
      <c r="HC133" s="450">
        <v>0</v>
      </c>
      <c r="HD133" s="450">
        <v>0</v>
      </c>
      <c r="HE133" s="450">
        <v>0</v>
      </c>
      <c r="HF133" s="450">
        <v>0</v>
      </c>
      <c r="HG133" s="472">
        <v>0</v>
      </c>
    </row>
    <row r="134" spans="2:215" ht="12.75">
      <c r="B134" s="445" t="s">
        <v>815</v>
      </c>
      <c r="C134" s="446">
        <v>20877</v>
      </c>
      <c r="D134" s="447">
        <v>4895141</v>
      </c>
      <c r="E134" s="447">
        <v>4200030.978</v>
      </c>
      <c r="F134" s="447">
        <v>457191.3953784798</v>
      </c>
      <c r="G134" s="447">
        <v>695110.0220000001</v>
      </c>
      <c r="H134" s="448">
        <v>0.3239589021411122</v>
      </c>
      <c r="I134" s="449">
        <v>4741.92</v>
      </c>
      <c r="J134" s="449">
        <v>2021.37</v>
      </c>
      <c r="K134" s="447">
        <v>4657222.37337848</v>
      </c>
      <c r="L134" s="447">
        <v>3725777.898702784</v>
      </c>
      <c r="M134" s="447">
        <v>1047445.6067424107</v>
      </c>
      <c r="N134" s="447">
        <v>931444.4746756958</v>
      </c>
      <c r="O134" s="450">
        <v>1.1245389663265795</v>
      </c>
      <c r="P134" s="451">
        <v>0.9042007951334003</v>
      </c>
      <c r="Q134" s="452">
        <v>0.09579920486659961</v>
      </c>
      <c r="R134" s="447">
        <v>4773223.505445194</v>
      </c>
      <c r="S134" s="447">
        <v>3226699.0896809516</v>
      </c>
      <c r="T134" s="447">
        <v>480184.8549827434</v>
      </c>
      <c r="U134" s="447">
        <v>741526.9448696539</v>
      </c>
      <c r="V134" s="447">
        <v>1088294.9592415043</v>
      </c>
      <c r="W134" s="450">
        <v>0.6813657810070782</v>
      </c>
      <c r="X134" s="452">
        <v>11.961036321573724</v>
      </c>
      <c r="Y134" s="447">
        <v>480184.8549827434</v>
      </c>
      <c r="Z134" s="447">
        <v>458229.4565227387</v>
      </c>
      <c r="AA134" s="448">
        <v>1.047913546690369</v>
      </c>
      <c r="AB134" s="448">
        <v>0.08243521578770896</v>
      </c>
      <c r="AC134" s="449">
        <v>1725</v>
      </c>
      <c r="AD134" s="449">
        <v>1717</v>
      </c>
      <c r="AE134" s="447">
        <v>4448410.889533348</v>
      </c>
      <c r="AF134" s="447">
        <v>550444.7232055115</v>
      </c>
      <c r="AG134" s="451">
        <v>0.75</v>
      </c>
      <c r="AH134" s="450">
        <v>0.34842846889850554</v>
      </c>
      <c r="AI134" s="452">
        <v>0.2934150695800781</v>
      </c>
      <c r="AJ134" s="447">
        <v>4998855.61273886</v>
      </c>
      <c r="AK134" s="453">
        <v>1</v>
      </c>
      <c r="AL134" s="447">
        <v>4998855.61273886</v>
      </c>
      <c r="AM134" s="447">
        <v>11759617.552766176</v>
      </c>
      <c r="AN134" s="447">
        <v>11643547.800138135</v>
      </c>
      <c r="AO134" s="447">
        <v>11328166.21952615</v>
      </c>
      <c r="AP134" s="447">
        <v>11643547.800138135</v>
      </c>
      <c r="AQ134" s="447">
        <v>83508</v>
      </c>
      <c r="AR134" s="447">
        <v>11727055.800138135</v>
      </c>
      <c r="AS134" s="454">
        <v>561.7213105397392</v>
      </c>
      <c r="AT134" s="450">
        <v>20877</v>
      </c>
      <c r="AU134" s="450">
        <v>397</v>
      </c>
      <c r="AV134" s="450">
        <v>3308</v>
      </c>
      <c r="AW134" s="450">
        <v>1041</v>
      </c>
      <c r="AX134" s="450">
        <v>34</v>
      </c>
      <c r="AY134" s="450">
        <v>3867</v>
      </c>
      <c r="AZ134" s="450">
        <v>700</v>
      </c>
      <c r="BA134" s="450">
        <v>931</v>
      </c>
      <c r="BB134" s="450">
        <v>534</v>
      </c>
      <c r="BC134" s="450">
        <v>4</v>
      </c>
      <c r="BD134" s="450">
        <v>3324</v>
      </c>
      <c r="BE134" s="450">
        <v>1952</v>
      </c>
      <c r="BF134" s="450">
        <v>48</v>
      </c>
      <c r="BG134" s="450">
        <v>4737</v>
      </c>
      <c r="BH134" s="450">
        <v>0</v>
      </c>
      <c r="BI134" s="450">
        <v>0</v>
      </c>
      <c r="BJ134" s="452">
        <v>1.6487953932017838</v>
      </c>
      <c r="BK134" s="452">
        <v>18.03852664505223</v>
      </c>
      <c r="BL134" s="452">
        <v>12.937362017367413</v>
      </c>
      <c r="BM134" s="452">
        <v>10.202329255369637</v>
      </c>
      <c r="BN134" s="449">
        <v>18877</v>
      </c>
      <c r="BO134" s="449">
        <v>2000</v>
      </c>
      <c r="BP134" s="447">
        <v>7696679.120780305</v>
      </c>
      <c r="BQ134" s="447">
        <v>21532444</v>
      </c>
      <c r="BR134" s="447">
        <v>28747235</v>
      </c>
      <c r="BS134" s="448">
        <v>0.08243521578770896</v>
      </c>
      <c r="BT134" s="449">
        <v>1725</v>
      </c>
      <c r="BU134" s="449">
        <v>1717</v>
      </c>
      <c r="BV134" s="447">
        <v>2369784.5205249796</v>
      </c>
      <c r="BW134" s="448">
        <v>0.011451842442286603</v>
      </c>
      <c r="BX134" s="447">
        <v>68163.01026146235</v>
      </c>
      <c r="BY134" s="447">
        <v>31667070.651566748</v>
      </c>
      <c r="BZ134" s="455">
        <v>0.9433333333333334</v>
      </c>
      <c r="CA134" s="447">
        <v>29872603.31464463</v>
      </c>
      <c r="CB134" s="447">
        <v>22465007.41767399</v>
      </c>
      <c r="CC134" s="447">
        <v>22437512.03396166</v>
      </c>
      <c r="CD134" s="447">
        <v>21966130.086968474</v>
      </c>
      <c r="CE134" s="447">
        <v>22437512.03396166</v>
      </c>
      <c r="CF134" s="454">
        <v>1074.7479060191436</v>
      </c>
      <c r="CG134" s="450">
        <v>20877</v>
      </c>
      <c r="CH134" s="450">
        <v>397</v>
      </c>
      <c r="CI134" s="450">
        <v>3308</v>
      </c>
      <c r="CJ134" s="450">
        <v>1041</v>
      </c>
      <c r="CK134" s="450">
        <v>34</v>
      </c>
      <c r="CL134" s="450">
        <v>3867</v>
      </c>
      <c r="CM134" s="450">
        <v>700</v>
      </c>
      <c r="CN134" s="450">
        <v>931</v>
      </c>
      <c r="CO134" s="450">
        <v>534</v>
      </c>
      <c r="CP134" s="450">
        <v>4</v>
      </c>
      <c r="CQ134" s="450">
        <v>3324</v>
      </c>
      <c r="CR134" s="450">
        <v>1952</v>
      </c>
      <c r="CS134" s="450">
        <v>48</v>
      </c>
      <c r="CT134" s="450">
        <v>4737</v>
      </c>
      <c r="CU134" s="450">
        <v>0</v>
      </c>
      <c r="CV134" s="450">
        <v>0</v>
      </c>
      <c r="CW134" s="447">
        <v>14507934.310147202</v>
      </c>
      <c r="CX134" s="452">
        <v>0.9208945910707865</v>
      </c>
      <c r="CY134" s="452">
        <v>0.9433333333333334</v>
      </c>
      <c r="CZ134" s="447">
        <v>13360278.23382484</v>
      </c>
      <c r="DA134" s="454">
        <v>639.9520157984787</v>
      </c>
      <c r="DB134" s="449">
        <v>20877</v>
      </c>
      <c r="DC134" s="452">
        <v>1.021090194951382</v>
      </c>
      <c r="DD134" s="454">
        <v>299.1</v>
      </c>
      <c r="DE134" s="447">
        <v>30395</v>
      </c>
      <c r="DF134" s="454">
        <v>46.91683320486631</v>
      </c>
      <c r="DG134" s="454">
        <v>48.93425703267555</v>
      </c>
      <c r="DH134" s="454">
        <v>50.010810687394404</v>
      </c>
      <c r="DI134" s="454">
        <v>51.11104852251707</v>
      </c>
      <c r="DJ134" s="454">
        <v>52.79771312376013</v>
      </c>
      <c r="DK134" s="454">
        <v>54.69843079621549</v>
      </c>
      <c r="DL134" s="454">
        <v>56.44878058169437</v>
      </c>
      <c r="DM134" s="454">
        <v>58.763180585543836</v>
      </c>
      <c r="DN134" s="454">
        <v>61.348760531307754</v>
      </c>
      <c r="DO134" s="454">
        <v>64.72294236052967</v>
      </c>
      <c r="DP134" s="454">
        <v>64.14043587928491</v>
      </c>
      <c r="DQ134" s="454">
        <v>67.41159810912843</v>
      </c>
      <c r="DR134" s="454">
        <v>71.52370559378527</v>
      </c>
      <c r="DS134" s="454">
        <v>33.1</v>
      </c>
      <c r="DT134" s="454">
        <v>35.44646106873944</v>
      </c>
      <c r="DU134" s="454">
        <v>37.88014602450341</v>
      </c>
      <c r="DV134" s="454">
        <v>40.838631128368036</v>
      </c>
      <c r="DW134" s="454">
        <v>44.0787659843073</v>
      </c>
      <c r="DX134" s="454">
        <v>47.31586884345333</v>
      </c>
      <c r="DY134" s="454">
        <v>51.1572916899367</v>
      </c>
      <c r="DZ134" s="454">
        <v>54.29049563618433</v>
      </c>
      <c r="EA134" s="454">
        <v>56.08989882907644</v>
      </c>
      <c r="EB134" s="454">
        <v>58.37184743983305</v>
      </c>
      <c r="EC134" s="454">
        <v>62.561368949237306</v>
      </c>
      <c r="ED134" s="454">
        <v>67.6641357398019</v>
      </c>
      <c r="EE134" s="454">
        <v>-3.27</v>
      </c>
      <c r="EF134" s="454">
        <v>64.39413573980191</v>
      </c>
      <c r="EG134" s="454">
        <v>3348.4950584696994</v>
      </c>
      <c r="EH134" s="447">
        <v>68508400.70895848</v>
      </c>
      <c r="EI134" s="454">
        <v>34.42</v>
      </c>
      <c r="EJ134" s="454">
        <v>36.660597068739435</v>
      </c>
      <c r="EK134" s="454">
        <v>38.983121128503406</v>
      </c>
      <c r="EL134" s="454">
        <v>41.83558275049603</v>
      </c>
      <c r="EM134" s="454">
        <v>44.96405902475697</v>
      </c>
      <c r="EN134" s="454">
        <v>48.07722085824005</v>
      </c>
      <c r="EO134" s="454">
        <v>51.791345647851074</v>
      </c>
      <c r="EP134" s="454">
        <v>54.87889770912887</v>
      </c>
      <c r="EQ134" s="454">
        <v>56.65103827264121</v>
      </c>
      <c r="ER134" s="454">
        <v>58.74680008489671</v>
      </c>
      <c r="ES134" s="454">
        <v>62.87662913320684</v>
      </c>
      <c r="ET134" s="454">
        <v>67.91500403119565</v>
      </c>
      <c r="EU134" s="447">
        <v>314731372</v>
      </c>
      <c r="EV134" s="447">
        <v>0</v>
      </c>
      <c r="EW134" s="447">
        <v>0</v>
      </c>
      <c r="EX134" s="447">
        <v>0</v>
      </c>
      <c r="EY134" s="447">
        <v>0</v>
      </c>
      <c r="EZ134" s="447">
        <v>0</v>
      </c>
      <c r="FA134" s="447">
        <v>0</v>
      </c>
      <c r="FB134" s="447">
        <v>0</v>
      </c>
      <c r="FC134" s="447">
        <v>0</v>
      </c>
      <c r="FD134" s="447">
        <v>314731372</v>
      </c>
      <c r="FE134" s="447">
        <v>194373.9730075553</v>
      </c>
      <c r="FF134" s="447">
        <v>0</v>
      </c>
      <c r="FG134" s="447">
        <v>0</v>
      </c>
      <c r="FH134" s="447">
        <v>33882</v>
      </c>
      <c r="FI134" s="456">
        <v>0.0529</v>
      </c>
      <c r="FJ134" s="447">
        <v>1792.3578</v>
      </c>
      <c r="FK134" s="471">
        <v>1792.3578</v>
      </c>
      <c r="FL134" s="446">
        <v>67.41</v>
      </c>
      <c r="FM134" s="450">
        <v>61.98</v>
      </c>
      <c r="FN134" s="450">
        <v>58.6</v>
      </c>
      <c r="FO134" s="450">
        <v>-3.38</v>
      </c>
      <c r="FP134" s="472">
        <v>58.71</v>
      </c>
      <c r="FQ134" s="446">
        <v>292103</v>
      </c>
      <c r="FR134" s="450">
        <v>704321</v>
      </c>
      <c r="FS134" s="450">
        <v>0</v>
      </c>
      <c r="FT134" s="450">
        <v>0</v>
      </c>
      <c r="FU134" s="450">
        <v>0</v>
      </c>
      <c r="FV134" s="450">
        <v>0</v>
      </c>
      <c r="FW134" s="450">
        <v>0</v>
      </c>
      <c r="FX134" s="450">
        <v>0</v>
      </c>
      <c r="FY134" s="450">
        <v>0</v>
      </c>
      <c r="FZ134" s="450">
        <v>0</v>
      </c>
      <c r="GA134" s="450">
        <v>0</v>
      </c>
      <c r="GB134" s="450">
        <v>0</v>
      </c>
      <c r="GC134" s="450">
        <v>0</v>
      </c>
      <c r="GD134" s="450">
        <v>0</v>
      </c>
      <c r="GE134" s="450">
        <v>0</v>
      </c>
      <c r="GF134" s="450">
        <v>0</v>
      </c>
      <c r="GG134" s="450">
        <v>0</v>
      </c>
      <c r="GH134" s="450">
        <v>0</v>
      </c>
      <c r="GI134" s="450">
        <v>0</v>
      </c>
      <c r="GJ134" s="450">
        <v>0</v>
      </c>
      <c r="GK134" s="450">
        <v>0</v>
      </c>
      <c r="GL134" s="450">
        <v>0</v>
      </c>
      <c r="GM134" s="450">
        <v>0</v>
      </c>
      <c r="GN134" s="450">
        <v>0</v>
      </c>
      <c r="GO134" s="450">
        <v>0</v>
      </c>
      <c r="GP134" s="450">
        <v>0</v>
      </c>
      <c r="GQ134" s="450">
        <v>0</v>
      </c>
      <c r="GR134" s="450">
        <v>0</v>
      </c>
      <c r="GS134" s="450">
        <v>0</v>
      </c>
      <c r="GT134" s="450">
        <v>0</v>
      </c>
      <c r="GU134" s="450">
        <v>0</v>
      </c>
      <c r="GV134" s="450">
        <v>0</v>
      </c>
      <c r="GW134" s="450">
        <v>6703203</v>
      </c>
      <c r="GX134" s="450">
        <v>281470618</v>
      </c>
      <c r="GY134" s="450">
        <v>281470618</v>
      </c>
      <c r="GZ134" s="450">
        <v>5</v>
      </c>
      <c r="HA134" s="450" t="s">
        <v>888</v>
      </c>
      <c r="HB134" s="450" t="s">
        <v>888</v>
      </c>
      <c r="HC134" s="450">
        <v>0</v>
      </c>
      <c r="HD134" s="450">
        <v>0</v>
      </c>
      <c r="HE134" s="450">
        <v>0</v>
      </c>
      <c r="HF134" s="450">
        <v>0</v>
      </c>
      <c r="HG134" s="472">
        <v>0</v>
      </c>
    </row>
    <row r="135" spans="2:215" ht="12.75">
      <c r="B135" s="445" t="s">
        <v>816</v>
      </c>
      <c r="C135" s="446">
        <v>3915</v>
      </c>
      <c r="D135" s="447">
        <v>942995</v>
      </c>
      <c r="E135" s="447">
        <v>809089.71</v>
      </c>
      <c r="F135" s="447">
        <v>122369.5265727214</v>
      </c>
      <c r="G135" s="447">
        <v>133905.29</v>
      </c>
      <c r="H135" s="448">
        <v>0.4501123882503193</v>
      </c>
      <c r="I135" s="449">
        <v>1467.61</v>
      </c>
      <c r="J135" s="449">
        <v>294.58</v>
      </c>
      <c r="K135" s="447">
        <v>931459.2365727214</v>
      </c>
      <c r="L135" s="447">
        <v>745167.3892581771</v>
      </c>
      <c r="M135" s="447">
        <v>227923.1978165863</v>
      </c>
      <c r="N135" s="447">
        <v>186291.84731454423</v>
      </c>
      <c r="O135" s="450">
        <v>1.2234738186462324</v>
      </c>
      <c r="P135" s="451">
        <v>0.8280970625798212</v>
      </c>
      <c r="Q135" s="452">
        <v>0.1719029374201788</v>
      </c>
      <c r="R135" s="447">
        <v>973090.5870747634</v>
      </c>
      <c r="S135" s="447">
        <v>657809.2368625401</v>
      </c>
      <c r="T135" s="447">
        <v>118144.32782185962</v>
      </c>
      <c r="U135" s="447">
        <v>159599.70628549374</v>
      </c>
      <c r="V135" s="447">
        <v>221864.65385304607</v>
      </c>
      <c r="W135" s="450">
        <v>0.7193561638313327</v>
      </c>
      <c r="X135" s="452">
        <v>12.627938536944411</v>
      </c>
      <c r="Y135" s="447">
        <v>118144.32782185962</v>
      </c>
      <c r="Z135" s="447">
        <v>93416.69635917728</v>
      </c>
      <c r="AA135" s="448">
        <v>1.2647024828153548</v>
      </c>
      <c r="AB135" s="448">
        <v>0.09948914431673052</v>
      </c>
      <c r="AC135" s="449">
        <v>328</v>
      </c>
      <c r="AD135" s="449">
        <v>451</v>
      </c>
      <c r="AE135" s="447">
        <v>935553.2709698936</v>
      </c>
      <c r="AF135" s="447">
        <v>0</v>
      </c>
      <c r="AG135" s="451">
        <v>0</v>
      </c>
      <c r="AH135" s="450">
        <v>0.0314249330773924</v>
      </c>
      <c r="AI135" s="452">
        <v>0.02646324783563614</v>
      </c>
      <c r="AJ135" s="447">
        <v>935553.2709698936</v>
      </c>
      <c r="AK135" s="453">
        <v>1.0155</v>
      </c>
      <c r="AL135" s="447">
        <v>950054.346669927</v>
      </c>
      <c r="AM135" s="447">
        <v>2234966.687717594</v>
      </c>
      <c r="AN135" s="447">
        <v>2212907.1241806597</v>
      </c>
      <c r="AO135" s="447">
        <v>2139340.7831496005</v>
      </c>
      <c r="AP135" s="447">
        <v>2212907.1241806597</v>
      </c>
      <c r="AQ135" s="447">
        <v>15660</v>
      </c>
      <c r="AR135" s="447">
        <v>2228567.1241806597</v>
      </c>
      <c r="AS135" s="454">
        <v>569.2380904676014</v>
      </c>
      <c r="AT135" s="450">
        <v>3909</v>
      </c>
      <c r="AU135" s="450">
        <v>84</v>
      </c>
      <c r="AV135" s="450">
        <v>342</v>
      </c>
      <c r="AW135" s="450">
        <v>7</v>
      </c>
      <c r="AX135" s="450">
        <v>44</v>
      </c>
      <c r="AY135" s="450">
        <v>325</v>
      </c>
      <c r="AZ135" s="450">
        <v>52</v>
      </c>
      <c r="BA135" s="450">
        <v>441</v>
      </c>
      <c r="BB135" s="450">
        <v>557</v>
      </c>
      <c r="BC135" s="450">
        <v>1</v>
      </c>
      <c r="BD135" s="450">
        <v>975</v>
      </c>
      <c r="BE135" s="450">
        <v>365</v>
      </c>
      <c r="BF135" s="450">
        <v>308</v>
      </c>
      <c r="BG135" s="450">
        <v>408</v>
      </c>
      <c r="BH135" s="450">
        <v>0</v>
      </c>
      <c r="BI135" s="450">
        <v>0</v>
      </c>
      <c r="BJ135" s="452">
        <v>1.481306565519307</v>
      </c>
      <c r="BK135" s="452">
        <v>11.642115851418176</v>
      </c>
      <c r="BL135" s="452">
        <v>6.645259994097203</v>
      </c>
      <c r="BM135" s="452">
        <v>9.993711714641947</v>
      </c>
      <c r="BN135" s="449">
        <v>3236</v>
      </c>
      <c r="BO135" s="449">
        <v>673</v>
      </c>
      <c r="BP135" s="447">
        <v>1169830.7526809967</v>
      </c>
      <c r="BQ135" s="447">
        <v>4206968</v>
      </c>
      <c r="BR135" s="447">
        <v>5388920</v>
      </c>
      <c r="BS135" s="448">
        <v>0.09964185213609619</v>
      </c>
      <c r="BT135" s="449">
        <v>328</v>
      </c>
      <c r="BU135" s="449">
        <v>451</v>
      </c>
      <c r="BV135" s="447">
        <v>536961.9698132515</v>
      </c>
      <c r="BW135" s="448">
        <v>0.009199988774084242</v>
      </c>
      <c r="BX135" s="447">
        <v>6617.426535330003</v>
      </c>
      <c r="BY135" s="447">
        <v>5920378.149029578</v>
      </c>
      <c r="BZ135" s="455">
        <v>0.97</v>
      </c>
      <c r="CA135" s="447">
        <v>5742766.804558692</v>
      </c>
      <c r="CB135" s="447">
        <v>4318716.3001336735</v>
      </c>
      <c r="CC135" s="447">
        <v>4313430.534604683</v>
      </c>
      <c r="CD135" s="447">
        <v>4140372.9505431177</v>
      </c>
      <c r="CE135" s="447">
        <v>4313430.534604683</v>
      </c>
      <c r="CF135" s="454">
        <v>1103.4613800472455</v>
      </c>
      <c r="CG135" s="450">
        <v>3909</v>
      </c>
      <c r="CH135" s="450">
        <v>84</v>
      </c>
      <c r="CI135" s="450">
        <v>342</v>
      </c>
      <c r="CJ135" s="450">
        <v>7</v>
      </c>
      <c r="CK135" s="450">
        <v>44</v>
      </c>
      <c r="CL135" s="450">
        <v>325</v>
      </c>
      <c r="CM135" s="450">
        <v>52</v>
      </c>
      <c r="CN135" s="450">
        <v>441</v>
      </c>
      <c r="CO135" s="450">
        <v>557</v>
      </c>
      <c r="CP135" s="450">
        <v>1</v>
      </c>
      <c r="CQ135" s="450">
        <v>975</v>
      </c>
      <c r="CR135" s="450">
        <v>365</v>
      </c>
      <c r="CS135" s="450">
        <v>308</v>
      </c>
      <c r="CT135" s="450">
        <v>408</v>
      </c>
      <c r="CU135" s="450">
        <v>0</v>
      </c>
      <c r="CV135" s="450">
        <v>0</v>
      </c>
      <c r="CW135" s="447">
        <v>2875654.7802734356</v>
      </c>
      <c r="CX135" s="452">
        <v>0.9469269470021162</v>
      </c>
      <c r="CY135" s="452">
        <v>0.97</v>
      </c>
      <c r="CZ135" s="447">
        <v>2723035.0017163656</v>
      </c>
      <c r="DA135" s="454">
        <v>696.6065494285918</v>
      </c>
      <c r="DB135" s="449">
        <v>3915</v>
      </c>
      <c r="DC135" s="452">
        <v>0.9971136653895274</v>
      </c>
      <c r="DD135" s="454">
        <v>326.1</v>
      </c>
      <c r="DE135" s="447">
        <v>42738</v>
      </c>
      <c r="DF135" s="454">
        <v>53.3688952773916</v>
      </c>
      <c r="DG135" s="454">
        <v>55.663757774319436</v>
      </c>
      <c r="DH135" s="454">
        <v>56.88836044535445</v>
      </c>
      <c r="DI135" s="454">
        <v>58.139904375152234</v>
      </c>
      <c r="DJ135" s="454">
        <v>60.05852121953225</v>
      </c>
      <c r="DK135" s="454">
        <v>62.2206279834354</v>
      </c>
      <c r="DL135" s="454">
        <v>64.21168807890533</v>
      </c>
      <c r="DM135" s="454">
        <v>66.84436729014044</v>
      </c>
      <c r="DN135" s="454">
        <v>69.7855194509066</v>
      </c>
      <c r="DO135" s="454">
        <v>73.62372302070646</v>
      </c>
      <c r="DP135" s="454">
        <v>72.9611095135201</v>
      </c>
      <c r="DQ135" s="454">
        <v>76.68212609870962</v>
      </c>
      <c r="DR135" s="454">
        <v>81.3597357907309</v>
      </c>
      <c r="DS135" s="454">
        <v>40.52</v>
      </c>
      <c r="DT135" s="454">
        <v>42.95913204453544</v>
      </c>
      <c r="DU135" s="454">
        <v>45.48597421903043</v>
      </c>
      <c r="DV135" s="454">
        <v>48.62095009966766</v>
      </c>
      <c r="DW135" s="454">
        <v>52.06406482899564</v>
      </c>
      <c r="DX135" s="454">
        <v>55.477043766087135</v>
      </c>
      <c r="DY135" s="454">
        <v>59.57015550642545</v>
      </c>
      <c r="DZ135" s="454">
        <v>63.035050915619095</v>
      </c>
      <c r="EA135" s="454">
        <v>65.0226750912425</v>
      </c>
      <c r="EB135" s="454">
        <v>67.2139004936294</v>
      </c>
      <c r="EC135" s="454">
        <v>71.84987275478551</v>
      </c>
      <c r="ED135" s="454">
        <v>77.51447019230329</v>
      </c>
      <c r="EE135" s="454">
        <v>-2</v>
      </c>
      <c r="EF135" s="454">
        <v>75.51447019230329</v>
      </c>
      <c r="EG135" s="454">
        <v>3926.752449999771</v>
      </c>
      <c r="EH135" s="447">
        <v>15065771.12491412</v>
      </c>
      <c r="EI135" s="454">
        <v>43.26</v>
      </c>
      <c r="EJ135" s="454">
        <v>45.479384044535436</v>
      </c>
      <c r="EK135" s="454">
        <v>47.77548314703043</v>
      </c>
      <c r="EL135" s="454">
        <v>50.69037998196365</v>
      </c>
      <c r="EM135" s="454">
        <v>53.901718564474486</v>
      </c>
      <c r="EN135" s="454">
        <v>57.057425978598936</v>
      </c>
      <c r="EO135" s="454">
        <v>60.88629781300528</v>
      </c>
      <c r="EP135" s="454">
        <v>64.25643097612517</v>
      </c>
      <c r="EQ135" s="454">
        <v>66.18746454227846</v>
      </c>
      <c r="ER135" s="454">
        <v>67.99221128717065</v>
      </c>
      <c r="ES135" s="454">
        <v>72.504276469995</v>
      </c>
      <c r="ET135" s="454">
        <v>78.03521194868125</v>
      </c>
      <c r="EU135" s="447">
        <v>9955907</v>
      </c>
      <c r="EV135" s="447">
        <v>0</v>
      </c>
      <c r="EW135" s="447">
        <v>0</v>
      </c>
      <c r="EX135" s="447">
        <v>0</v>
      </c>
      <c r="EY135" s="447">
        <v>0</v>
      </c>
      <c r="EZ135" s="447">
        <v>0</v>
      </c>
      <c r="FA135" s="447">
        <v>0</v>
      </c>
      <c r="FB135" s="447">
        <v>0</v>
      </c>
      <c r="FC135" s="447">
        <v>0</v>
      </c>
      <c r="FD135" s="447">
        <v>9955907</v>
      </c>
      <c r="FE135" s="447">
        <v>45389.25333980307</v>
      </c>
      <c r="FF135" s="447">
        <v>0</v>
      </c>
      <c r="FG135" s="447">
        <v>0</v>
      </c>
      <c r="FH135" s="447">
        <v>5883</v>
      </c>
      <c r="FI135" s="456">
        <v>0.046</v>
      </c>
      <c r="FJ135" s="447">
        <v>270.618</v>
      </c>
      <c r="FK135" s="471">
        <v>270.618</v>
      </c>
      <c r="FL135" s="446">
        <v>76.73</v>
      </c>
      <c r="FM135" s="450">
        <v>71.92</v>
      </c>
      <c r="FN135" s="450">
        <v>69.92</v>
      </c>
      <c r="FO135" s="450">
        <v>-2</v>
      </c>
      <c r="FP135" s="472">
        <v>69.15</v>
      </c>
      <c r="FQ135" s="446">
        <v>0</v>
      </c>
      <c r="FR135" s="450">
        <v>920</v>
      </c>
      <c r="FS135" s="450">
        <v>0</v>
      </c>
      <c r="FT135" s="450">
        <v>0</v>
      </c>
      <c r="FU135" s="450">
        <v>0</v>
      </c>
      <c r="FV135" s="450">
        <v>0</v>
      </c>
      <c r="FW135" s="450">
        <v>0</v>
      </c>
      <c r="FX135" s="450">
        <v>0</v>
      </c>
      <c r="FY135" s="450">
        <v>0</v>
      </c>
      <c r="FZ135" s="450">
        <v>0</v>
      </c>
      <c r="GA135" s="450">
        <v>0</v>
      </c>
      <c r="GB135" s="450">
        <v>0</v>
      </c>
      <c r="GC135" s="450">
        <v>0</v>
      </c>
      <c r="GD135" s="450">
        <v>0</v>
      </c>
      <c r="GE135" s="450">
        <v>0</v>
      </c>
      <c r="GF135" s="450">
        <v>0</v>
      </c>
      <c r="GG135" s="450">
        <v>0</v>
      </c>
      <c r="GH135" s="450">
        <v>0</v>
      </c>
      <c r="GI135" s="450">
        <v>0</v>
      </c>
      <c r="GJ135" s="450">
        <v>0</v>
      </c>
      <c r="GK135" s="450">
        <v>0</v>
      </c>
      <c r="GL135" s="450">
        <v>0</v>
      </c>
      <c r="GM135" s="450">
        <v>0</v>
      </c>
      <c r="GN135" s="450">
        <v>0</v>
      </c>
      <c r="GO135" s="450">
        <v>0</v>
      </c>
      <c r="GP135" s="450">
        <v>0</v>
      </c>
      <c r="GQ135" s="450">
        <v>0</v>
      </c>
      <c r="GR135" s="450">
        <v>0</v>
      </c>
      <c r="GS135" s="450">
        <v>0</v>
      </c>
      <c r="GT135" s="450">
        <v>0</v>
      </c>
      <c r="GU135" s="450">
        <v>0</v>
      </c>
      <c r="GV135" s="450">
        <v>0</v>
      </c>
      <c r="GW135" s="450">
        <v>0</v>
      </c>
      <c r="GX135" s="450">
        <v>5365034</v>
      </c>
      <c r="GY135" s="450">
        <v>5365034</v>
      </c>
      <c r="GZ135" s="450">
        <v>0</v>
      </c>
      <c r="HA135" s="450" t="s">
        <v>888</v>
      </c>
      <c r="HB135" s="450" t="s">
        <v>888</v>
      </c>
      <c r="HC135" s="450">
        <v>38</v>
      </c>
      <c r="HD135" s="450">
        <v>0</v>
      </c>
      <c r="HE135" s="450">
        <v>0</v>
      </c>
      <c r="HF135" s="450">
        <v>0</v>
      </c>
      <c r="HG135" s="472">
        <v>0</v>
      </c>
    </row>
    <row r="136" spans="2:215" ht="12.75">
      <c r="B136" s="445" t="s">
        <v>817</v>
      </c>
      <c r="C136" s="446">
        <v>2983</v>
      </c>
      <c r="D136" s="447">
        <v>725839</v>
      </c>
      <c r="E136" s="447">
        <v>622769.862</v>
      </c>
      <c r="F136" s="447">
        <v>80517.89392143795</v>
      </c>
      <c r="G136" s="447">
        <v>103069.138</v>
      </c>
      <c r="H136" s="448">
        <v>0.38477707006369427</v>
      </c>
      <c r="I136" s="449">
        <v>890</v>
      </c>
      <c r="J136" s="449">
        <v>257.79</v>
      </c>
      <c r="K136" s="447">
        <v>703287.7559214379</v>
      </c>
      <c r="L136" s="447">
        <v>562630.2047371503</v>
      </c>
      <c r="M136" s="447">
        <v>166035.32324174096</v>
      </c>
      <c r="N136" s="447">
        <v>140657.55118428756</v>
      </c>
      <c r="O136" s="450">
        <v>1.1804223935635265</v>
      </c>
      <c r="P136" s="451">
        <v>0.8612135434126718</v>
      </c>
      <c r="Q136" s="452">
        <v>0.1387864565873282</v>
      </c>
      <c r="R136" s="447">
        <v>728665.5279788913</v>
      </c>
      <c r="S136" s="447">
        <v>492577.89691373054</v>
      </c>
      <c r="T136" s="447">
        <v>48739.00248076024</v>
      </c>
      <c r="U136" s="447">
        <v>108606.32577211107</v>
      </c>
      <c r="V136" s="447">
        <v>166135.74037918722</v>
      </c>
      <c r="W136" s="450">
        <v>0.6537204187625651</v>
      </c>
      <c r="X136" s="452">
        <v>11.475735780884774</v>
      </c>
      <c r="Y136" s="447">
        <v>48739.00248076024</v>
      </c>
      <c r="Z136" s="447">
        <v>69951.89068597356</v>
      </c>
      <c r="AA136" s="448">
        <v>0.696750323726892</v>
      </c>
      <c r="AB136" s="448">
        <v>0.05481059336238686</v>
      </c>
      <c r="AC136" s="449">
        <v>155</v>
      </c>
      <c r="AD136" s="449">
        <v>172</v>
      </c>
      <c r="AE136" s="447">
        <v>649923.2251666018</v>
      </c>
      <c r="AF136" s="447">
        <v>0</v>
      </c>
      <c r="AG136" s="451">
        <v>0</v>
      </c>
      <c r="AH136" s="450">
        <v>0</v>
      </c>
      <c r="AI136" s="452">
        <v>0</v>
      </c>
      <c r="AJ136" s="447">
        <v>649923.2251666018</v>
      </c>
      <c r="AK136" s="453">
        <v>1.104</v>
      </c>
      <c r="AL136" s="447">
        <v>717515.2405839285</v>
      </c>
      <c r="AM136" s="447">
        <v>1687927.2920077431</v>
      </c>
      <c r="AN136" s="447">
        <v>1671267.1155727217</v>
      </c>
      <c r="AO136" s="447">
        <v>1618344.7828846285</v>
      </c>
      <c r="AP136" s="447">
        <v>1671267.1155727217</v>
      </c>
      <c r="AQ136" s="447">
        <v>11932</v>
      </c>
      <c r="AR136" s="447">
        <v>1683199.1155727217</v>
      </c>
      <c r="AS136" s="454">
        <v>564.2638671044994</v>
      </c>
      <c r="AT136" s="450">
        <v>2933</v>
      </c>
      <c r="AU136" s="450">
        <v>20</v>
      </c>
      <c r="AV136" s="450">
        <v>171</v>
      </c>
      <c r="AW136" s="450">
        <v>78</v>
      </c>
      <c r="AX136" s="450">
        <v>18</v>
      </c>
      <c r="AY136" s="450">
        <v>615</v>
      </c>
      <c r="AZ136" s="450">
        <v>162</v>
      </c>
      <c r="BA136" s="450">
        <v>384</v>
      </c>
      <c r="BB136" s="450">
        <v>132</v>
      </c>
      <c r="BC136" s="450">
        <v>2</v>
      </c>
      <c r="BD136" s="450">
        <v>580</v>
      </c>
      <c r="BE136" s="450">
        <v>321</v>
      </c>
      <c r="BF136" s="450">
        <v>93</v>
      </c>
      <c r="BG136" s="450">
        <v>329</v>
      </c>
      <c r="BH136" s="450">
        <v>28</v>
      </c>
      <c r="BI136" s="450">
        <v>0</v>
      </c>
      <c r="BJ136" s="452">
        <v>1.3500608979938225</v>
      </c>
      <c r="BK136" s="452">
        <v>8.939452482085104</v>
      </c>
      <c r="BL136" s="452">
        <v>3.8418522324140674</v>
      </c>
      <c r="BM136" s="452">
        <v>10.195200499342072</v>
      </c>
      <c r="BN136" s="449">
        <v>2519</v>
      </c>
      <c r="BO136" s="449">
        <v>414</v>
      </c>
      <c r="BP136" s="447">
        <v>823259.035231245</v>
      </c>
      <c r="BQ136" s="447">
        <v>3068180</v>
      </c>
      <c r="BR136" s="447">
        <v>4116344</v>
      </c>
      <c r="BS136" s="448">
        <v>0.05574497101943403</v>
      </c>
      <c r="BT136" s="449">
        <v>155</v>
      </c>
      <c r="BU136" s="449">
        <v>172</v>
      </c>
      <c r="BV136" s="447">
        <v>229465.47698602115</v>
      </c>
      <c r="BW136" s="448">
        <v>0.008170697141415936</v>
      </c>
      <c r="BX136" s="447">
        <v>3385.9952172878134</v>
      </c>
      <c r="BY136" s="447">
        <v>4124290.5074345544</v>
      </c>
      <c r="BZ136" s="455">
        <v>1.116666666666667</v>
      </c>
      <c r="CA136" s="447">
        <v>4605457.73330192</v>
      </c>
      <c r="CB136" s="447">
        <v>3463429.05071454</v>
      </c>
      <c r="CC136" s="447">
        <v>3459190.0888063903</v>
      </c>
      <c r="CD136" s="447">
        <v>3370580.8759806384</v>
      </c>
      <c r="CE136" s="447">
        <v>3459190.0888063903</v>
      </c>
      <c r="CF136" s="454">
        <v>1179.4033715671294</v>
      </c>
      <c r="CG136" s="450">
        <v>2933</v>
      </c>
      <c r="CH136" s="450">
        <v>20</v>
      </c>
      <c r="CI136" s="450">
        <v>171</v>
      </c>
      <c r="CJ136" s="450">
        <v>78</v>
      </c>
      <c r="CK136" s="450">
        <v>18</v>
      </c>
      <c r="CL136" s="450">
        <v>615</v>
      </c>
      <c r="CM136" s="450">
        <v>162</v>
      </c>
      <c r="CN136" s="450">
        <v>384</v>
      </c>
      <c r="CO136" s="450">
        <v>132</v>
      </c>
      <c r="CP136" s="450">
        <v>2</v>
      </c>
      <c r="CQ136" s="450">
        <v>580</v>
      </c>
      <c r="CR136" s="450">
        <v>321</v>
      </c>
      <c r="CS136" s="450">
        <v>93</v>
      </c>
      <c r="CT136" s="450">
        <v>329</v>
      </c>
      <c r="CU136" s="450">
        <v>28</v>
      </c>
      <c r="CV136" s="450">
        <v>0</v>
      </c>
      <c r="CW136" s="447">
        <v>2169658.222000633</v>
      </c>
      <c r="CX136" s="452">
        <v>1.0901049046244295</v>
      </c>
      <c r="CY136" s="452">
        <v>1.116666666666667</v>
      </c>
      <c r="CZ136" s="447">
        <v>2365155.0691616093</v>
      </c>
      <c r="DA136" s="454">
        <v>806.3945002255742</v>
      </c>
      <c r="DB136" s="449">
        <v>2983</v>
      </c>
      <c r="DC136" s="452">
        <v>1.0122024807241032</v>
      </c>
      <c r="DD136" s="454">
        <v>333.2</v>
      </c>
      <c r="DE136" s="447">
        <v>81850</v>
      </c>
      <c r="DF136" s="454">
        <v>67.7141214663768</v>
      </c>
      <c r="DG136" s="454">
        <v>70.62582868943099</v>
      </c>
      <c r="DH136" s="454">
        <v>72.17959692059846</v>
      </c>
      <c r="DI136" s="454">
        <v>73.76754805285161</v>
      </c>
      <c r="DJ136" s="454">
        <v>76.2018771385957</v>
      </c>
      <c r="DK136" s="454">
        <v>78.94514471558513</v>
      </c>
      <c r="DL136" s="454">
        <v>81.47138934648383</v>
      </c>
      <c r="DM136" s="454">
        <v>84.81171630968966</v>
      </c>
      <c r="DN136" s="454">
        <v>88.54343182731598</v>
      </c>
      <c r="DO136" s="454">
        <v>93.41332057781835</v>
      </c>
      <c r="DP136" s="454">
        <v>92.57260069261798</v>
      </c>
      <c r="DQ136" s="454">
        <v>97.29380332794149</v>
      </c>
      <c r="DR136" s="454">
        <v>103.22872533094592</v>
      </c>
      <c r="DS136" s="454">
        <v>54.77</v>
      </c>
      <c r="DT136" s="454">
        <v>57.595405692059835</v>
      </c>
      <c r="DU136" s="454">
        <v>60.518620554570305</v>
      </c>
      <c r="DV136" s="454">
        <v>64.22650279608669</v>
      </c>
      <c r="DW136" s="454">
        <v>68.31101229943714</v>
      </c>
      <c r="DX136" s="454">
        <v>72.32603546859656</v>
      </c>
      <c r="DY136" s="454">
        <v>77.19546560018514</v>
      </c>
      <c r="DZ136" s="454">
        <v>81.4755511688958</v>
      </c>
      <c r="EA136" s="454">
        <v>83.9280720032582</v>
      </c>
      <c r="EB136" s="454">
        <v>86.23456995372695</v>
      </c>
      <c r="EC136" s="454">
        <v>91.96478708268191</v>
      </c>
      <c r="ED136" s="454">
        <v>98.9881606537806</v>
      </c>
      <c r="EE136" s="454">
        <v>0</v>
      </c>
      <c r="EF136" s="454">
        <v>98.9881606537806</v>
      </c>
      <c r="EG136" s="454">
        <v>5147.384353996591</v>
      </c>
      <c r="EH136" s="447">
        <v>15047554.577412393</v>
      </c>
      <c r="EI136" s="454">
        <v>60.42</v>
      </c>
      <c r="EJ136" s="454">
        <v>62.79227569205983</v>
      </c>
      <c r="EK136" s="454">
        <v>65.2396882345703</v>
      </c>
      <c r="EL136" s="454">
        <v>68.49375784534669</v>
      </c>
      <c r="EM136" s="454">
        <v>72.10033478318002</v>
      </c>
      <c r="EN136" s="454">
        <v>75.58485280461545</v>
      </c>
      <c r="EO136" s="454">
        <v>79.90940867762167</v>
      </c>
      <c r="EP136" s="454">
        <v>83.99409034475688</v>
      </c>
      <c r="EQ136" s="454">
        <v>86.32991886397105</v>
      </c>
      <c r="ER136" s="454">
        <v>87.83948089661313</v>
      </c>
      <c r="ES136" s="454">
        <v>93.31419620346061</v>
      </c>
      <c r="ET136" s="454">
        <v>100.06195296164026</v>
      </c>
      <c r="EU136" s="447">
        <v>235100</v>
      </c>
      <c r="EV136" s="447">
        <v>0</v>
      </c>
      <c r="EW136" s="447">
        <v>0</v>
      </c>
      <c r="EX136" s="447">
        <v>0</v>
      </c>
      <c r="EY136" s="447">
        <v>0</v>
      </c>
      <c r="EZ136" s="447">
        <v>0</v>
      </c>
      <c r="FA136" s="447">
        <v>0</v>
      </c>
      <c r="FB136" s="447">
        <v>0</v>
      </c>
      <c r="FC136" s="447">
        <v>0</v>
      </c>
      <c r="FD136" s="447">
        <v>235100</v>
      </c>
      <c r="FE136" s="447">
        <v>40637.3888620003</v>
      </c>
      <c r="FF136" s="447">
        <v>0</v>
      </c>
      <c r="FG136" s="447">
        <v>0</v>
      </c>
      <c r="FH136" s="447">
        <v>15500</v>
      </c>
      <c r="FI136" s="456">
        <v>0.0393</v>
      </c>
      <c r="FJ136" s="447">
        <v>609.15</v>
      </c>
      <c r="FK136" s="471">
        <v>609.15</v>
      </c>
      <c r="FL136" s="446">
        <v>0</v>
      </c>
      <c r="FM136" s="450">
        <v>0</v>
      </c>
      <c r="FN136" s="450">
        <v>0</v>
      </c>
      <c r="FO136" s="450">
        <v>0</v>
      </c>
      <c r="FP136" s="472">
        <v>0</v>
      </c>
      <c r="FQ136" s="446">
        <v>0</v>
      </c>
      <c r="FR136" s="450">
        <v>0</v>
      </c>
      <c r="FS136" s="450">
        <v>0</v>
      </c>
      <c r="FT136" s="450">
        <v>0</v>
      </c>
      <c r="FU136" s="450">
        <v>0</v>
      </c>
      <c r="FV136" s="450">
        <v>0</v>
      </c>
      <c r="FW136" s="450">
        <v>0</v>
      </c>
      <c r="FX136" s="450">
        <v>0</v>
      </c>
      <c r="FY136" s="450">
        <v>0</v>
      </c>
      <c r="FZ136" s="450">
        <v>0</v>
      </c>
      <c r="GA136" s="450">
        <v>0</v>
      </c>
      <c r="GB136" s="450">
        <v>0</v>
      </c>
      <c r="GC136" s="450">
        <v>0</v>
      </c>
      <c r="GD136" s="450">
        <v>0</v>
      </c>
      <c r="GE136" s="450">
        <v>0</v>
      </c>
      <c r="GF136" s="450">
        <v>0</v>
      </c>
      <c r="GG136" s="450">
        <v>0</v>
      </c>
      <c r="GH136" s="450">
        <v>0</v>
      </c>
      <c r="GI136" s="450">
        <v>0</v>
      </c>
      <c r="GJ136" s="450">
        <v>0</v>
      </c>
      <c r="GK136" s="450">
        <v>0</v>
      </c>
      <c r="GL136" s="450">
        <v>0</v>
      </c>
      <c r="GM136" s="450">
        <v>0</v>
      </c>
      <c r="GN136" s="450">
        <v>0</v>
      </c>
      <c r="GO136" s="450">
        <v>0</v>
      </c>
      <c r="GP136" s="450">
        <v>0</v>
      </c>
      <c r="GQ136" s="450">
        <v>0</v>
      </c>
      <c r="GR136" s="450">
        <v>0</v>
      </c>
      <c r="GS136" s="450">
        <v>0</v>
      </c>
      <c r="GT136" s="450">
        <v>0</v>
      </c>
      <c r="GU136" s="450">
        <v>0</v>
      </c>
      <c r="GV136" s="450">
        <v>0</v>
      </c>
      <c r="GW136" s="450">
        <v>120000</v>
      </c>
      <c r="GX136" s="450">
        <v>0</v>
      </c>
      <c r="GY136" s="450">
        <v>0</v>
      </c>
      <c r="GZ136" s="450">
        <v>0</v>
      </c>
      <c r="HA136" s="450" t="s">
        <v>888</v>
      </c>
      <c r="HB136" s="450" t="s">
        <v>888</v>
      </c>
      <c r="HC136" s="450">
        <v>0</v>
      </c>
      <c r="HD136" s="450">
        <v>0</v>
      </c>
      <c r="HE136" s="450">
        <v>0</v>
      </c>
      <c r="HF136" s="450">
        <v>0</v>
      </c>
      <c r="HG136" s="472">
        <v>0</v>
      </c>
    </row>
    <row r="137" spans="2:215" ht="12.75">
      <c r="B137" s="445" t="s">
        <v>818</v>
      </c>
      <c r="C137" s="446">
        <v>10462</v>
      </c>
      <c r="D137" s="447">
        <v>2468446</v>
      </c>
      <c r="E137" s="447">
        <v>2117926.668</v>
      </c>
      <c r="F137" s="447">
        <v>364285.7067791606</v>
      </c>
      <c r="G137" s="447">
        <v>350519.33200000005</v>
      </c>
      <c r="H137" s="448">
        <v>0.5118887402026381</v>
      </c>
      <c r="I137" s="449">
        <v>4678.73</v>
      </c>
      <c r="J137" s="449">
        <v>676.65</v>
      </c>
      <c r="K137" s="447">
        <v>2482212.3747791606</v>
      </c>
      <c r="L137" s="447">
        <v>1985769.8998233285</v>
      </c>
      <c r="M137" s="447">
        <v>721170.2437517912</v>
      </c>
      <c r="N137" s="447">
        <v>496442.474955832</v>
      </c>
      <c r="O137" s="450">
        <v>1.4526763525138597</v>
      </c>
      <c r="P137" s="451">
        <v>0.6517874211431849</v>
      </c>
      <c r="Q137" s="452">
        <v>0.3482125788568151</v>
      </c>
      <c r="R137" s="447">
        <v>2706940.14357512</v>
      </c>
      <c r="S137" s="447">
        <v>1829891.5370567811</v>
      </c>
      <c r="T137" s="447">
        <v>284967.3187366279</v>
      </c>
      <c r="U137" s="447">
        <v>670978.643870113</v>
      </c>
      <c r="V137" s="447">
        <v>617182.3527351273</v>
      </c>
      <c r="W137" s="450">
        <v>1.0871643378923264</v>
      </c>
      <c r="X137" s="452">
        <v>19.084627516559536</v>
      </c>
      <c r="Y137" s="447">
        <v>284967.3187366279</v>
      </c>
      <c r="Z137" s="447">
        <v>259866.2537832115</v>
      </c>
      <c r="AA137" s="448">
        <v>1.0965922453877235</v>
      </c>
      <c r="AB137" s="448">
        <v>0.0862645765627987</v>
      </c>
      <c r="AC137" s="449">
        <v>876</v>
      </c>
      <c r="AD137" s="449">
        <v>929</v>
      </c>
      <c r="AE137" s="447">
        <v>2785837.4996635215</v>
      </c>
      <c r="AF137" s="447">
        <v>543245.9928552774</v>
      </c>
      <c r="AG137" s="451">
        <v>1</v>
      </c>
      <c r="AH137" s="450">
        <v>0.5676553588339965</v>
      </c>
      <c r="AI137" s="452">
        <v>0.47802820801734924</v>
      </c>
      <c r="AJ137" s="447">
        <v>3329083.492518799</v>
      </c>
      <c r="AK137" s="453">
        <v>1.0168</v>
      </c>
      <c r="AL137" s="447">
        <v>3385012.0951931146</v>
      </c>
      <c r="AM137" s="447">
        <v>7963112.1070026085</v>
      </c>
      <c r="AN137" s="447">
        <v>7884514.614502374</v>
      </c>
      <c r="AO137" s="447">
        <v>7844127.908032978</v>
      </c>
      <c r="AP137" s="447">
        <v>7884514.614502374</v>
      </c>
      <c r="AQ137" s="447">
        <v>41848</v>
      </c>
      <c r="AR137" s="447">
        <v>7926362.614502374</v>
      </c>
      <c r="AS137" s="454">
        <v>757.6335896102441</v>
      </c>
      <c r="AT137" s="450">
        <v>10462</v>
      </c>
      <c r="AU137" s="450">
        <v>591</v>
      </c>
      <c r="AV137" s="450">
        <v>438</v>
      </c>
      <c r="AW137" s="450">
        <v>221</v>
      </c>
      <c r="AX137" s="450">
        <v>113</v>
      </c>
      <c r="AY137" s="450">
        <v>230</v>
      </c>
      <c r="AZ137" s="450">
        <v>621</v>
      </c>
      <c r="BA137" s="450">
        <v>1682</v>
      </c>
      <c r="BB137" s="450">
        <v>1180</v>
      </c>
      <c r="BC137" s="450">
        <v>191</v>
      </c>
      <c r="BD137" s="450">
        <v>1423</v>
      </c>
      <c r="BE137" s="450">
        <v>853</v>
      </c>
      <c r="BF137" s="450">
        <v>2790</v>
      </c>
      <c r="BG137" s="450">
        <v>129</v>
      </c>
      <c r="BH137" s="450">
        <v>0</v>
      </c>
      <c r="BI137" s="450">
        <v>0</v>
      </c>
      <c r="BJ137" s="452">
        <v>2.345419479314318</v>
      </c>
      <c r="BK137" s="452">
        <v>25.03958740598551</v>
      </c>
      <c r="BL137" s="452">
        <v>15.962174492079656</v>
      </c>
      <c r="BM137" s="452">
        <v>18.15482582781171</v>
      </c>
      <c r="BN137" s="449">
        <v>6819</v>
      </c>
      <c r="BO137" s="449">
        <v>3643</v>
      </c>
      <c r="BP137" s="447">
        <v>4642380.246766523</v>
      </c>
      <c r="BQ137" s="447">
        <v>11810622</v>
      </c>
      <c r="BR137" s="447">
        <v>15072378</v>
      </c>
      <c r="BS137" s="448">
        <v>0.0862645765627987</v>
      </c>
      <c r="BT137" s="449">
        <v>876</v>
      </c>
      <c r="BU137" s="449">
        <v>929</v>
      </c>
      <c r="BV137" s="447">
        <v>1300212.305964443</v>
      </c>
      <c r="BW137" s="448">
        <v>0.029541174832036048</v>
      </c>
      <c r="BX137" s="447">
        <v>122313.35846025748</v>
      </c>
      <c r="BY137" s="447">
        <v>17875527.911191225</v>
      </c>
      <c r="BZ137" s="455">
        <v>0.9333333333333332</v>
      </c>
      <c r="CA137" s="447">
        <v>16683826.050445141</v>
      </c>
      <c r="CB137" s="447">
        <v>12546689.420760695</v>
      </c>
      <c r="CC137" s="447">
        <v>12531333.270035733</v>
      </c>
      <c r="CD137" s="447">
        <v>12328736.256856613</v>
      </c>
      <c r="CE137" s="447">
        <v>12531333.270035733</v>
      </c>
      <c r="CF137" s="454">
        <v>1197.7951892597719</v>
      </c>
      <c r="CG137" s="450">
        <v>10462</v>
      </c>
      <c r="CH137" s="450">
        <v>591</v>
      </c>
      <c r="CI137" s="450">
        <v>438</v>
      </c>
      <c r="CJ137" s="450">
        <v>221</v>
      </c>
      <c r="CK137" s="450">
        <v>113</v>
      </c>
      <c r="CL137" s="450">
        <v>230</v>
      </c>
      <c r="CM137" s="450">
        <v>621</v>
      </c>
      <c r="CN137" s="450">
        <v>1682</v>
      </c>
      <c r="CO137" s="450">
        <v>1180</v>
      </c>
      <c r="CP137" s="450">
        <v>191</v>
      </c>
      <c r="CQ137" s="450">
        <v>1423</v>
      </c>
      <c r="CR137" s="450">
        <v>853</v>
      </c>
      <c r="CS137" s="450">
        <v>2790</v>
      </c>
      <c r="CT137" s="450">
        <v>129</v>
      </c>
      <c r="CU137" s="450">
        <v>0</v>
      </c>
      <c r="CV137" s="450">
        <v>0</v>
      </c>
      <c r="CW137" s="447">
        <v>8076598.412116381</v>
      </c>
      <c r="CX137" s="452">
        <v>0.9111324575965377</v>
      </c>
      <c r="CY137" s="452">
        <v>0.9333333333333332</v>
      </c>
      <c r="CZ137" s="447">
        <v>7358850.960251893</v>
      </c>
      <c r="DA137" s="454">
        <v>703.3885452353176</v>
      </c>
      <c r="DB137" s="449">
        <v>10462</v>
      </c>
      <c r="DC137" s="452">
        <v>1.0134295545784744</v>
      </c>
      <c r="DD137" s="454">
        <v>307.3</v>
      </c>
      <c r="DE137" s="447">
        <v>26785</v>
      </c>
      <c r="DF137" s="454">
        <v>46.455137984907346</v>
      </c>
      <c r="DG137" s="454">
        <v>48.45270891825836</v>
      </c>
      <c r="DH137" s="454">
        <v>49.51866851446003</v>
      </c>
      <c r="DI137" s="454">
        <v>50.60807922177814</v>
      </c>
      <c r="DJ137" s="454">
        <v>52.27814583609682</v>
      </c>
      <c r="DK137" s="454">
        <v>54.160159086196295</v>
      </c>
      <c r="DL137" s="454">
        <v>55.893284176954566</v>
      </c>
      <c r="DM137" s="454">
        <v>58.1849088282097</v>
      </c>
      <c r="DN137" s="454">
        <v>60.74504481665092</v>
      </c>
      <c r="DO137" s="454">
        <v>64.08602228156671</v>
      </c>
      <c r="DP137" s="454">
        <v>63.50924808103261</v>
      </c>
      <c r="DQ137" s="454">
        <v>66.74821973316527</v>
      </c>
      <c r="DR137" s="454">
        <v>70.81986113688835</v>
      </c>
      <c r="DS137" s="454">
        <v>36.7</v>
      </c>
      <c r="DT137" s="454">
        <v>38.708526851446</v>
      </c>
      <c r="DU137" s="454">
        <v>40.78766608435562</v>
      </c>
      <c r="DV137" s="454">
        <v>43.40171991150904</v>
      </c>
      <c r="DW137" s="454">
        <v>46.27789286516234</v>
      </c>
      <c r="DX137" s="454">
        <v>49.11453522686537</v>
      </c>
      <c r="DY137" s="454">
        <v>52.539566702575414</v>
      </c>
      <c r="DZ137" s="454">
        <v>55.506167324062304</v>
      </c>
      <c r="EA137" s="454">
        <v>57.20678305681854</v>
      </c>
      <c r="EB137" s="454">
        <v>58.91254939423402</v>
      </c>
      <c r="EC137" s="454">
        <v>62.88331547730502</v>
      </c>
      <c r="ED137" s="454">
        <v>67.74436357528757</v>
      </c>
      <c r="EE137" s="454">
        <v>-0.51</v>
      </c>
      <c r="EF137" s="454">
        <v>67.23436357528756</v>
      </c>
      <c r="EG137" s="454">
        <v>3496.186905914953</v>
      </c>
      <c r="EH137" s="447">
        <v>35845565.261488594</v>
      </c>
      <c r="EI137" s="454">
        <v>45.41</v>
      </c>
      <c r="EJ137" s="454">
        <v>46.719984851445986</v>
      </c>
      <c r="EK137" s="454">
        <v>48.065630596355604</v>
      </c>
      <c r="EL137" s="454">
        <v>49.98009008479302</v>
      </c>
      <c r="EM137" s="454">
        <v>52.119485579038525</v>
      </c>
      <c r="EN137" s="454">
        <v>54.138304960798884</v>
      </c>
      <c r="EO137" s="454">
        <v>56.72336213699525</v>
      </c>
      <c r="EP137" s="454">
        <v>59.3887294872039</v>
      </c>
      <c r="EQ137" s="454">
        <v>60.9094531730679</v>
      </c>
      <c r="ER137" s="454">
        <v>61.386668741585964</v>
      </c>
      <c r="ES137" s="454">
        <v>64.96355502455853</v>
      </c>
      <c r="ET137" s="454">
        <v>69.39971419501454</v>
      </c>
      <c r="EU137" s="447">
        <v>127827793</v>
      </c>
      <c r="EV137" s="447">
        <v>0</v>
      </c>
      <c r="EW137" s="447">
        <v>0</v>
      </c>
      <c r="EX137" s="447">
        <v>0</v>
      </c>
      <c r="EY137" s="447">
        <v>0</v>
      </c>
      <c r="EZ137" s="447">
        <v>0</v>
      </c>
      <c r="FA137" s="447">
        <v>429085</v>
      </c>
      <c r="FB137" s="447">
        <v>0</v>
      </c>
      <c r="FC137" s="447">
        <v>0</v>
      </c>
      <c r="FD137" s="447">
        <v>127398708</v>
      </c>
      <c r="FE137" s="447">
        <v>102799.3299152932</v>
      </c>
      <c r="FF137" s="447">
        <v>0</v>
      </c>
      <c r="FG137" s="447">
        <v>0</v>
      </c>
      <c r="FH137" s="447">
        <v>17815</v>
      </c>
      <c r="FI137" s="456">
        <v>0.0346</v>
      </c>
      <c r="FJ137" s="447">
        <v>616.399</v>
      </c>
      <c r="FK137" s="471">
        <v>616.399</v>
      </c>
      <c r="FL137" s="446">
        <v>66.76</v>
      </c>
      <c r="FM137" s="450">
        <v>64.37</v>
      </c>
      <c r="FN137" s="450">
        <v>63.86</v>
      </c>
      <c r="FO137" s="450">
        <v>-0.51</v>
      </c>
      <c r="FP137" s="472">
        <v>63.12</v>
      </c>
      <c r="FQ137" s="446">
        <v>18382924</v>
      </c>
      <c r="FR137" s="450">
        <v>603128</v>
      </c>
      <c r="FS137" s="450">
        <v>0</v>
      </c>
      <c r="FT137" s="450">
        <v>0</v>
      </c>
      <c r="FU137" s="450">
        <v>0</v>
      </c>
      <c r="FV137" s="450">
        <v>0</v>
      </c>
      <c r="FW137" s="450">
        <v>0</v>
      </c>
      <c r="FX137" s="450">
        <v>0</v>
      </c>
      <c r="FY137" s="450">
        <v>0</v>
      </c>
      <c r="FZ137" s="450">
        <v>0</v>
      </c>
      <c r="GA137" s="450">
        <v>0</v>
      </c>
      <c r="GB137" s="450">
        <v>0</v>
      </c>
      <c r="GC137" s="450">
        <v>0</v>
      </c>
      <c r="GD137" s="450">
        <v>0</v>
      </c>
      <c r="GE137" s="450">
        <v>0</v>
      </c>
      <c r="GF137" s="450">
        <v>0</v>
      </c>
      <c r="GG137" s="450">
        <v>0</v>
      </c>
      <c r="GH137" s="450">
        <v>0</v>
      </c>
      <c r="GI137" s="450">
        <v>0</v>
      </c>
      <c r="GJ137" s="450">
        <v>0</v>
      </c>
      <c r="GK137" s="450">
        <v>0</v>
      </c>
      <c r="GL137" s="450">
        <v>0</v>
      </c>
      <c r="GM137" s="450">
        <v>0</v>
      </c>
      <c r="GN137" s="450">
        <v>0</v>
      </c>
      <c r="GO137" s="450">
        <v>0</v>
      </c>
      <c r="GP137" s="450">
        <v>0</v>
      </c>
      <c r="GQ137" s="450">
        <v>0</v>
      </c>
      <c r="GR137" s="450">
        <v>0</v>
      </c>
      <c r="GS137" s="450">
        <v>0</v>
      </c>
      <c r="GT137" s="450">
        <v>0</v>
      </c>
      <c r="GU137" s="450">
        <v>0</v>
      </c>
      <c r="GV137" s="450">
        <v>0</v>
      </c>
      <c r="GW137" s="450">
        <v>4235377</v>
      </c>
      <c r="GX137" s="450">
        <v>97481347</v>
      </c>
      <c r="GY137" s="450">
        <v>114831347</v>
      </c>
      <c r="GZ137" s="450">
        <v>117</v>
      </c>
      <c r="HA137" s="450" t="s">
        <v>888</v>
      </c>
      <c r="HB137" s="450" t="s">
        <v>888</v>
      </c>
      <c r="HC137" s="450">
        <v>385</v>
      </c>
      <c r="HD137" s="450">
        <v>156</v>
      </c>
      <c r="HE137" s="450">
        <v>258</v>
      </c>
      <c r="HF137" s="450">
        <v>59</v>
      </c>
      <c r="HG137" s="472">
        <v>183</v>
      </c>
    </row>
    <row r="138" spans="2:215" ht="12.75">
      <c r="B138" s="445" t="s">
        <v>819</v>
      </c>
      <c r="C138" s="446">
        <v>30075</v>
      </c>
      <c r="D138" s="447">
        <v>7038275</v>
      </c>
      <c r="E138" s="447">
        <v>6038839.95</v>
      </c>
      <c r="F138" s="447">
        <v>867565.4978659061</v>
      </c>
      <c r="G138" s="447">
        <v>999435.05</v>
      </c>
      <c r="H138" s="448">
        <v>0.4275561097256858</v>
      </c>
      <c r="I138" s="449">
        <v>10479.75</v>
      </c>
      <c r="J138" s="449">
        <v>2379</v>
      </c>
      <c r="K138" s="447">
        <v>6906405.447865906</v>
      </c>
      <c r="L138" s="447">
        <v>5525124.358292725</v>
      </c>
      <c r="M138" s="447">
        <v>1681842.3433183117</v>
      </c>
      <c r="N138" s="447">
        <v>1381281.089573181</v>
      </c>
      <c r="O138" s="450">
        <v>1.2175960099750622</v>
      </c>
      <c r="P138" s="451">
        <v>0.8326184538653366</v>
      </c>
      <c r="Q138" s="452">
        <v>0.16738154613466333</v>
      </c>
      <c r="R138" s="447">
        <v>7206966.701611036</v>
      </c>
      <c r="S138" s="447">
        <v>4871909.490289061</v>
      </c>
      <c r="T138" s="447">
        <v>738108.3843755943</v>
      </c>
      <c r="U138" s="447">
        <v>1448714.2633837766</v>
      </c>
      <c r="V138" s="447">
        <v>1643188.4079673165</v>
      </c>
      <c r="W138" s="450">
        <v>0.881648298125404</v>
      </c>
      <c r="X138" s="452">
        <v>15.476895979638385</v>
      </c>
      <c r="Y138" s="447">
        <v>738108.3843755943</v>
      </c>
      <c r="Z138" s="447">
        <v>691868.8033546595</v>
      </c>
      <c r="AA138" s="448">
        <v>1.0668328746674707</v>
      </c>
      <c r="AB138" s="448">
        <v>0.08392352452202827</v>
      </c>
      <c r="AC138" s="449">
        <v>2520</v>
      </c>
      <c r="AD138" s="449">
        <v>2528</v>
      </c>
      <c r="AE138" s="447">
        <v>7058732.138048433</v>
      </c>
      <c r="AF138" s="447">
        <v>1793639.6752227452</v>
      </c>
      <c r="AG138" s="451">
        <v>1</v>
      </c>
      <c r="AH138" s="450">
        <v>0.6684822476370056</v>
      </c>
      <c r="AI138" s="452">
        <v>0.5629355311393738</v>
      </c>
      <c r="AJ138" s="447">
        <v>8852371.813271178</v>
      </c>
      <c r="AK138" s="453">
        <v>1.0076</v>
      </c>
      <c r="AL138" s="447">
        <v>8919649.83905204</v>
      </c>
      <c r="AM138" s="447">
        <v>20983136.729243215</v>
      </c>
      <c r="AN138" s="447">
        <v>20776029.016888168</v>
      </c>
      <c r="AO138" s="447">
        <v>19949978.290887244</v>
      </c>
      <c r="AP138" s="447">
        <v>20776029.016888168</v>
      </c>
      <c r="AQ138" s="447">
        <v>120300</v>
      </c>
      <c r="AR138" s="447">
        <v>20896329.016888168</v>
      </c>
      <c r="AS138" s="454">
        <v>694.8072823570463</v>
      </c>
      <c r="AT138" s="450">
        <v>30075</v>
      </c>
      <c r="AU138" s="450">
        <v>436</v>
      </c>
      <c r="AV138" s="450">
        <v>5037</v>
      </c>
      <c r="AW138" s="450">
        <v>4231</v>
      </c>
      <c r="AX138" s="450">
        <v>43</v>
      </c>
      <c r="AY138" s="450">
        <v>3922</v>
      </c>
      <c r="AZ138" s="450">
        <v>1502</v>
      </c>
      <c r="BA138" s="450">
        <v>1096</v>
      </c>
      <c r="BB138" s="450">
        <v>509</v>
      </c>
      <c r="BC138" s="450">
        <v>274</v>
      </c>
      <c r="BD138" s="450">
        <v>6467</v>
      </c>
      <c r="BE138" s="450">
        <v>2046</v>
      </c>
      <c r="BF138" s="450">
        <v>2988</v>
      </c>
      <c r="BG138" s="450">
        <v>1524</v>
      </c>
      <c r="BH138" s="450">
        <v>0</v>
      </c>
      <c r="BI138" s="450">
        <v>0</v>
      </c>
      <c r="BJ138" s="452">
        <v>1.7514722194168297</v>
      </c>
      <c r="BK138" s="452">
        <v>18.326325617809236</v>
      </c>
      <c r="BL138" s="452">
        <v>10.24986906629484</v>
      </c>
      <c r="BM138" s="452">
        <v>16.15291310302879</v>
      </c>
      <c r="BN138" s="449">
        <v>25041</v>
      </c>
      <c r="BO138" s="449">
        <v>5034</v>
      </c>
      <c r="BP138" s="447">
        <v>11071607.612682898</v>
      </c>
      <c r="BQ138" s="447">
        <v>32740798</v>
      </c>
      <c r="BR138" s="447">
        <v>43139931</v>
      </c>
      <c r="BS138" s="448">
        <v>0.08392352452202827</v>
      </c>
      <c r="BT138" s="449">
        <v>2520</v>
      </c>
      <c r="BU138" s="449">
        <v>2528</v>
      </c>
      <c r="BV138" s="447">
        <v>3620455.0571571076</v>
      </c>
      <c r="BW138" s="448">
        <v>0.012645532459235631</v>
      </c>
      <c r="BX138" s="447">
        <v>110159.61248943869</v>
      </c>
      <c r="BY138" s="447">
        <v>47543020.28232944</v>
      </c>
      <c r="BZ138" s="455">
        <v>0.9533333333333333</v>
      </c>
      <c r="CA138" s="447">
        <v>45324346.0024874</v>
      </c>
      <c r="CB138" s="447">
        <v>34085136.75297719</v>
      </c>
      <c r="CC138" s="447">
        <v>34043419.25444777</v>
      </c>
      <c r="CD138" s="447">
        <v>32303694.19937085</v>
      </c>
      <c r="CE138" s="447">
        <v>34043419.25444777</v>
      </c>
      <c r="CF138" s="454">
        <v>1131.950764902669</v>
      </c>
      <c r="CG138" s="450">
        <v>29001</v>
      </c>
      <c r="CH138" s="450">
        <v>436</v>
      </c>
      <c r="CI138" s="450">
        <v>5027</v>
      </c>
      <c r="CJ138" s="450">
        <v>4178</v>
      </c>
      <c r="CK138" s="450">
        <v>32</v>
      </c>
      <c r="CL138" s="450">
        <v>3521</v>
      </c>
      <c r="CM138" s="450">
        <v>1502</v>
      </c>
      <c r="CN138" s="450">
        <v>957</v>
      </c>
      <c r="CO138" s="450">
        <v>460</v>
      </c>
      <c r="CP138" s="450">
        <v>274</v>
      </c>
      <c r="CQ138" s="450">
        <v>6181</v>
      </c>
      <c r="CR138" s="450">
        <v>2046</v>
      </c>
      <c r="CS138" s="450">
        <v>2953</v>
      </c>
      <c r="CT138" s="450">
        <v>1434</v>
      </c>
      <c r="CU138" s="450">
        <v>0</v>
      </c>
      <c r="CV138" s="450">
        <v>0</v>
      </c>
      <c r="CW138" s="447">
        <v>20774225.388951827</v>
      </c>
      <c r="CX138" s="452">
        <v>0.930656724545035</v>
      </c>
      <c r="CY138" s="452">
        <v>0.9533333333333333</v>
      </c>
      <c r="CZ138" s="447">
        <v>19333672.555442214</v>
      </c>
      <c r="DA138" s="454">
        <v>666.6553758643569</v>
      </c>
      <c r="DB138" s="449">
        <v>30075</v>
      </c>
      <c r="DC138" s="452">
        <v>1.0233682460515379</v>
      </c>
      <c r="DD138" s="454">
        <v>320.6</v>
      </c>
      <c r="DE138" s="447">
        <v>32634</v>
      </c>
      <c r="DF138" s="454">
        <v>50.39540986798387</v>
      </c>
      <c r="DG138" s="454">
        <v>52.562412492307175</v>
      </c>
      <c r="DH138" s="454">
        <v>53.71878556713792</v>
      </c>
      <c r="DI138" s="454">
        <v>54.900598849614944</v>
      </c>
      <c r="DJ138" s="454">
        <v>56.712318611652236</v>
      </c>
      <c r="DK138" s="454">
        <v>58.75396208167171</v>
      </c>
      <c r="DL138" s="454">
        <v>60.63408886828519</v>
      </c>
      <c r="DM138" s="454">
        <v>63.12008651188488</v>
      </c>
      <c r="DN138" s="454">
        <v>65.8973703184078</v>
      </c>
      <c r="DO138" s="454">
        <v>69.52172568592022</v>
      </c>
      <c r="DP138" s="454">
        <v>68.89603015474694</v>
      </c>
      <c r="DQ138" s="454">
        <v>72.40972769263902</v>
      </c>
      <c r="DR138" s="454">
        <v>76.82672108189</v>
      </c>
      <c r="DS138" s="454">
        <v>38.18</v>
      </c>
      <c r="DT138" s="454">
        <v>40.48984255671378</v>
      </c>
      <c r="DU138" s="454">
        <v>42.88283906592297</v>
      </c>
      <c r="DV138" s="454">
        <v>45.84976598716766</v>
      </c>
      <c r="DW138" s="454">
        <v>49.1080153511294</v>
      </c>
      <c r="DX138" s="454">
        <v>52.33857468001881</v>
      </c>
      <c r="DY138" s="454">
        <v>56.21158229589664</v>
      </c>
      <c r="DZ138" s="454">
        <v>59.486278405970715</v>
      </c>
      <c r="EA138" s="454">
        <v>61.36486255222209</v>
      </c>
      <c r="EB138" s="454">
        <v>63.44562483664455</v>
      </c>
      <c r="EC138" s="454">
        <v>67.82702690117853</v>
      </c>
      <c r="ED138" s="454">
        <v>73.18003692708531</v>
      </c>
      <c r="EE138" s="454">
        <v>-0.74</v>
      </c>
      <c r="EF138" s="454">
        <v>72.44003692708532</v>
      </c>
      <c r="EG138" s="454">
        <v>3766.8819202084364</v>
      </c>
      <c r="EH138" s="447">
        <v>111023194.27526335</v>
      </c>
      <c r="EI138" s="454">
        <v>48.86</v>
      </c>
      <c r="EJ138" s="454">
        <v>50.31330655671378</v>
      </c>
      <c r="EK138" s="454">
        <v>51.806910361922974</v>
      </c>
      <c r="EL138" s="454">
        <v>53.91601092983965</v>
      </c>
      <c r="EM138" s="454">
        <v>56.27084086022213</v>
      </c>
      <c r="EN138" s="454">
        <v>58.49860461783855</v>
      </c>
      <c r="EO138" s="454">
        <v>61.34165522811292</v>
      </c>
      <c r="EP138" s="454">
        <v>64.24698608706743</v>
      </c>
      <c r="EQ138" s="454">
        <v>65.90499077742798</v>
      </c>
      <c r="ER138" s="454">
        <v>66.47933260125062</v>
      </c>
      <c r="ES138" s="454">
        <v>70.37776838965932</v>
      </c>
      <c r="ET138" s="454">
        <v>75.2097894665439</v>
      </c>
      <c r="EU138" s="447">
        <v>478829957</v>
      </c>
      <c r="EV138" s="447">
        <v>0</v>
      </c>
      <c r="EW138" s="447">
        <v>0</v>
      </c>
      <c r="EX138" s="447">
        <v>0</v>
      </c>
      <c r="EY138" s="447">
        <v>0</v>
      </c>
      <c r="EZ138" s="447">
        <v>0</v>
      </c>
      <c r="FA138" s="447">
        <v>0</v>
      </c>
      <c r="FB138" s="447">
        <v>0</v>
      </c>
      <c r="FC138" s="447">
        <v>0</v>
      </c>
      <c r="FD138" s="447">
        <v>478829957</v>
      </c>
      <c r="FE138" s="447">
        <v>274590.99993949616</v>
      </c>
      <c r="FF138" s="447">
        <v>0</v>
      </c>
      <c r="FG138" s="447">
        <v>0</v>
      </c>
      <c r="FH138" s="447">
        <v>75000</v>
      </c>
      <c r="FI138" s="456">
        <v>0.060700000000000004</v>
      </c>
      <c r="FJ138" s="447">
        <v>4552.5</v>
      </c>
      <c r="FK138" s="471">
        <v>4552.5</v>
      </c>
      <c r="FL138" s="446">
        <v>72.41</v>
      </c>
      <c r="FM138" s="450">
        <v>70.39</v>
      </c>
      <c r="FN138" s="450">
        <v>69.65</v>
      </c>
      <c r="FO138" s="450">
        <v>-0.74</v>
      </c>
      <c r="FP138" s="472">
        <v>68.65</v>
      </c>
      <c r="FQ138" s="446">
        <v>0</v>
      </c>
      <c r="FR138" s="450">
        <v>29537</v>
      </c>
      <c r="FS138" s="450">
        <v>0</v>
      </c>
      <c r="FT138" s="450">
        <v>0</v>
      </c>
      <c r="FU138" s="450">
        <v>0</v>
      </c>
      <c r="FV138" s="450">
        <v>0</v>
      </c>
      <c r="FW138" s="450">
        <v>0</v>
      </c>
      <c r="FX138" s="450">
        <v>0</v>
      </c>
      <c r="FY138" s="450">
        <v>0</v>
      </c>
      <c r="FZ138" s="450">
        <v>0</v>
      </c>
      <c r="GA138" s="450">
        <v>0</v>
      </c>
      <c r="GB138" s="450">
        <v>0</v>
      </c>
      <c r="GC138" s="450">
        <v>0</v>
      </c>
      <c r="GD138" s="450">
        <v>0</v>
      </c>
      <c r="GE138" s="450">
        <v>0</v>
      </c>
      <c r="GF138" s="450">
        <v>0</v>
      </c>
      <c r="GG138" s="450">
        <v>0</v>
      </c>
      <c r="GH138" s="450">
        <v>0</v>
      </c>
      <c r="GI138" s="450">
        <v>0</v>
      </c>
      <c r="GJ138" s="450">
        <v>0</v>
      </c>
      <c r="GK138" s="450">
        <v>0</v>
      </c>
      <c r="GL138" s="450">
        <v>0</v>
      </c>
      <c r="GM138" s="450">
        <v>0</v>
      </c>
      <c r="GN138" s="450">
        <v>0</v>
      </c>
      <c r="GO138" s="450">
        <v>0</v>
      </c>
      <c r="GP138" s="450">
        <v>0</v>
      </c>
      <c r="GQ138" s="450">
        <v>0</v>
      </c>
      <c r="GR138" s="450">
        <v>0</v>
      </c>
      <c r="GS138" s="450">
        <v>0</v>
      </c>
      <c r="GT138" s="450">
        <v>0</v>
      </c>
      <c r="GU138" s="450">
        <v>0</v>
      </c>
      <c r="GV138" s="450">
        <v>0</v>
      </c>
      <c r="GW138" s="450">
        <v>2977524</v>
      </c>
      <c r="GX138" s="450">
        <v>424206346</v>
      </c>
      <c r="GY138" s="450">
        <v>425849346</v>
      </c>
      <c r="GZ138" s="450">
        <v>7</v>
      </c>
      <c r="HA138" s="450" t="s">
        <v>888</v>
      </c>
      <c r="HB138" s="450" t="s">
        <v>888</v>
      </c>
      <c r="HC138" s="450">
        <v>0</v>
      </c>
      <c r="HD138" s="450">
        <v>0</v>
      </c>
      <c r="HE138" s="450">
        <v>0</v>
      </c>
      <c r="HF138" s="450">
        <v>0</v>
      </c>
      <c r="HG138" s="472">
        <v>0</v>
      </c>
    </row>
    <row r="139" spans="2:215" ht="12.75">
      <c r="B139" s="445" t="s">
        <v>820</v>
      </c>
      <c r="C139" s="446">
        <v>4112.5</v>
      </c>
      <c r="D139" s="447">
        <v>989012.5</v>
      </c>
      <c r="E139" s="447">
        <v>848572.725</v>
      </c>
      <c r="F139" s="447">
        <v>113467.30127168493</v>
      </c>
      <c r="G139" s="447">
        <v>140439.77500000002</v>
      </c>
      <c r="H139" s="448">
        <v>0.39794772036474163</v>
      </c>
      <c r="I139" s="449">
        <v>1290.5</v>
      </c>
      <c r="J139" s="449">
        <v>346.06</v>
      </c>
      <c r="K139" s="447">
        <v>962040.0262716849</v>
      </c>
      <c r="L139" s="447">
        <v>769632.0210173479</v>
      </c>
      <c r="M139" s="447">
        <v>240190.6911549459</v>
      </c>
      <c r="N139" s="447">
        <v>192408.00525433695</v>
      </c>
      <c r="O139" s="450">
        <v>1.2483404255319148</v>
      </c>
      <c r="P139" s="451">
        <v>0.8087537993920972</v>
      </c>
      <c r="Q139" s="452">
        <v>0.19112462006079028</v>
      </c>
      <c r="R139" s="447">
        <v>1009822.7121722938</v>
      </c>
      <c r="S139" s="447">
        <v>682640.1534284706</v>
      </c>
      <c r="T139" s="447">
        <v>100834.27973932373</v>
      </c>
      <c r="U139" s="447">
        <v>174267.57352128017</v>
      </c>
      <c r="V139" s="447">
        <v>230239.578375283</v>
      </c>
      <c r="W139" s="450">
        <v>0.7568966845362691</v>
      </c>
      <c r="X139" s="452">
        <v>13.286943647266895</v>
      </c>
      <c r="Y139" s="447">
        <v>100834.27973932373</v>
      </c>
      <c r="Z139" s="447">
        <v>96942.9803685402</v>
      </c>
      <c r="AA139" s="448">
        <v>1.040140083954406</v>
      </c>
      <c r="AB139" s="448">
        <v>0.08182370820668693</v>
      </c>
      <c r="AC139" s="449">
        <v>340</v>
      </c>
      <c r="AD139" s="449">
        <v>333</v>
      </c>
      <c r="AE139" s="447">
        <v>957742.0066890746</v>
      </c>
      <c r="AF139" s="447">
        <v>0</v>
      </c>
      <c r="AG139" s="451">
        <v>0</v>
      </c>
      <c r="AH139" s="450">
        <v>0.12142855878926351</v>
      </c>
      <c r="AI139" s="452">
        <v>0.10225619375705719</v>
      </c>
      <c r="AJ139" s="447">
        <v>957742.0066890746</v>
      </c>
      <c r="AK139" s="453">
        <v>1</v>
      </c>
      <c r="AL139" s="447">
        <v>957742.0066890746</v>
      </c>
      <c r="AM139" s="447">
        <v>2253051.615289914</v>
      </c>
      <c r="AN139" s="447">
        <v>2230813.549938597</v>
      </c>
      <c r="AO139" s="447">
        <v>2121207.250114965</v>
      </c>
      <c r="AP139" s="447">
        <v>2230813.549938597</v>
      </c>
      <c r="AQ139" s="447">
        <v>16450</v>
      </c>
      <c r="AR139" s="447">
        <v>2247263.549938597</v>
      </c>
      <c r="AS139" s="454">
        <v>546.4470638148564</v>
      </c>
      <c r="AT139" s="450">
        <v>4073</v>
      </c>
      <c r="AU139" s="450">
        <v>227</v>
      </c>
      <c r="AV139" s="450">
        <v>212</v>
      </c>
      <c r="AW139" s="450">
        <v>194</v>
      </c>
      <c r="AX139" s="450">
        <v>70</v>
      </c>
      <c r="AY139" s="450">
        <v>582</v>
      </c>
      <c r="AZ139" s="450">
        <v>82</v>
      </c>
      <c r="BA139" s="450">
        <v>52</v>
      </c>
      <c r="BB139" s="450">
        <v>546</v>
      </c>
      <c r="BC139" s="450">
        <v>27</v>
      </c>
      <c r="BD139" s="450">
        <v>637</v>
      </c>
      <c r="BE139" s="450">
        <v>725</v>
      </c>
      <c r="BF139" s="450">
        <v>61</v>
      </c>
      <c r="BG139" s="450">
        <v>658</v>
      </c>
      <c r="BH139" s="450">
        <v>0</v>
      </c>
      <c r="BI139" s="450">
        <v>0</v>
      </c>
      <c r="BJ139" s="452">
        <v>1.376671832466684</v>
      </c>
      <c r="BK139" s="452">
        <v>8.799403369300844</v>
      </c>
      <c r="BL139" s="452">
        <v>6.1106098304833365</v>
      </c>
      <c r="BM139" s="452">
        <v>5.377587077635013</v>
      </c>
      <c r="BN139" s="449">
        <v>3287</v>
      </c>
      <c r="BO139" s="449">
        <v>786</v>
      </c>
      <c r="BP139" s="447">
        <v>1160092.443111193</v>
      </c>
      <c r="BQ139" s="447">
        <v>4435886</v>
      </c>
      <c r="BR139" s="447">
        <v>5566803</v>
      </c>
      <c r="BS139" s="448">
        <v>0.08261723545298306</v>
      </c>
      <c r="BT139" s="449">
        <v>340</v>
      </c>
      <c r="BU139" s="449">
        <v>333</v>
      </c>
      <c r="BV139" s="447">
        <v>459913.8741713725</v>
      </c>
      <c r="BW139" s="448">
        <v>0.008515975604724106</v>
      </c>
      <c r="BX139" s="447">
        <v>4823.988782938605</v>
      </c>
      <c r="BY139" s="447">
        <v>6060716.3060655035</v>
      </c>
      <c r="BZ139" s="455">
        <v>1.0033333333333332</v>
      </c>
      <c r="CA139" s="447">
        <v>6080918.693752388</v>
      </c>
      <c r="CB139" s="447">
        <v>4573015.686732924</v>
      </c>
      <c r="CC139" s="447">
        <v>4567418.678964731</v>
      </c>
      <c r="CD139" s="447">
        <v>4396696.984838219</v>
      </c>
      <c r="CE139" s="447">
        <v>4567418.678964731</v>
      </c>
      <c r="CF139" s="454">
        <v>1121.3893147470492</v>
      </c>
      <c r="CG139" s="450">
        <v>4073</v>
      </c>
      <c r="CH139" s="450">
        <v>227</v>
      </c>
      <c r="CI139" s="450">
        <v>212</v>
      </c>
      <c r="CJ139" s="450">
        <v>194</v>
      </c>
      <c r="CK139" s="450">
        <v>70</v>
      </c>
      <c r="CL139" s="450">
        <v>582</v>
      </c>
      <c r="CM139" s="450">
        <v>82</v>
      </c>
      <c r="CN139" s="450">
        <v>52</v>
      </c>
      <c r="CO139" s="450">
        <v>546</v>
      </c>
      <c r="CP139" s="450">
        <v>27</v>
      </c>
      <c r="CQ139" s="450">
        <v>637</v>
      </c>
      <c r="CR139" s="450">
        <v>725</v>
      </c>
      <c r="CS139" s="450">
        <v>61</v>
      </c>
      <c r="CT139" s="450">
        <v>658</v>
      </c>
      <c r="CU139" s="450">
        <v>0</v>
      </c>
      <c r="CV139" s="450">
        <v>0</v>
      </c>
      <c r="CW139" s="447">
        <v>2926046.2850008374</v>
      </c>
      <c r="CX139" s="452">
        <v>0.9794673919162781</v>
      </c>
      <c r="CY139" s="452">
        <v>1.0033333333333332</v>
      </c>
      <c r="CZ139" s="447">
        <v>2865966.923396085</v>
      </c>
      <c r="DA139" s="454">
        <v>703.6501162278628</v>
      </c>
      <c r="DB139" s="449">
        <v>4112.5</v>
      </c>
      <c r="DC139" s="452">
        <v>1.0083525835866263</v>
      </c>
      <c r="DD139" s="454">
        <v>299.7</v>
      </c>
      <c r="DE139" s="447">
        <v>34874</v>
      </c>
      <c r="DF139" s="454">
        <v>48.00479598641377</v>
      </c>
      <c r="DG139" s="454">
        <v>50.069002213829556</v>
      </c>
      <c r="DH139" s="454">
        <v>51.1705202625338</v>
      </c>
      <c r="DI139" s="454">
        <v>52.29627170830953</v>
      </c>
      <c r="DJ139" s="454">
        <v>54.022048674683745</v>
      </c>
      <c r="DK139" s="454">
        <v>55.96684242697235</v>
      </c>
      <c r="DL139" s="454">
        <v>57.75778138463545</v>
      </c>
      <c r="DM139" s="454">
        <v>60.1258504214055</v>
      </c>
      <c r="DN139" s="454">
        <v>62.77138783994733</v>
      </c>
      <c r="DO139" s="454">
        <v>66.22381417114443</v>
      </c>
      <c r="DP139" s="454">
        <v>65.62779984360412</v>
      </c>
      <c r="DQ139" s="454">
        <v>68.97481763562793</v>
      </c>
      <c r="DR139" s="454">
        <v>73.18228151140123</v>
      </c>
      <c r="DS139" s="454">
        <v>38.43</v>
      </c>
      <c r="DT139" s="454">
        <v>40.46496602625338</v>
      </c>
      <c r="DU139" s="454">
        <v>42.5708704376619</v>
      </c>
      <c r="DV139" s="454">
        <v>45.231501601177115</v>
      </c>
      <c r="DW139" s="454">
        <v>48.160836625698465</v>
      </c>
      <c r="DX139" s="454">
        <v>51.04461639553992</v>
      </c>
      <c r="DY139" s="454">
        <v>54.53512661848674</v>
      </c>
      <c r="DZ139" s="454">
        <v>57.583196150838724</v>
      </c>
      <c r="EA139" s="454">
        <v>59.33009567392616</v>
      </c>
      <c r="EB139" s="454">
        <v>61.02142612580653</v>
      </c>
      <c r="EC139" s="454">
        <v>65.10177861370371</v>
      </c>
      <c r="ED139" s="454">
        <v>70.10031070970503</v>
      </c>
      <c r="EE139" s="454">
        <v>-0.5</v>
      </c>
      <c r="EF139" s="454">
        <v>69.60031070970503</v>
      </c>
      <c r="EG139" s="454">
        <v>3619.2161569046616</v>
      </c>
      <c r="EH139" s="447">
        <v>14586345.916365013</v>
      </c>
      <c r="EI139" s="454">
        <v>48.78</v>
      </c>
      <c r="EJ139" s="454">
        <v>49.98489602625337</v>
      </c>
      <c r="EK139" s="454">
        <v>51.21919795766188</v>
      </c>
      <c r="EL139" s="454">
        <v>53.0485086383171</v>
      </c>
      <c r="EM139" s="454">
        <v>55.10233887467877</v>
      </c>
      <c r="EN139" s="454">
        <v>57.01430832966298</v>
      </c>
      <c r="EO139" s="454">
        <v>59.50668606122443</v>
      </c>
      <c r="EP139" s="454">
        <v>62.1968033136993</v>
      </c>
      <c r="EQ139" s="454">
        <v>63.72993903824086</v>
      </c>
      <c r="ER139" s="454">
        <v>63.961395729146666</v>
      </c>
      <c r="ES139" s="454">
        <v>67.5737050561921</v>
      </c>
      <c r="ET139" s="454">
        <v>72.06734617631517</v>
      </c>
      <c r="EU139" s="447">
        <v>14129433</v>
      </c>
      <c r="EV139" s="447">
        <v>0</v>
      </c>
      <c r="EW139" s="447">
        <v>0</v>
      </c>
      <c r="EX139" s="447">
        <v>0</v>
      </c>
      <c r="EY139" s="447">
        <v>0</v>
      </c>
      <c r="EZ139" s="447">
        <v>0</v>
      </c>
      <c r="FA139" s="447">
        <v>0</v>
      </c>
      <c r="FB139" s="447">
        <v>0</v>
      </c>
      <c r="FC139" s="447">
        <v>0</v>
      </c>
      <c r="FD139" s="447">
        <v>14129433</v>
      </c>
      <c r="FE139" s="447">
        <v>47429.41625493824</v>
      </c>
      <c r="FF139" s="447">
        <v>0</v>
      </c>
      <c r="FG139" s="447">
        <v>0</v>
      </c>
      <c r="FH139" s="447">
        <v>1271</v>
      </c>
      <c r="FI139" s="456">
        <v>0.0481</v>
      </c>
      <c r="FJ139" s="447">
        <v>61.135099999999994</v>
      </c>
      <c r="FK139" s="471">
        <v>61.135099999999994</v>
      </c>
      <c r="FL139" s="446">
        <v>68.87</v>
      </c>
      <c r="FM139" s="450">
        <v>66.8</v>
      </c>
      <c r="FN139" s="450">
        <v>66.3</v>
      </c>
      <c r="FO139" s="450">
        <v>-0.5</v>
      </c>
      <c r="FP139" s="472">
        <v>61.88</v>
      </c>
      <c r="FQ139" s="446">
        <v>0</v>
      </c>
      <c r="FR139" s="450">
        <v>0</v>
      </c>
      <c r="FS139" s="450">
        <v>0</v>
      </c>
      <c r="FT139" s="450">
        <v>0</v>
      </c>
      <c r="FU139" s="450">
        <v>0</v>
      </c>
      <c r="FV139" s="450">
        <v>0</v>
      </c>
      <c r="FW139" s="450">
        <v>0</v>
      </c>
      <c r="FX139" s="450">
        <v>0</v>
      </c>
      <c r="FY139" s="450">
        <v>0</v>
      </c>
      <c r="FZ139" s="450">
        <v>0</v>
      </c>
      <c r="GA139" s="450">
        <v>0</v>
      </c>
      <c r="GB139" s="450">
        <v>0</v>
      </c>
      <c r="GC139" s="450">
        <v>0</v>
      </c>
      <c r="GD139" s="450">
        <v>0</v>
      </c>
      <c r="GE139" s="450">
        <v>0</v>
      </c>
      <c r="GF139" s="450">
        <v>0</v>
      </c>
      <c r="GG139" s="450">
        <v>0</v>
      </c>
      <c r="GH139" s="450">
        <v>0</v>
      </c>
      <c r="GI139" s="450">
        <v>0</v>
      </c>
      <c r="GJ139" s="450">
        <v>0</v>
      </c>
      <c r="GK139" s="450">
        <v>0</v>
      </c>
      <c r="GL139" s="450">
        <v>0</v>
      </c>
      <c r="GM139" s="450">
        <v>0</v>
      </c>
      <c r="GN139" s="450">
        <v>0</v>
      </c>
      <c r="GO139" s="450">
        <v>0</v>
      </c>
      <c r="GP139" s="450">
        <v>0</v>
      </c>
      <c r="GQ139" s="450">
        <v>0</v>
      </c>
      <c r="GR139" s="450">
        <v>0</v>
      </c>
      <c r="GS139" s="450">
        <v>0</v>
      </c>
      <c r="GT139" s="450">
        <v>0</v>
      </c>
      <c r="GU139" s="450">
        <v>0</v>
      </c>
      <c r="GV139" s="450">
        <v>0</v>
      </c>
      <c r="GW139" s="450">
        <v>0</v>
      </c>
      <c r="GX139" s="450">
        <v>2585339</v>
      </c>
      <c r="GY139" s="450">
        <v>8480539</v>
      </c>
      <c r="GZ139" s="450">
        <v>0</v>
      </c>
      <c r="HA139" s="450" t="s">
        <v>888</v>
      </c>
      <c r="HB139" s="450" t="s">
        <v>888</v>
      </c>
      <c r="HC139" s="450">
        <v>0</v>
      </c>
      <c r="HD139" s="450">
        <v>0</v>
      </c>
      <c r="HE139" s="450">
        <v>0</v>
      </c>
      <c r="HF139" s="450">
        <v>0</v>
      </c>
      <c r="HG139" s="472">
        <v>0</v>
      </c>
    </row>
    <row r="140" spans="2:215" ht="12.75">
      <c r="B140" s="445" t="s">
        <v>821</v>
      </c>
      <c r="C140" s="446">
        <v>3169</v>
      </c>
      <c r="D140" s="447">
        <v>769177</v>
      </c>
      <c r="E140" s="447">
        <v>659953.866</v>
      </c>
      <c r="F140" s="447">
        <v>61109.04000132719</v>
      </c>
      <c r="G140" s="447">
        <v>109223.134</v>
      </c>
      <c r="H140" s="448">
        <v>0.27557273587882614</v>
      </c>
      <c r="I140" s="449">
        <v>540.23</v>
      </c>
      <c r="J140" s="449">
        <v>333.06</v>
      </c>
      <c r="K140" s="447">
        <v>721062.9060013272</v>
      </c>
      <c r="L140" s="447">
        <v>576850.3248010618</v>
      </c>
      <c r="M140" s="447">
        <v>145632.40844338574</v>
      </c>
      <c r="N140" s="447">
        <v>144212.5812002654</v>
      </c>
      <c r="O140" s="450">
        <v>1.0098453770905649</v>
      </c>
      <c r="P140" s="451">
        <v>0.9924266330072579</v>
      </c>
      <c r="Q140" s="452">
        <v>0.00757336699274219</v>
      </c>
      <c r="R140" s="447">
        <v>722482.7332444475</v>
      </c>
      <c r="S140" s="447">
        <v>488398.32767324656</v>
      </c>
      <c r="T140" s="447">
        <v>75397.75808365378</v>
      </c>
      <c r="U140" s="447">
        <v>91993.94804213263</v>
      </c>
      <c r="V140" s="447">
        <v>164726.06317973405</v>
      </c>
      <c r="W140" s="450">
        <v>0.5584662576544261</v>
      </c>
      <c r="X140" s="452">
        <v>9.803596509212648</v>
      </c>
      <c r="Y140" s="447">
        <v>75397.75808365378</v>
      </c>
      <c r="Z140" s="447">
        <v>69358.34239146695</v>
      </c>
      <c r="AA140" s="448">
        <v>1.0870755482894852</v>
      </c>
      <c r="AB140" s="448">
        <v>0.08551593562638056</v>
      </c>
      <c r="AC140" s="449">
        <v>274</v>
      </c>
      <c r="AD140" s="449">
        <v>268</v>
      </c>
      <c r="AE140" s="447">
        <v>655790.0337990329</v>
      </c>
      <c r="AF140" s="447">
        <v>0</v>
      </c>
      <c r="AG140" s="451">
        <v>0</v>
      </c>
      <c r="AH140" s="450">
        <v>0.024836880567741533</v>
      </c>
      <c r="AI140" s="452">
        <v>0.020915383473038673</v>
      </c>
      <c r="AJ140" s="447">
        <v>655790.0337990329</v>
      </c>
      <c r="AK140" s="453">
        <v>1</v>
      </c>
      <c r="AL140" s="447">
        <v>655790.0337990329</v>
      </c>
      <c r="AM140" s="447">
        <v>1542721.0925516079</v>
      </c>
      <c r="AN140" s="447">
        <v>1527494.130043426</v>
      </c>
      <c r="AO140" s="447">
        <v>1464264.9393611555</v>
      </c>
      <c r="AP140" s="447">
        <v>1527494.130043426</v>
      </c>
      <c r="AQ140" s="447">
        <v>12676</v>
      </c>
      <c r="AR140" s="447">
        <v>1540170.130043426</v>
      </c>
      <c r="AS140" s="454">
        <v>486.01140108659706</v>
      </c>
      <c r="AT140" s="450">
        <v>3169</v>
      </c>
      <c r="AU140" s="450">
        <v>32</v>
      </c>
      <c r="AV140" s="450">
        <v>372</v>
      </c>
      <c r="AW140" s="450">
        <v>114</v>
      </c>
      <c r="AX140" s="450">
        <v>83</v>
      </c>
      <c r="AY140" s="450">
        <v>371</v>
      </c>
      <c r="AZ140" s="450">
        <v>104</v>
      </c>
      <c r="BA140" s="450">
        <v>202</v>
      </c>
      <c r="BB140" s="450">
        <v>114</v>
      </c>
      <c r="BC140" s="450">
        <v>9</v>
      </c>
      <c r="BD140" s="450">
        <v>574</v>
      </c>
      <c r="BE140" s="450">
        <v>24</v>
      </c>
      <c r="BF140" s="450">
        <v>0</v>
      </c>
      <c r="BG140" s="450">
        <v>1154</v>
      </c>
      <c r="BH140" s="450">
        <v>16</v>
      </c>
      <c r="BI140" s="450">
        <v>0</v>
      </c>
      <c r="BJ140" s="452">
        <v>1.2434644369332384</v>
      </c>
      <c r="BK140" s="452">
        <v>8.181479047156621</v>
      </c>
      <c r="BL140" s="452">
        <v>5.02790663108376</v>
      </c>
      <c r="BM140" s="452">
        <v>6.30714483214572</v>
      </c>
      <c r="BN140" s="449">
        <v>3145</v>
      </c>
      <c r="BO140" s="449">
        <v>24</v>
      </c>
      <c r="BP140" s="447">
        <v>865468.656607651</v>
      </c>
      <c r="BQ140" s="447">
        <v>3098449</v>
      </c>
      <c r="BR140" s="447">
        <v>4194760</v>
      </c>
      <c r="BS140" s="448">
        <v>0.08551593562638056</v>
      </c>
      <c r="BT140" s="449">
        <v>274</v>
      </c>
      <c r="BU140" s="449">
        <v>268</v>
      </c>
      <c r="BV140" s="447">
        <v>358718.8261281161</v>
      </c>
      <c r="BW140" s="448">
        <v>0.008271375112623368</v>
      </c>
      <c r="BX140" s="447">
        <v>3389.502999710142</v>
      </c>
      <c r="BY140" s="447">
        <v>4326025.985735477</v>
      </c>
      <c r="BZ140" s="455">
        <v>0.97</v>
      </c>
      <c r="CA140" s="447">
        <v>4196245.206163413</v>
      </c>
      <c r="CB140" s="447">
        <v>3155690.1382152415</v>
      </c>
      <c r="CC140" s="447">
        <v>3151827.824278983</v>
      </c>
      <c r="CD140" s="447">
        <v>3120736.180769669</v>
      </c>
      <c r="CE140" s="447">
        <v>3151827.824278983</v>
      </c>
      <c r="CF140" s="454">
        <v>994.5812004667033</v>
      </c>
      <c r="CG140" s="450">
        <v>3169</v>
      </c>
      <c r="CH140" s="450">
        <v>32</v>
      </c>
      <c r="CI140" s="450">
        <v>372</v>
      </c>
      <c r="CJ140" s="450">
        <v>114</v>
      </c>
      <c r="CK140" s="450">
        <v>83</v>
      </c>
      <c r="CL140" s="450">
        <v>371</v>
      </c>
      <c r="CM140" s="450">
        <v>104</v>
      </c>
      <c r="CN140" s="450">
        <v>202</v>
      </c>
      <c r="CO140" s="450">
        <v>114</v>
      </c>
      <c r="CP140" s="450">
        <v>9</v>
      </c>
      <c r="CQ140" s="450">
        <v>574</v>
      </c>
      <c r="CR140" s="450">
        <v>24</v>
      </c>
      <c r="CS140" s="450">
        <v>0</v>
      </c>
      <c r="CT140" s="450">
        <v>1154</v>
      </c>
      <c r="CU140" s="450">
        <v>16</v>
      </c>
      <c r="CV140" s="450">
        <v>0</v>
      </c>
      <c r="CW140" s="447">
        <v>2152477.20284689</v>
      </c>
      <c r="CX140" s="452">
        <v>0.9469269470021162</v>
      </c>
      <c r="CY140" s="452">
        <v>0.97</v>
      </c>
      <c r="CZ140" s="447">
        <v>2038238.6661834603</v>
      </c>
      <c r="DA140" s="454">
        <v>643.1803932418619</v>
      </c>
      <c r="DB140" s="449">
        <v>3169</v>
      </c>
      <c r="DC140" s="452">
        <v>1.0118018302303566</v>
      </c>
      <c r="DD140" s="454">
        <v>299.6</v>
      </c>
      <c r="DE140" s="447">
        <v>35717</v>
      </c>
      <c r="DF140" s="454">
        <v>48.39514332176127</v>
      </c>
      <c r="DG140" s="454">
        <v>50.476134484597</v>
      </c>
      <c r="DH140" s="454">
        <v>51.58660944325812</v>
      </c>
      <c r="DI140" s="454">
        <v>52.721514851009786</v>
      </c>
      <c r="DJ140" s="454">
        <v>54.4613248410931</v>
      </c>
      <c r="DK140" s="454">
        <v>56.42193253537244</v>
      </c>
      <c r="DL140" s="454">
        <v>58.22743437650435</v>
      </c>
      <c r="DM140" s="454">
        <v>60.614759185941026</v>
      </c>
      <c r="DN140" s="454">
        <v>63.28180859012242</v>
      </c>
      <c r="DO140" s="454">
        <v>66.76230806257915</v>
      </c>
      <c r="DP140" s="454">
        <v>66.16144729001594</v>
      </c>
      <c r="DQ140" s="454">
        <v>69.53568110180674</v>
      </c>
      <c r="DR140" s="454">
        <v>73.77735764901695</v>
      </c>
      <c r="DS140" s="454">
        <v>38.92</v>
      </c>
      <c r="DT140" s="454">
        <v>40.957276944325805</v>
      </c>
      <c r="DU140" s="454">
        <v>43.065356794201946</v>
      </c>
      <c r="DV140" s="454">
        <v>45.73336497749592</v>
      </c>
      <c r="DW140" s="454">
        <v>48.67150417649814</v>
      </c>
      <c r="DX140" s="454">
        <v>51.56206598787245</v>
      </c>
      <c r="DY140" s="454">
        <v>55.06384039188838</v>
      </c>
      <c r="DZ140" s="454">
        <v>58.13055594924156</v>
      </c>
      <c r="EA140" s="454">
        <v>59.887994061098645</v>
      </c>
      <c r="EB140" s="454">
        <v>61.568039630987585</v>
      </c>
      <c r="EC140" s="454">
        <v>65.6735439420957</v>
      </c>
      <c r="ED140" s="454">
        <v>70.70406200417689</v>
      </c>
      <c r="EE140" s="454">
        <v>-0.97</v>
      </c>
      <c r="EF140" s="454">
        <v>69.73406200417689</v>
      </c>
      <c r="EG140" s="454">
        <v>3626.1712242171984</v>
      </c>
      <c r="EH140" s="447">
        <v>11261509.877353415</v>
      </c>
      <c r="EI140" s="454">
        <v>44.37</v>
      </c>
      <c r="EJ140" s="454">
        <v>45.9701869443258</v>
      </c>
      <c r="EK140" s="454">
        <v>47.61930703420194</v>
      </c>
      <c r="EL140" s="454">
        <v>49.84956675067591</v>
      </c>
      <c r="EM140" s="454">
        <v>52.326691351081976</v>
      </c>
      <c r="EN140" s="454">
        <v>54.705526958014545</v>
      </c>
      <c r="EO140" s="454">
        <v>57.68171468782271</v>
      </c>
      <c r="EP140" s="454">
        <v>60.55994329586863</v>
      </c>
      <c r="EQ140" s="454">
        <v>62.20481979399866</v>
      </c>
      <c r="ER140" s="454">
        <v>63.11613956704592</v>
      </c>
      <c r="ES140" s="454">
        <v>66.97518636833355</v>
      </c>
      <c r="ET140" s="454">
        <v>71.73984396485565</v>
      </c>
      <c r="EU140" s="447">
        <v>5334967</v>
      </c>
      <c r="EV140" s="447">
        <v>0</v>
      </c>
      <c r="EW140" s="447">
        <v>0</v>
      </c>
      <c r="EX140" s="447">
        <v>0</v>
      </c>
      <c r="EY140" s="447">
        <v>0</v>
      </c>
      <c r="EZ140" s="447">
        <v>0</v>
      </c>
      <c r="FA140" s="447">
        <v>0</v>
      </c>
      <c r="FB140" s="447">
        <v>0</v>
      </c>
      <c r="FC140" s="447">
        <v>0</v>
      </c>
      <c r="FD140" s="447">
        <v>5334967</v>
      </c>
      <c r="FE140" s="447">
        <v>43130.379087896006</v>
      </c>
      <c r="FF140" s="447">
        <v>0</v>
      </c>
      <c r="FG140" s="447">
        <v>0</v>
      </c>
      <c r="FH140" s="447">
        <v>14152</v>
      </c>
      <c r="FI140" s="456">
        <v>0.0791</v>
      </c>
      <c r="FJ140" s="447">
        <v>1119.4232</v>
      </c>
      <c r="FK140" s="471">
        <v>1119.4232</v>
      </c>
      <c r="FL140" s="446">
        <v>69.55</v>
      </c>
      <c r="FM140" s="450">
        <v>65.72</v>
      </c>
      <c r="FN140" s="450">
        <v>63.84</v>
      </c>
      <c r="FO140" s="450">
        <v>-1.88</v>
      </c>
      <c r="FP140" s="472">
        <v>64.75</v>
      </c>
      <c r="FQ140" s="446">
        <v>0</v>
      </c>
      <c r="FR140" s="450">
        <v>0</v>
      </c>
      <c r="FS140" s="450">
        <v>0</v>
      </c>
      <c r="FT140" s="450">
        <v>0</v>
      </c>
      <c r="FU140" s="450">
        <v>0</v>
      </c>
      <c r="FV140" s="450">
        <v>0</v>
      </c>
      <c r="FW140" s="450">
        <v>0</v>
      </c>
      <c r="FX140" s="450">
        <v>0</v>
      </c>
      <c r="FY140" s="450">
        <v>0</v>
      </c>
      <c r="FZ140" s="450">
        <v>0</v>
      </c>
      <c r="GA140" s="450">
        <v>0</v>
      </c>
      <c r="GB140" s="450">
        <v>0</v>
      </c>
      <c r="GC140" s="450">
        <v>0</v>
      </c>
      <c r="GD140" s="450">
        <v>0</v>
      </c>
      <c r="GE140" s="450">
        <v>0</v>
      </c>
      <c r="GF140" s="450">
        <v>0</v>
      </c>
      <c r="GG140" s="450">
        <v>0</v>
      </c>
      <c r="GH140" s="450">
        <v>0</v>
      </c>
      <c r="GI140" s="450">
        <v>0</v>
      </c>
      <c r="GJ140" s="450">
        <v>0</v>
      </c>
      <c r="GK140" s="450">
        <v>0</v>
      </c>
      <c r="GL140" s="450">
        <v>0</v>
      </c>
      <c r="GM140" s="450">
        <v>0</v>
      </c>
      <c r="GN140" s="450">
        <v>0</v>
      </c>
      <c r="GO140" s="450">
        <v>0</v>
      </c>
      <c r="GP140" s="450">
        <v>0</v>
      </c>
      <c r="GQ140" s="450">
        <v>0</v>
      </c>
      <c r="GR140" s="450">
        <v>0</v>
      </c>
      <c r="GS140" s="450">
        <v>0</v>
      </c>
      <c r="GT140" s="450">
        <v>0</v>
      </c>
      <c r="GU140" s="450">
        <v>0</v>
      </c>
      <c r="GV140" s="450">
        <v>0</v>
      </c>
      <c r="GW140" s="450">
        <v>0</v>
      </c>
      <c r="GX140" s="450">
        <v>-1073762</v>
      </c>
      <c r="GY140" s="450">
        <v>-853762</v>
      </c>
      <c r="GZ140" s="450">
        <v>2</v>
      </c>
      <c r="HA140" s="450" t="s">
        <v>888</v>
      </c>
      <c r="HB140" s="450" t="s">
        <v>888</v>
      </c>
      <c r="HC140" s="450">
        <v>0</v>
      </c>
      <c r="HD140" s="450">
        <v>0</v>
      </c>
      <c r="HE140" s="450">
        <v>0</v>
      </c>
      <c r="HF140" s="450">
        <v>0</v>
      </c>
      <c r="HG140" s="472">
        <v>0</v>
      </c>
    </row>
    <row r="141" spans="2:215" ht="12.75">
      <c r="B141" s="445" t="s">
        <v>822</v>
      </c>
      <c r="C141" s="446">
        <v>41602</v>
      </c>
      <c r="D141" s="447">
        <v>9724066</v>
      </c>
      <c r="E141" s="447">
        <v>8343248.628</v>
      </c>
      <c r="F141" s="447">
        <v>1354929.0247557187</v>
      </c>
      <c r="G141" s="447">
        <v>1380817.3720000002</v>
      </c>
      <c r="H141" s="448">
        <v>0.48330993702225855</v>
      </c>
      <c r="I141" s="449">
        <v>17212.6</v>
      </c>
      <c r="J141" s="449">
        <v>2894.06</v>
      </c>
      <c r="K141" s="447">
        <v>9698177.652755719</v>
      </c>
      <c r="L141" s="447">
        <v>7758542.122204576</v>
      </c>
      <c r="M141" s="447">
        <v>2750788.479855882</v>
      </c>
      <c r="N141" s="447">
        <v>1939635.5305511432</v>
      </c>
      <c r="O141" s="450">
        <v>1.4181986442959473</v>
      </c>
      <c r="P141" s="451">
        <v>0.6783087351569637</v>
      </c>
      <c r="Q141" s="452">
        <v>0.3216912648430364</v>
      </c>
      <c r="R141" s="447">
        <v>10509330.602060458</v>
      </c>
      <c r="S141" s="447">
        <v>7104307.4869928695</v>
      </c>
      <c r="T141" s="447">
        <v>1314041.6932429126</v>
      </c>
      <c r="U141" s="447">
        <v>1827557.4356251971</v>
      </c>
      <c r="V141" s="447">
        <v>2396127.3772697845</v>
      </c>
      <c r="W141" s="450">
        <v>0.7627129730087921</v>
      </c>
      <c r="X141" s="452">
        <v>13.38904568939436</v>
      </c>
      <c r="Y141" s="447">
        <v>1314041.6932429126</v>
      </c>
      <c r="Z141" s="447">
        <v>1008895.737797804</v>
      </c>
      <c r="AA141" s="448">
        <v>1.3024553915860273</v>
      </c>
      <c r="AB141" s="448">
        <v>0.10245901639344263</v>
      </c>
      <c r="AC141" s="449">
        <v>4020</v>
      </c>
      <c r="AD141" s="449">
        <v>4505</v>
      </c>
      <c r="AE141" s="447">
        <v>10245906.61586098</v>
      </c>
      <c r="AF141" s="447">
        <v>1649406.167934162</v>
      </c>
      <c r="AG141" s="451">
        <v>1</v>
      </c>
      <c r="AH141" s="450">
        <v>0.40715399490099985</v>
      </c>
      <c r="AI141" s="452">
        <v>0.3428684175014496</v>
      </c>
      <c r="AJ141" s="447">
        <v>11895312.783795143</v>
      </c>
      <c r="AK141" s="453">
        <v>1</v>
      </c>
      <c r="AL141" s="447">
        <v>11895312.783795143</v>
      </c>
      <c r="AM141" s="447">
        <v>27983270.541258737</v>
      </c>
      <c r="AN141" s="447">
        <v>27707070.12276099</v>
      </c>
      <c r="AO141" s="447">
        <v>27115876.782983724</v>
      </c>
      <c r="AP141" s="447">
        <v>27707070.12276099</v>
      </c>
      <c r="AQ141" s="447">
        <v>166408</v>
      </c>
      <c r="AR141" s="447">
        <v>27873478.12276099</v>
      </c>
      <c r="AS141" s="454">
        <v>670.0033200990574</v>
      </c>
      <c r="AT141" s="450">
        <v>41602</v>
      </c>
      <c r="AU141" s="450">
        <v>4376</v>
      </c>
      <c r="AV141" s="450">
        <v>3100</v>
      </c>
      <c r="AW141" s="450">
        <v>1739</v>
      </c>
      <c r="AX141" s="450">
        <v>23</v>
      </c>
      <c r="AY141" s="450">
        <v>5567</v>
      </c>
      <c r="AZ141" s="450">
        <v>1418</v>
      </c>
      <c r="BA141" s="450">
        <v>2103</v>
      </c>
      <c r="BB141" s="450">
        <v>1257</v>
      </c>
      <c r="BC141" s="450">
        <v>601</v>
      </c>
      <c r="BD141" s="450">
        <v>5356</v>
      </c>
      <c r="BE141" s="450">
        <v>11454</v>
      </c>
      <c r="BF141" s="450">
        <v>1929</v>
      </c>
      <c r="BG141" s="450">
        <v>2675</v>
      </c>
      <c r="BH141" s="450">
        <v>4</v>
      </c>
      <c r="BI141" s="450">
        <v>0</v>
      </c>
      <c r="BJ141" s="452">
        <v>2.1368081801043015</v>
      </c>
      <c r="BK141" s="452">
        <v>21.918530798990066</v>
      </c>
      <c r="BL141" s="452">
        <v>14.014376391496768</v>
      </c>
      <c r="BM141" s="452">
        <v>15.808308814986596</v>
      </c>
      <c r="BN141" s="449">
        <v>28219</v>
      </c>
      <c r="BO141" s="449">
        <v>13383</v>
      </c>
      <c r="BP141" s="447">
        <v>18090673.192905378</v>
      </c>
      <c r="BQ141" s="447">
        <v>46794679</v>
      </c>
      <c r="BR141" s="447">
        <v>57367762</v>
      </c>
      <c r="BS141" s="448">
        <v>0.10245901639344263</v>
      </c>
      <c r="BT141" s="449">
        <v>4020</v>
      </c>
      <c r="BU141" s="449">
        <v>4505</v>
      </c>
      <c r="BV141" s="447">
        <v>5877844.467213115</v>
      </c>
      <c r="BW141" s="448">
        <v>0.020073831820166324</v>
      </c>
      <c r="BX141" s="447">
        <v>289307.8214818944</v>
      </c>
      <c r="BY141" s="447">
        <v>71052504.48160039</v>
      </c>
      <c r="BZ141" s="455">
        <v>0.9433333333333334</v>
      </c>
      <c r="CA141" s="447">
        <v>67026195.8943097</v>
      </c>
      <c r="CB141" s="447">
        <v>50405516.120718114</v>
      </c>
      <c r="CC141" s="447">
        <v>50343823.77487599</v>
      </c>
      <c r="CD141" s="447">
        <v>49943013.35895587</v>
      </c>
      <c r="CE141" s="447">
        <v>50343823.77487599</v>
      </c>
      <c r="CF141" s="454">
        <v>1210.129892189702</v>
      </c>
      <c r="CG141" s="450">
        <v>41602</v>
      </c>
      <c r="CH141" s="450">
        <v>4376</v>
      </c>
      <c r="CI141" s="450">
        <v>3100</v>
      </c>
      <c r="CJ141" s="450">
        <v>1739</v>
      </c>
      <c r="CK141" s="450">
        <v>23</v>
      </c>
      <c r="CL141" s="450">
        <v>5567</v>
      </c>
      <c r="CM141" s="450">
        <v>1418</v>
      </c>
      <c r="CN141" s="450">
        <v>2103</v>
      </c>
      <c r="CO141" s="450">
        <v>1257</v>
      </c>
      <c r="CP141" s="450">
        <v>601</v>
      </c>
      <c r="CQ141" s="450">
        <v>5356</v>
      </c>
      <c r="CR141" s="450">
        <v>11454</v>
      </c>
      <c r="CS141" s="450">
        <v>1929</v>
      </c>
      <c r="CT141" s="450">
        <v>2675</v>
      </c>
      <c r="CU141" s="450">
        <v>4</v>
      </c>
      <c r="CV141" s="450">
        <v>0</v>
      </c>
      <c r="CW141" s="447">
        <v>30314996.035719685</v>
      </c>
      <c r="CX141" s="452">
        <v>0.9208945910707865</v>
      </c>
      <c r="CY141" s="452">
        <v>0.9433333333333334</v>
      </c>
      <c r="CZ141" s="447">
        <v>27916915.877626594</v>
      </c>
      <c r="DA141" s="454">
        <v>671.0474467003171</v>
      </c>
      <c r="DB141" s="449">
        <v>41602</v>
      </c>
      <c r="DC141" s="452">
        <v>0.9953127253497428</v>
      </c>
      <c r="DD141" s="454">
        <v>299.1</v>
      </c>
      <c r="DE141" s="447">
        <v>25717</v>
      </c>
      <c r="DF141" s="454">
        <v>44.44436832266421</v>
      </c>
      <c r="DG141" s="454">
        <v>46.35547616053877</v>
      </c>
      <c r="DH141" s="454">
        <v>47.375296636070615</v>
      </c>
      <c r="DI141" s="454">
        <v>48.41755316206416</v>
      </c>
      <c r="DJ141" s="454">
        <v>50.01533241641227</v>
      </c>
      <c r="DK141" s="454">
        <v>51.8158843834031</v>
      </c>
      <c r="DL141" s="454">
        <v>53.473992683671995</v>
      </c>
      <c r="DM141" s="454">
        <v>55.66642638370254</v>
      </c>
      <c r="DN141" s="454">
        <v>58.11574914458544</v>
      </c>
      <c r="DO141" s="454">
        <v>61.31211534753764</v>
      </c>
      <c r="DP141" s="454">
        <v>60.7603063094098</v>
      </c>
      <c r="DQ141" s="454">
        <v>63.85908193118969</v>
      </c>
      <c r="DR141" s="454">
        <v>67.75448592899225</v>
      </c>
      <c r="DS141" s="454">
        <v>35.52</v>
      </c>
      <c r="DT141" s="454">
        <v>37.40882566360706</v>
      </c>
      <c r="DU141" s="454">
        <v>39.36356797641283</v>
      </c>
      <c r="DV141" s="454">
        <v>41.831661556731675</v>
      </c>
      <c r="DW141" s="454">
        <v>44.54878466000674</v>
      </c>
      <c r="DX141" s="454">
        <v>47.224286921551126</v>
      </c>
      <c r="DY141" s="454">
        <v>50.461671425008284</v>
      </c>
      <c r="DZ141" s="454">
        <v>53.28573654291717</v>
      </c>
      <c r="EA141" s="454">
        <v>54.904305106264516</v>
      </c>
      <c r="EB141" s="454">
        <v>56.47861585512952</v>
      </c>
      <c r="EC141" s="454">
        <v>60.25903659723084</v>
      </c>
      <c r="ED141" s="454">
        <v>64.8897498544945</v>
      </c>
      <c r="EE141" s="454">
        <v>-0.56</v>
      </c>
      <c r="EF141" s="454">
        <v>64.3297498544945</v>
      </c>
      <c r="EG141" s="454">
        <v>3345.146992433714</v>
      </c>
      <c r="EH141" s="447">
        <v>136381509.0756428</v>
      </c>
      <c r="EI141" s="454">
        <v>36.91</v>
      </c>
      <c r="EJ141" s="454">
        <v>38.68734766360705</v>
      </c>
      <c r="EK141" s="454">
        <v>40.52503418441281</v>
      </c>
      <c r="EL141" s="454">
        <v>42.88148182548766</v>
      </c>
      <c r="EM141" s="454">
        <v>45.48102505866205</v>
      </c>
      <c r="EN141" s="454">
        <v>48.02601366439468</v>
      </c>
      <c r="EO141" s="454">
        <v>51.129349456448395</v>
      </c>
      <c r="EP141" s="454">
        <v>53.90534175609359</v>
      </c>
      <c r="EQ141" s="454">
        <v>55.49520194456377</v>
      </c>
      <c r="ER141" s="454">
        <v>56.87345235258292</v>
      </c>
      <c r="ES141" s="454">
        <v>60.591015124289655</v>
      </c>
      <c r="ET141" s="454">
        <v>65.15392176740156</v>
      </c>
      <c r="EU141" s="447">
        <v>905370368</v>
      </c>
      <c r="EV141" s="447">
        <v>0</v>
      </c>
      <c r="EW141" s="447">
        <v>0</v>
      </c>
      <c r="EX141" s="447">
        <v>0</v>
      </c>
      <c r="EY141" s="447">
        <v>0</v>
      </c>
      <c r="EZ141" s="447">
        <v>0</v>
      </c>
      <c r="FA141" s="447">
        <v>225204</v>
      </c>
      <c r="FB141" s="447">
        <v>0</v>
      </c>
      <c r="FC141" s="447">
        <v>0</v>
      </c>
      <c r="FD141" s="447">
        <v>905145164</v>
      </c>
      <c r="FE141" s="447">
        <v>482988.52171834</v>
      </c>
      <c r="FF141" s="447">
        <v>0</v>
      </c>
      <c r="FG141" s="447">
        <v>0</v>
      </c>
      <c r="FH141" s="447">
        <v>116395</v>
      </c>
      <c r="FI141" s="456">
        <v>0.056100000000000004</v>
      </c>
      <c r="FJ141" s="447">
        <v>6529.7595</v>
      </c>
      <c r="FK141" s="471">
        <v>6529.7595</v>
      </c>
      <c r="FL141" s="446">
        <v>63.82</v>
      </c>
      <c r="FM141" s="450">
        <v>60.44</v>
      </c>
      <c r="FN141" s="450">
        <v>59.58</v>
      </c>
      <c r="FO141" s="450">
        <v>-0.86</v>
      </c>
      <c r="FP141" s="472">
        <v>59.88</v>
      </c>
      <c r="FQ141" s="446">
        <v>7862655</v>
      </c>
      <c r="FR141" s="450">
        <v>764404</v>
      </c>
      <c r="FS141" s="450">
        <v>40333</v>
      </c>
      <c r="FT141" s="450">
        <v>31315</v>
      </c>
      <c r="FU141" s="450">
        <v>14161</v>
      </c>
      <c r="FV141" s="450">
        <v>4091</v>
      </c>
      <c r="FW141" s="450">
        <v>4089</v>
      </c>
      <c r="FX141" s="450">
        <v>4089</v>
      </c>
      <c r="FY141" s="450">
        <v>4089</v>
      </c>
      <c r="FZ141" s="450">
        <v>4089</v>
      </c>
      <c r="GA141" s="450">
        <v>4089</v>
      </c>
      <c r="GB141" s="450">
        <v>4089</v>
      </c>
      <c r="GC141" s="450">
        <v>4089</v>
      </c>
      <c r="GD141" s="450">
        <v>4089</v>
      </c>
      <c r="GE141" s="450">
        <v>4077</v>
      </c>
      <c r="GF141" s="450">
        <v>4069</v>
      </c>
      <c r="GG141" s="450">
        <v>4069</v>
      </c>
      <c r="GH141" s="450">
        <v>4069</v>
      </c>
      <c r="GI141" s="450">
        <v>4069</v>
      </c>
      <c r="GJ141" s="450">
        <v>4069</v>
      </c>
      <c r="GK141" s="450">
        <v>4069</v>
      </c>
      <c r="GL141" s="450">
        <v>4069</v>
      </c>
      <c r="GM141" s="450">
        <v>4069</v>
      </c>
      <c r="GN141" s="450">
        <v>4069</v>
      </c>
      <c r="GO141" s="450">
        <v>4069</v>
      </c>
      <c r="GP141" s="450">
        <v>4069</v>
      </c>
      <c r="GQ141" s="450">
        <v>4069</v>
      </c>
      <c r="GR141" s="450">
        <v>4069</v>
      </c>
      <c r="GS141" s="450">
        <v>4069</v>
      </c>
      <c r="GT141" s="450">
        <v>4069</v>
      </c>
      <c r="GU141" s="450">
        <v>4069</v>
      </c>
      <c r="GV141" s="450">
        <v>4069</v>
      </c>
      <c r="GW141" s="450">
        <v>1538621</v>
      </c>
      <c r="GX141" s="450">
        <v>863727648</v>
      </c>
      <c r="GY141" s="450">
        <v>864126296</v>
      </c>
      <c r="GZ141" s="450">
        <v>151</v>
      </c>
      <c r="HA141" s="450" t="s">
        <v>888</v>
      </c>
      <c r="HB141" s="450" t="s">
        <v>888</v>
      </c>
      <c r="HC141" s="450">
        <v>91</v>
      </c>
      <c r="HD141" s="450">
        <v>23</v>
      </c>
      <c r="HE141" s="450">
        <v>0</v>
      </c>
      <c r="HF141" s="450">
        <v>0</v>
      </c>
      <c r="HG141" s="472">
        <v>0</v>
      </c>
    </row>
    <row r="142" spans="2:215" ht="12.75">
      <c r="B142" s="445" t="s">
        <v>823</v>
      </c>
      <c r="C142" s="446">
        <v>3439</v>
      </c>
      <c r="D142" s="447">
        <v>832087</v>
      </c>
      <c r="E142" s="447">
        <v>713930.646</v>
      </c>
      <c r="F142" s="447">
        <v>109275.73740823382</v>
      </c>
      <c r="G142" s="447">
        <v>118156.354</v>
      </c>
      <c r="H142" s="448">
        <v>0.45552486187845304</v>
      </c>
      <c r="I142" s="449">
        <v>1310.97</v>
      </c>
      <c r="J142" s="449">
        <v>255.58</v>
      </c>
      <c r="K142" s="447">
        <v>823206.3834082338</v>
      </c>
      <c r="L142" s="447">
        <v>658565.106726587</v>
      </c>
      <c r="M142" s="447">
        <v>208456.2509238808</v>
      </c>
      <c r="N142" s="447">
        <v>164641.2766816467</v>
      </c>
      <c r="O142" s="450">
        <v>1.266123873218959</v>
      </c>
      <c r="P142" s="451">
        <v>0.7952893282931085</v>
      </c>
      <c r="Q142" s="452">
        <v>0.20471067170689153</v>
      </c>
      <c r="R142" s="447">
        <v>867021.3576504679</v>
      </c>
      <c r="S142" s="447">
        <v>586106.4377717164</v>
      </c>
      <c r="T142" s="447">
        <v>77686.02691328032</v>
      </c>
      <c r="U142" s="447">
        <v>158148.5201440363</v>
      </c>
      <c r="V142" s="447">
        <v>197680.86954430668</v>
      </c>
      <c r="W142" s="450">
        <v>0.8000193468826791</v>
      </c>
      <c r="X142" s="452">
        <v>14.043940468924147</v>
      </c>
      <c r="Y142" s="447">
        <v>77686.02691328032</v>
      </c>
      <c r="Z142" s="447">
        <v>83234.05033444492</v>
      </c>
      <c r="AA142" s="448">
        <v>0.9333443056192514</v>
      </c>
      <c r="AB142" s="448">
        <v>0.07342250654259959</v>
      </c>
      <c r="AC142" s="449">
        <v>245</v>
      </c>
      <c r="AD142" s="449">
        <v>260</v>
      </c>
      <c r="AE142" s="447">
        <v>821940.984829033</v>
      </c>
      <c r="AF142" s="447">
        <v>0</v>
      </c>
      <c r="AG142" s="451">
        <v>0</v>
      </c>
      <c r="AH142" s="450">
        <v>0.15106207346127548</v>
      </c>
      <c r="AI142" s="452">
        <v>0.12721087038516998</v>
      </c>
      <c r="AJ142" s="447">
        <v>821940.984829033</v>
      </c>
      <c r="AK142" s="453">
        <v>1.0056</v>
      </c>
      <c r="AL142" s="447">
        <v>826543.8543440757</v>
      </c>
      <c r="AM142" s="447">
        <v>1944412.9558185271</v>
      </c>
      <c r="AN142" s="447">
        <v>1925221.215119823</v>
      </c>
      <c r="AO142" s="447">
        <v>1879331.3467357305</v>
      </c>
      <c r="AP142" s="447">
        <v>1925221.215119823</v>
      </c>
      <c r="AQ142" s="447">
        <v>13756</v>
      </c>
      <c r="AR142" s="447">
        <v>1938977.215119823</v>
      </c>
      <c r="AS142" s="454">
        <v>563.8200683686604</v>
      </c>
      <c r="AT142" s="450">
        <v>3436</v>
      </c>
      <c r="AU142" s="450">
        <v>62</v>
      </c>
      <c r="AV142" s="450">
        <v>277</v>
      </c>
      <c r="AW142" s="450">
        <v>283</v>
      </c>
      <c r="AX142" s="450">
        <v>0</v>
      </c>
      <c r="AY142" s="450">
        <v>499</v>
      </c>
      <c r="AZ142" s="450">
        <v>169</v>
      </c>
      <c r="BA142" s="450">
        <v>235</v>
      </c>
      <c r="BB142" s="450">
        <v>23</v>
      </c>
      <c r="BC142" s="450">
        <v>33</v>
      </c>
      <c r="BD142" s="450">
        <v>736</v>
      </c>
      <c r="BE142" s="450">
        <v>696</v>
      </c>
      <c r="BF142" s="450">
        <v>0</v>
      </c>
      <c r="BG142" s="450">
        <v>415</v>
      </c>
      <c r="BH142" s="450">
        <v>8</v>
      </c>
      <c r="BI142" s="450">
        <v>0</v>
      </c>
      <c r="BJ142" s="452">
        <v>1.444470894948258</v>
      </c>
      <c r="BK142" s="452">
        <v>10.222197139942175</v>
      </c>
      <c r="BL142" s="452">
        <v>6.821430435652087</v>
      </c>
      <c r="BM142" s="452">
        <v>6.801533408580173</v>
      </c>
      <c r="BN142" s="449">
        <v>2740</v>
      </c>
      <c r="BO142" s="449">
        <v>696</v>
      </c>
      <c r="BP142" s="447">
        <v>1023485.6304991681</v>
      </c>
      <c r="BQ142" s="447">
        <v>3718654</v>
      </c>
      <c r="BR142" s="447">
        <v>4662240</v>
      </c>
      <c r="BS142" s="448">
        <v>0.07348661233993015</v>
      </c>
      <c r="BT142" s="449">
        <v>245</v>
      </c>
      <c r="BU142" s="449">
        <v>260</v>
      </c>
      <c r="BV142" s="447">
        <v>342612.2235157159</v>
      </c>
      <c r="BW142" s="448">
        <v>0.004770865936721398</v>
      </c>
      <c r="BX142" s="447">
        <v>2648.4932132641607</v>
      </c>
      <c r="BY142" s="447">
        <v>5087400.347228148</v>
      </c>
      <c r="BZ142" s="455">
        <v>1.0666666666666667</v>
      </c>
      <c r="CA142" s="447">
        <v>5426560.370376691</v>
      </c>
      <c r="CB142" s="447">
        <v>4080920.4905554554</v>
      </c>
      <c r="CC142" s="447">
        <v>4075925.7681989856</v>
      </c>
      <c r="CD142" s="447">
        <v>4008971.488287783</v>
      </c>
      <c r="CE142" s="447">
        <v>4075925.7681989856</v>
      </c>
      <c r="CF142" s="454">
        <v>1186.2414924909738</v>
      </c>
      <c r="CG142" s="450">
        <v>3436</v>
      </c>
      <c r="CH142" s="450">
        <v>62</v>
      </c>
      <c r="CI142" s="450">
        <v>277</v>
      </c>
      <c r="CJ142" s="450">
        <v>283</v>
      </c>
      <c r="CK142" s="450">
        <v>0</v>
      </c>
      <c r="CL142" s="450">
        <v>499</v>
      </c>
      <c r="CM142" s="450">
        <v>169</v>
      </c>
      <c r="CN142" s="450">
        <v>235</v>
      </c>
      <c r="CO142" s="450">
        <v>23</v>
      </c>
      <c r="CP142" s="450">
        <v>33</v>
      </c>
      <c r="CQ142" s="450">
        <v>736</v>
      </c>
      <c r="CR142" s="450">
        <v>696</v>
      </c>
      <c r="CS142" s="450">
        <v>0</v>
      </c>
      <c r="CT142" s="450">
        <v>415</v>
      </c>
      <c r="CU142" s="450">
        <v>8</v>
      </c>
      <c r="CV142" s="450">
        <v>0</v>
      </c>
      <c r="CW142" s="447">
        <v>2502300.7150712805</v>
      </c>
      <c r="CX142" s="452">
        <v>1.0412942372531862</v>
      </c>
      <c r="CY142" s="452">
        <v>1.0666666666666667</v>
      </c>
      <c r="CZ142" s="447">
        <v>2605631.314478251</v>
      </c>
      <c r="DA142" s="454">
        <v>758.332745773647</v>
      </c>
      <c r="DB142" s="449">
        <v>3439</v>
      </c>
      <c r="DC142" s="452">
        <v>0.9958418144809539</v>
      </c>
      <c r="DD142" s="454">
        <v>316.4</v>
      </c>
      <c r="DE142" s="447">
        <v>41778</v>
      </c>
      <c r="DF142" s="454">
        <v>51.83530353285474</v>
      </c>
      <c r="DG142" s="454">
        <v>54.06422158476749</v>
      </c>
      <c r="DH142" s="454">
        <v>55.25363445963236</v>
      </c>
      <c r="DI142" s="454">
        <v>56.46921441774426</v>
      </c>
      <c r="DJ142" s="454">
        <v>58.33269849352982</v>
      </c>
      <c r="DK142" s="454">
        <v>60.43267563929688</v>
      </c>
      <c r="DL142" s="454">
        <v>62.36652125975437</v>
      </c>
      <c r="DM142" s="454">
        <v>64.9235486314043</v>
      </c>
      <c r="DN142" s="454">
        <v>67.78018477118609</v>
      </c>
      <c r="DO142" s="454">
        <v>71.50809493360131</v>
      </c>
      <c r="DP142" s="454">
        <v>70.8645220791989</v>
      </c>
      <c r="DQ142" s="454">
        <v>74.47861270523805</v>
      </c>
      <c r="DR142" s="454">
        <v>79.02180808025757</v>
      </c>
      <c r="DS142" s="454">
        <v>44.58</v>
      </c>
      <c r="DT142" s="454">
        <v>46.53004744596323</v>
      </c>
      <c r="DU142" s="454">
        <v>48.54432025954883</v>
      </c>
      <c r="DV142" s="454">
        <v>51.169584786290926</v>
      </c>
      <c r="DW142" s="454">
        <v>54.07183066726875</v>
      </c>
      <c r="DX142" s="454">
        <v>56.89619458381018</v>
      </c>
      <c r="DY142" s="454">
        <v>60.36786057567797</v>
      </c>
      <c r="DZ142" s="454">
        <v>63.552506255472046</v>
      </c>
      <c r="EA142" s="454">
        <v>65.37511312787525</v>
      </c>
      <c r="EB142" s="454">
        <v>66.76647162746852</v>
      </c>
      <c r="EC142" s="454">
        <v>71.03297188542314</v>
      </c>
      <c r="ED142" s="454">
        <v>76.27993939788985</v>
      </c>
      <c r="EE142" s="454">
        <v>-0.03</v>
      </c>
      <c r="EF142" s="454">
        <v>76.24993939788985</v>
      </c>
      <c r="EG142" s="454">
        <v>3964.996848690272</v>
      </c>
      <c r="EH142" s="447">
        <v>13362911.67939293</v>
      </c>
      <c r="EI142" s="454">
        <v>48.16</v>
      </c>
      <c r="EJ142" s="454">
        <v>49.82293144596323</v>
      </c>
      <c r="EK142" s="454">
        <v>51.53572243554884</v>
      </c>
      <c r="EL142" s="454">
        <v>53.87343842812293</v>
      </c>
      <c r="EM142" s="454">
        <v>56.472852701215565</v>
      </c>
      <c r="EN142" s="454">
        <v>58.96107353300444</v>
      </c>
      <c r="EO142" s="454">
        <v>62.08749176456695</v>
      </c>
      <c r="EP142" s="454">
        <v>65.14832399876101</v>
      </c>
      <c r="EQ142" s="454">
        <v>66.89699131572517</v>
      </c>
      <c r="ER142" s="454">
        <v>67.78338864968666</v>
      </c>
      <c r="ES142" s="454">
        <v>71.88799571770414</v>
      </c>
      <c r="ET142" s="454">
        <v>76.96032461242747</v>
      </c>
      <c r="EU142" s="447">
        <v>21324415</v>
      </c>
      <c r="EV142" s="447">
        <v>0</v>
      </c>
      <c r="EW142" s="447">
        <v>0</v>
      </c>
      <c r="EX142" s="447">
        <v>0</v>
      </c>
      <c r="EY142" s="447">
        <v>0</v>
      </c>
      <c r="EZ142" s="447">
        <v>0</v>
      </c>
      <c r="FA142" s="447">
        <v>0</v>
      </c>
      <c r="FB142" s="447">
        <v>0</v>
      </c>
      <c r="FC142" s="447">
        <v>0</v>
      </c>
      <c r="FD142" s="447">
        <v>21324415</v>
      </c>
      <c r="FE142" s="447">
        <v>50946.57068298422</v>
      </c>
      <c r="FF142" s="447">
        <v>0</v>
      </c>
      <c r="FG142" s="447">
        <v>0</v>
      </c>
      <c r="FH142" s="447">
        <v>4939</v>
      </c>
      <c r="FI142" s="456">
        <v>0.0555</v>
      </c>
      <c r="FJ142" s="447">
        <v>274.1145</v>
      </c>
      <c r="FK142" s="471">
        <v>274.1145</v>
      </c>
      <c r="FL142" s="446">
        <v>74.47</v>
      </c>
      <c r="FM142" s="450">
        <v>70.81</v>
      </c>
      <c r="FN142" s="450">
        <v>70.78</v>
      </c>
      <c r="FO142" s="450">
        <v>-0.03</v>
      </c>
      <c r="FP142" s="472">
        <v>70.78</v>
      </c>
      <c r="FQ142" s="446">
        <v>0</v>
      </c>
      <c r="FR142" s="450">
        <v>166939</v>
      </c>
      <c r="FS142" s="450">
        <v>0</v>
      </c>
      <c r="FT142" s="450">
        <v>0</v>
      </c>
      <c r="FU142" s="450">
        <v>0</v>
      </c>
      <c r="FV142" s="450">
        <v>0</v>
      </c>
      <c r="FW142" s="450">
        <v>0</v>
      </c>
      <c r="FX142" s="450">
        <v>0</v>
      </c>
      <c r="FY142" s="450">
        <v>0</v>
      </c>
      <c r="FZ142" s="450">
        <v>0</v>
      </c>
      <c r="GA142" s="450">
        <v>0</v>
      </c>
      <c r="GB142" s="450">
        <v>0</v>
      </c>
      <c r="GC142" s="450">
        <v>0</v>
      </c>
      <c r="GD142" s="450">
        <v>0</v>
      </c>
      <c r="GE142" s="450">
        <v>0</v>
      </c>
      <c r="GF142" s="450">
        <v>0</v>
      </c>
      <c r="GG142" s="450">
        <v>0</v>
      </c>
      <c r="GH142" s="450">
        <v>0</v>
      </c>
      <c r="GI142" s="450">
        <v>0</v>
      </c>
      <c r="GJ142" s="450">
        <v>0</v>
      </c>
      <c r="GK142" s="450">
        <v>0</v>
      </c>
      <c r="GL142" s="450">
        <v>0</v>
      </c>
      <c r="GM142" s="450">
        <v>0</v>
      </c>
      <c r="GN142" s="450">
        <v>0</v>
      </c>
      <c r="GO142" s="450">
        <v>0</v>
      </c>
      <c r="GP142" s="450">
        <v>0</v>
      </c>
      <c r="GQ142" s="450">
        <v>0</v>
      </c>
      <c r="GR142" s="450">
        <v>0</v>
      </c>
      <c r="GS142" s="450">
        <v>0</v>
      </c>
      <c r="GT142" s="450">
        <v>0</v>
      </c>
      <c r="GU142" s="450">
        <v>0</v>
      </c>
      <c r="GV142" s="450">
        <v>0</v>
      </c>
      <c r="GW142" s="450">
        <v>0</v>
      </c>
      <c r="GX142" s="450">
        <v>15402564</v>
      </c>
      <c r="GY142" s="450">
        <v>15402564</v>
      </c>
      <c r="GZ142" s="450">
        <v>0</v>
      </c>
      <c r="HA142" s="450" t="s">
        <v>888</v>
      </c>
      <c r="HB142" s="450" t="s">
        <v>888</v>
      </c>
      <c r="HC142" s="450">
        <v>0</v>
      </c>
      <c r="HD142" s="450">
        <v>0</v>
      </c>
      <c r="HE142" s="450">
        <v>0</v>
      </c>
      <c r="HF142" s="450">
        <v>0</v>
      </c>
      <c r="HG142" s="472">
        <v>0</v>
      </c>
    </row>
    <row r="143" spans="2:215" ht="12.75">
      <c r="B143" s="445" t="s">
        <v>824</v>
      </c>
      <c r="C143" s="446">
        <v>4240</v>
      </c>
      <c r="D143" s="447">
        <v>1018720</v>
      </c>
      <c r="E143" s="447">
        <v>874061.76</v>
      </c>
      <c r="F143" s="447">
        <v>88981.51943555291</v>
      </c>
      <c r="G143" s="447">
        <v>144658.24</v>
      </c>
      <c r="H143" s="448">
        <v>0.3029716981132075</v>
      </c>
      <c r="I143" s="449">
        <v>858.85</v>
      </c>
      <c r="J143" s="449">
        <v>425.75</v>
      </c>
      <c r="K143" s="447">
        <v>963043.2794355529</v>
      </c>
      <c r="L143" s="447">
        <v>770434.6235484424</v>
      </c>
      <c r="M143" s="447">
        <v>211210.8362139435</v>
      </c>
      <c r="N143" s="447">
        <v>192608.65588711054</v>
      </c>
      <c r="O143" s="450">
        <v>1.0965801886792452</v>
      </c>
      <c r="P143" s="451">
        <v>0.9257075471698113</v>
      </c>
      <c r="Q143" s="452">
        <v>0.07429245283018868</v>
      </c>
      <c r="R143" s="447">
        <v>981645.4597623858</v>
      </c>
      <c r="S143" s="447">
        <v>663592.3307993729</v>
      </c>
      <c r="T143" s="447">
        <v>113579.19004534507</v>
      </c>
      <c r="U143" s="447">
        <v>103194.38615133156</v>
      </c>
      <c r="V143" s="447">
        <v>223815.16482582397</v>
      </c>
      <c r="W143" s="450">
        <v>0.46106967877551486</v>
      </c>
      <c r="X143" s="452">
        <v>8.09384816252311</v>
      </c>
      <c r="Y143" s="447">
        <v>113579.19004534507</v>
      </c>
      <c r="Z143" s="447">
        <v>94237.96413718905</v>
      </c>
      <c r="AA143" s="448">
        <v>1.2052381551876439</v>
      </c>
      <c r="AB143" s="448">
        <v>0.09481132075471699</v>
      </c>
      <c r="AC143" s="449">
        <v>405</v>
      </c>
      <c r="AD143" s="449">
        <v>399</v>
      </c>
      <c r="AE143" s="447">
        <v>880365.9069960496</v>
      </c>
      <c r="AF143" s="447">
        <v>0</v>
      </c>
      <c r="AG143" s="451">
        <v>0</v>
      </c>
      <c r="AH143" s="450">
        <v>0.03096330568372784</v>
      </c>
      <c r="AI143" s="452">
        <v>0.026074506828736348</v>
      </c>
      <c r="AJ143" s="447">
        <v>880365.9069960496</v>
      </c>
      <c r="AK143" s="453">
        <v>1</v>
      </c>
      <c r="AL143" s="447">
        <v>880365.9069960496</v>
      </c>
      <c r="AM143" s="447">
        <v>2071027.2860022467</v>
      </c>
      <c r="AN143" s="447">
        <v>2050585.836805996</v>
      </c>
      <c r="AO143" s="447">
        <v>2077107.2937209287</v>
      </c>
      <c r="AP143" s="447">
        <v>2077107.2937209287</v>
      </c>
      <c r="AQ143" s="447">
        <v>16960</v>
      </c>
      <c r="AR143" s="447">
        <v>2094067.2937209287</v>
      </c>
      <c r="AS143" s="454">
        <v>493.88379568889826</v>
      </c>
      <c r="AT143" s="450">
        <v>4240</v>
      </c>
      <c r="AU143" s="450">
        <v>191</v>
      </c>
      <c r="AV143" s="450">
        <v>378</v>
      </c>
      <c r="AW143" s="450">
        <v>206</v>
      </c>
      <c r="AX143" s="450">
        <v>63</v>
      </c>
      <c r="AY143" s="450">
        <v>865</v>
      </c>
      <c r="AZ143" s="450">
        <v>190</v>
      </c>
      <c r="BA143" s="450">
        <v>55</v>
      </c>
      <c r="BB143" s="450">
        <v>248</v>
      </c>
      <c r="BC143" s="450">
        <v>25</v>
      </c>
      <c r="BD143" s="450">
        <v>625</v>
      </c>
      <c r="BE143" s="450">
        <v>315</v>
      </c>
      <c r="BF143" s="450">
        <v>0</v>
      </c>
      <c r="BG143" s="450">
        <v>1079</v>
      </c>
      <c r="BH143" s="450">
        <v>0</v>
      </c>
      <c r="BI143" s="450">
        <v>0</v>
      </c>
      <c r="BJ143" s="452">
        <v>1.2213926218379023</v>
      </c>
      <c r="BK143" s="452">
        <v>6.425821352920916</v>
      </c>
      <c r="BL143" s="452">
        <v>3.865442459873567</v>
      </c>
      <c r="BM143" s="452">
        <v>5.120757786094697</v>
      </c>
      <c r="BN143" s="449">
        <v>3925</v>
      </c>
      <c r="BO143" s="449">
        <v>315</v>
      </c>
      <c r="BP143" s="447">
        <v>1120228.3351489343</v>
      </c>
      <c r="BQ143" s="447">
        <v>4325748</v>
      </c>
      <c r="BR143" s="447">
        <v>5815593</v>
      </c>
      <c r="BS143" s="448">
        <v>0.09481132075471699</v>
      </c>
      <c r="BT143" s="449">
        <v>405</v>
      </c>
      <c r="BU143" s="449">
        <v>399</v>
      </c>
      <c r="BV143" s="447">
        <v>551384.0533018869</v>
      </c>
      <c r="BW143" s="448">
        <v>0.013890413081806737</v>
      </c>
      <c r="BX143" s="447">
        <v>5981.552367999712</v>
      </c>
      <c r="BY143" s="447">
        <v>6003341.940818821</v>
      </c>
      <c r="BZ143" s="455">
        <v>0.94</v>
      </c>
      <c r="CA143" s="447">
        <v>5643141.424369692</v>
      </c>
      <c r="CB143" s="447">
        <v>4243795.313791741</v>
      </c>
      <c r="CC143" s="447">
        <v>4238601.245595819</v>
      </c>
      <c r="CD143" s="447">
        <v>4062286.571909652</v>
      </c>
      <c r="CE143" s="447">
        <v>4238601.245595819</v>
      </c>
      <c r="CF143" s="454">
        <v>999.6701050933536</v>
      </c>
      <c r="CG143" s="450">
        <v>4240</v>
      </c>
      <c r="CH143" s="450">
        <v>191</v>
      </c>
      <c r="CI143" s="450">
        <v>378</v>
      </c>
      <c r="CJ143" s="450">
        <v>206</v>
      </c>
      <c r="CK143" s="450">
        <v>63</v>
      </c>
      <c r="CL143" s="450">
        <v>865</v>
      </c>
      <c r="CM143" s="450">
        <v>190</v>
      </c>
      <c r="CN143" s="450">
        <v>55</v>
      </c>
      <c r="CO143" s="450">
        <v>248</v>
      </c>
      <c r="CP143" s="450">
        <v>25</v>
      </c>
      <c r="CQ143" s="450">
        <v>625</v>
      </c>
      <c r="CR143" s="450">
        <v>315</v>
      </c>
      <c r="CS143" s="450">
        <v>0</v>
      </c>
      <c r="CT143" s="450">
        <v>1079</v>
      </c>
      <c r="CU143" s="450">
        <v>0</v>
      </c>
      <c r="CV143" s="450">
        <v>0</v>
      </c>
      <c r="CW143" s="447">
        <v>2966086.118037613</v>
      </c>
      <c r="CX143" s="452">
        <v>0.9176405465793702</v>
      </c>
      <c r="CY143" s="452">
        <v>0.94</v>
      </c>
      <c r="CZ143" s="447">
        <v>2721800.8865575176</v>
      </c>
      <c r="DA143" s="454">
        <v>641.9341713579051</v>
      </c>
      <c r="DB143" s="449">
        <v>4240</v>
      </c>
      <c r="DC143" s="452">
        <v>1.0247169811320758</v>
      </c>
      <c r="DD143" s="454">
        <v>295.4</v>
      </c>
      <c r="DE143" s="447">
        <v>42993</v>
      </c>
      <c r="DF143" s="454">
        <v>50.739119323380976</v>
      </c>
      <c r="DG143" s="454">
        <v>52.92090145428635</v>
      </c>
      <c r="DH143" s="454">
        <v>54.08516128628064</v>
      </c>
      <c r="DI143" s="454">
        <v>55.275034834578804</v>
      </c>
      <c r="DJ143" s="454">
        <v>57.0991109841199</v>
      </c>
      <c r="DK143" s="454">
        <v>59.15467897954821</v>
      </c>
      <c r="DL143" s="454">
        <v>61.04762870689374</v>
      </c>
      <c r="DM143" s="454">
        <v>63.55058148387638</v>
      </c>
      <c r="DN143" s="454">
        <v>66.34680706916693</v>
      </c>
      <c r="DO143" s="454">
        <v>69.99588145797111</v>
      </c>
      <c r="DP143" s="454">
        <v>69.36591852484936</v>
      </c>
      <c r="DQ143" s="454">
        <v>72.90358036961668</v>
      </c>
      <c r="DR143" s="454">
        <v>77.35069877216328</v>
      </c>
      <c r="DS143" s="454">
        <v>38.402763866136205</v>
      </c>
      <c r="DT143" s="454">
        <v>40.73137833270014</v>
      </c>
      <c r="DU143" s="454">
        <v>43.143864898081674</v>
      </c>
      <c r="DV143" s="454">
        <v>46.13404975776856</v>
      </c>
      <c r="DW143" s="454">
        <v>49.41770461054821</v>
      </c>
      <c r="DX143" s="454">
        <v>52.673830749553744</v>
      </c>
      <c r="DY143" s="454">
        <v>56.576882545003635</v>
      </c>
      <c r="DZ143" s="454">
        <v>59.87521445389302</v>
      </c>
      <c r="EA143" s="454">
        <v>61.767388281394055</v>
      </c>
      <c r="EB143" s="454">
        <v>63.867650105424325</v>
      </c>
      <c r="EC143" s="454">
        <v>68.2806362825641</v>
      </c>
      <c r="ED143" s="454">
        <v>73.6719910148912</v>
      </c>
      <c r="EE143" s="454">
        <v>-1.21</v>
      </c>
      <c r="EF143" s="454">
        <v>72.46199101489121</v>
      </c>
      <c r="EG143" s="454">
        <v>3768.023532774343</v>
      </c>
      <c r="EH143" s="447">
        <v>15656891.383383948</v>
      </c>
      <c r="EI143" s="454">
        <v>43.33164053358296</v>
      </c>
      <c r="EJ143" s="454">
        <v>45.264959091417666</v>
      </c>
      <c r="EK143" s="454">
        <v>47.26237115177884</v>
      </c>
      <c r="EL143" s="454">
        <v>49.85666459782908</v>
      </c>
      <c r="EM143" s="454">
        <v>52.723386588521954</v>
      </c>
      <c r="EN143" s="454">
        <v>55.516717250611165</v>
      </c>
      <c r="EO143" s="454">
        <v>58.94443842308425</v>
      </c>
      <c r="EP143" s="454">
        <v>62.072306308751834</v>
      </c>
      <c r="EQ143" s="454">
        <v>63.86268154697775</v>
      </c>
      <c r="ER143" s="454">
        <v>65.26772233546355</v>
      </c>
      <c r="ES143" s="454">
        <v>69.45781701358108</v>
      </c>
      <c r="ET143" s="454">
        <v>74.60873258159796</v>
      </c>
      <c r="EU143" s="447">
        <v>7130277</v>
      </c>
      <c r="EV143" s="447">
        <v>0</v>
      </c>
      <c r="EW143" s="447">
        <v>0</v>
      </c>
      <c r="EX143" s="447">
        <v>0</v>
      </c>
      <c r="EY143" s="447">
        <v>0</v>
      </c>
      <c r="EZ143" s="447">
        <v>0</v>
      </c>
      <c r="FA143" s="447">
        <v>0</v>
      </c>
      <c r="FB143" s="447">
        <v>0</v>
      </c>
      <c r="FC143" s="447">
        <v>0</v>
      </c>
      <c r="FD143" s="447">
        <v>7130277</v>
      </c>
      <c r="FE143" s="447">
        <v>44007.98830446045</v>
      </c>
      <c r="FF143" s="447">
        <v>0</v>
      </c>
      <c r="FG143" s="447">
        <v>0</v>
      </c>
      <c r="FH143" s="447">
        <v>0</v>
      </c>
      <c r="FI143" s="456">
        <v>0</v>
      </c>
      <c r="FJ143" s="447">
        <v>0</v>
      </c>
      <c r="FK143" s="471">
        <v>0</v>
      </c>
      <c r="FL143" s="446">
        <v>72.91</v>
      </c>
      <c r="FM143" s="450">
        <v>68.72</v>
      </c>
      <c r="FN143" s="450">
        <v>67.51</v>
      </c>
      <c r="FO143" s="450">
        <v>-1.21</v>
      </c>
      <c r="FP143" s="472">
        <v>67.51</v>
      </c>
      <c r="FQ143" s="446">
        <v>69144</v>
      </c>
      <c r="FR143" s="450">
        <v>0</v>
      </c>
      <c r="FS143" s="450">
        <v>0</v>
      </c>
      <c r="FT143" s="450">
        <v>0</v>
      </c>
      <c r="FU143" s="450">
        <v>0</v>
      </c>
      <c r="FV143" s="450">
        <v>0</v>
      </c>
      <c r="FW143" s="450">
        <v>0</v>
      </c>
      <c r="FX143" s="450">
        <v>0</v>
      </c>
      <c r="FY143" s="450">
        <v>0</v>
      </c>
      <c r="FZ143" s="450">
        <v>0</v>
      </c>
      <c r="GA143" s="450">
        <v>0</v>
      </c>
      <c r="GB143" s="450">
        <v>0</v>
      </c>
      <c r="GC143" s="450">
        <v>0</v>
      </c>
      <c r="GD143" s="450">
        <v>0</v>
      </c>
      <c r="GE143" s="450">
        <v>0</v>
      </c>
      <c r="GF143" s="450">
        <v>0</v>
      </c>
      <c r="GG143" s="450">
        <v>0</v>
      </c>
      <c r="GH143" s="450">
        <v>0</v>
      </c>
      <c r="GI143" s="450">
        <v>0</v>
      </c>
      <c r="GJ143" s="450">
        <v>0</v>
      </c>
      <c r="GK143" s="450">
        <v>0</v>
      </c>
      <c r="GL143" s="450">
        <v>0</v>
      </c>
      <c r="GM143" s="450">
        <v>0</v>
      </c>
      <c r="GN143" s="450">
        <v>0</v>
      </c>
      <c r="GO143" s="450">
        <v>0</v>
      </c>
      <c r="GP143" s="450">
        <v>0</v>
      </c>
      <c r="GQ143" s="450">
        <v>0</v>
      </c>
      <c r="GR143" s="450">
        <v>0</v>
      </c>
      <c r="GS143" s="450">
        <v>0</v>
      </c>
      <c r="GT143" s="450">
        <v>0</v>
      </c>
      <c r="GU143" s="450">
        <v>0</v>
      </c>
      <c r="GV143" s="450">
        <v>0</v>
      </c>
      <c r="GW143" s="450">
        <v>5094375</v>
      </c>
      <c r="GX143" s="450">
        <v>1244619</v>
      </c>
      <c r="GY143" s="450">
        <v>2460619</v>
      </c>
      <c r="GZ143" s="450">
        <v>32</v>
      </c>
      <c r="HA143" s="450" t="s">
        <v>888</v>
      </c>
      <c r="HB143" s="450" t="s">
        <v>888</v>
      </c>
      <c r="HC143" s="450">
        <v>0</v>
      </c>
      <c r="HD143" s="450">
        <v>48</v>
      </c>
      <c r="HE143" s="450">
        <v>0</v>
      </c>
      <c r="HF143" s="450">
        <v>0</v>
      </c>
      <c r="HG143" s="472">
        <v>0</v>
      </c>
    </row>
    <row r="144" spans="2:215" ht="12.75">
      <c r="B144" s="445" t="s">
        <v>825</v>
      </c>
      <c r="C144" s="446">
        <v>6445.57</v>
      </c>
      <c r="D144" s="447">
        <v>1532617.81</v>
      </c>
      <c r="E144" s="447">
        <v>1314986.0809799999</v>
      </c>
      <c r="F144" s="447">
        <v>215304.4367262392</v>
      </c>
      <c r="G144" s="447">
        <v>217631.72902</v>
      </c>
      <c r="H144" s="448">
        <v>0.48727730829081056</v>
      </c>
      <c r="I144" s="449">
        <v>2696.7</v>
      </c>
      <c r="J144" s="449">
        <v>444.08</v>
      </c>
      <c r="K144" s="447">
        <v>1530290.5177062391</v>
      </c>
      <c r="L144" s="447">
        <v>1224232.4141649914</v>
      </c>
      <c r="M144" s="447">
        <v>395399.6983972441</v>
      </c>
      <c r="N144" s="447">
        <v>306058.1035412478</v>
      </c>
      <c r="O144" s="450">
        <v>1.2919105680335488</v>
      </c>
      <c r="P144" s="451">
        <v>0.7755714389883285</v>
      </c>
      <c r="Q144" s="452">
        <v>0.22449527349792184</v>
      </c>
      <c r="R144" s="447">
        <v>1619632.1125622354</v>
      </c>
      <c r="S144" s="447">
        <v>1094871.3080920712</v>
      </c>
      <c r="T144" s="447">
        <v>105026.65506274089</v>
      </c>
      <c r="U144" s="447">
        <v>628328.4061590561</v>
      </c>
      <c r="V144" s="447">
        <v>369276.1216641897</v>
      </c>
      <c r="W144" s="450">
        <v>1.7015137705828756</v>
      </c>
      <c r="X144" s="452">
        <v>29.86922528090417</v>
      </c>
      <c r="Y144" s="447">
        <v>105026.65506274089</v>
      </c>
      <c r="Z144" s="447">
        <v>155484.68280597462</v>
      </c>
      <c r="AA144" s="448">
        <v>0.6754791093718279</v>
      </c>
      <c r="AB144" s="448">
        <v>0.05313727102490548</v>
      </c>
      <c r="AC144" s="449">
        <v>345</v>
      </c>
      <c r="AD144" s="449">
        <v>340</v>
      </c>
      <c r="AE144" s="447">
        <v>1828226.3693138682</v>
      </c>
      <c r="AF144" s="447">
        <v>28533.022802476306</v>
      </c>
      <c r="AG144" s="451">
        <v>0.25</v>
      </c>
      <c r="AH144" s="450">
        <v>0.1203537183630539</v>
      </c>
      <c r="AI144" s="452">
        <v>0.1013510599732399</v>
      </c>
      <c r="AJ144" s="447">
        <v>1856759.3921163445</v>
      </c>
      <c r="AK144" s="453">
        <v>1.104</v>
      </c>
      <c r="AL144" s="447">
        <v>2049862.3688964446</v>
      </c>
      <c r="AM144" s="447">
        <v>4822223.196965293</v>
      </c>
      <c r="AN144" s="447">
        <v>4774626.8996301545</v>
      </c>
      <c r="AO144" s="447">
        <v>4644909.412716486</v>
      </c>
      <c r="AP144" s="447">
        <v>4774626.8996301545</v>
      </c>
      <c r="AQ144" s="447">
        <v>25782.28</v>
      </c>
      <c r="AR144" s="447">
        <v>4800409.179630155</v>
      </c>
      <c r="AS144" s="454">
        <v>744.7610032363554</v>
      </c>
      <c r="AT144" s="450">
        <v>6443</v>
      </c>
      <c r="AU144" s="450">
        <v>170</v>
      </c>
      <c r="AV144" s="450">
        <v>118</v>
      </c>
      <c r="AW144" s="450">
        <v>352</v>
      </c>
      <c r="AX144" s="450">
        <v>145</v>
      </c>
      <c r="AY144" s="450">
        <v>1458</v>
      </c>
      <c r="AZ144" s="450">
        <v>111</v>
      </c>
      <c r="BA144" s="450">
        <v>220</v>
      </c>
      <c r="BB144" s="450">
        <v>251</v>
      </c>
      <c r="BC144" s="450">
        <v>35</v>
      </c>
      <c r="BD144" s="450">
        <v>1548</v>
      </c>
      <c r="BE144" s="450">
        <v>1263</v>
      </c>
      <c r="BF144" s="450">
        <v>184</v>
      </c>
      <c r="BG144" s="450">
        <v>588</v>
      </c>
      <c r="BH144" s="450">
        <v>0</v>
      </c>
      <c r="BI144" s="450">
        <v>0</v>
      </c>
      <c r="BJ144" s="452">
        <v>2.166727481468358</v>
      </c>
      <c r="BK144" s="452">
        <v>25.90945648177857</v>
      </c>
      <c r="BL144" s="452">
        <v>13.37216739719772</v>
      </c>
      <c r="BM144" s="452">
        <v>25.0745781691617</v>
      </c>
      <c r="BN144" s="449">
        <v>4996</v>
      </c>
      <c r="BO144" s="449">
        <v>1447</v>
      </c>
      <c r="BP144" s="447">
        <v>2744244.8576514525</v>
      </c>
      <c r="BQ144" s="447">
        <v>7001681</v>
      </c>
      <c r="BR144" s="447">
        <v>8750759</v>
      </c>
      <c r="BS144" s="448">
        <v>0.053158466552848053</v>
      </c>
      <c r="BT144" s="449">
        <v>345</v>
      </c>
      <c r="BU144" s="449">
        <v>340</v>
      </c>
      <c r="BV144" s="447">
        <v>465176.92961353407</v>
      </c>
      <c r="BW144" s="448">
        <v>0.01146704539279611</v>
      </c>
      <c r="BX144" s="447">
        <v>30255.351981098956</v>
      </c>
      <c r="BY144" s="447">
        <v>10241358.139246086</v>
      </c>
      <c r="BZ144" s="455">
        <v>1.0633333333333332</v>
      </c>
      <c r="CA144" s="447">
        <v>10889977.488065004</v>
      </c>
      <c r="CB144" s="447">
        <v>8189558.254126116</v>
      </c>
      <c r="CC144" s="447">
        <v>8179534.8856737865</v>
      </c>
      <c r="CD144" s="447">
        <v>7992931.140880649</v>
      </c>
      <c r="CE144" s="447">
        <v>8179534.8856737865</v>
      </c>
      <c r="CF144" s="454">
        <v>1269.5227201107848</v>
      </c>
      <c r="CG144" s="450">
        <v>6443</v>
      </c>
      <c r="CH144" s="450">
        <v>170</v>
      </c>
      <c r="CI144" s="450">
        <v>118</v>
      </c>
      <c r="CJ144" s="450">
        <v>352</v>
      </c>
      <c r="CK144" s="450">
        <v>145</v>
      </c>
      <c r="CL144" s="450">
        <v>1458</v>
      </c>
      <c r="CM144" s="450">
        <v>111</v>
      </c>
      <c r="CN144" s="450">
        <v>220</v>
      </c>
      <c r="CO144" s="450">
        <v>251</v>
      </c>
      <c r="CP144" s="450">
        <v>35</v>
      </c>
      <c r="CQ144" s="450">
        <v>1548</v>
      </c>
      <c r="CR144" s="450">
        <v>1263</v>
      </c>
      <c r="CS144" s="450">
        <v>184</v>
      </c>
      <c r="CT144" s="450">
        <v>588</v>
      </c>
      <c r="CU144" s="450">
        <v>0</v>
      </c>
      <c r="CV144" s="450">
        <v>0</v>
      </c>
      <c r="CW144" s="447">
        <v>4936140.6358834</v>
      </c>
      <c r="CX144" s="452">
        <v>1.0380401927617697</v>
      </c>
      <c r="CY144" s="452">
        <v>1.0633333333333332</v>
      </c>
      <c r="CZ144" s="447">
        <v>5123912.37717161</v>
      </c>
      <c r="DA144" s="454">
        <v>795.2681013769377</v>
      </c>
      <c r="DB144" s="449">
        <v>6445.57</v>
      </c>
      <c r="DC144" s="452">
        <v>0.9925282015399726</v>
      </c>
      <c r="DD144" s="454">
        <v>345.4</v>
      </c>
      <c r="DE144" s="447">
        <v>72308</v>
      </c>
      <c r="DF144" s="454">
        <v>65.24237680882422</v>
      </c>
      <c r="DG144" s="454">
        <v>68.04779901160366</v>
      </c>
      <c r="DH144" s="454">
        <v>69.54485058985892</v>
      </c>
      <c r="DI144" s="454">
        <v>71.0748373028358</v>
      </c>
      <c r="DJ144" s="454">
        <v>73.42030693382938</v>
      </c>
      <c r="DK144" s="454">
        <v>76.06343798344723</v>
      </c>
      <c r="DL144" s="454">
        <v>78.49746799891753</v>
      </c>
      <c r="DM144" s="454">
        <v>81.71586418687315</v>
      </c>
      <c r="DN144" s="454">
        <v>85.31136221109556</v>
      </c>
      <c r="DO144" s="454">
        <v>90.0034871327058</v>
      </c>
      <c r="DP144" s="454">
        <v>89.19345574851145</v>
      </c>
      <c r="DQ144" s="454">
        <v>93.74232199168553</v>
      </c>
      <c r="DR144" s="454">
        <v>99.46060363317834</v>
      </c>
      <c r="DS144" s="454">
        <v>47.88</v>
      </c>
      <c r="DT144" s="454">
        <v>50.994509058985884</v>
      </c>
      <c r="DU144" s="454">
        <v>54.222882596567146</v>
      </c>
      <c r="DV144" s="454">
        <v>58.1882463737008</v>
      </c>
      <c r="DW144" s="454">
        <v>62.53736820605305</v>
      </c>
      <c r="DX144" s="454">
        <v>66.86504799035853</v>
      </c>
      <c r="DY144" s="454">
        <v>72.02838480374521</v>
      </c>
      <c r="DZ144" s="454">
        <v>76.32138134355283</v>
      </c>
      <c r="EA144" s="454">
        <v>78.78538981681527</v>
      </c>
      <c r="EB144" s="454">
        <v>81.69753773844684</v>
      </c>
      <c r="EC144" s="454">
        <v>87.4397541288232</v>
      </c>
      <c r="ED144" s="454">
        <v>94.44533525630564</v>
      </c>
      <c r="EE144" s="454">
        <v>-0.94</v>
      </c>
      <c r="EF144" s="454">
        <v>93.50533525630564</v>
      </c>
      <c r="EG144" s="454">
        <v>4862.277433327893</v>
      </c>
      <c r="EH144" s="447">
        <v>30713346.56481656</v>
      </c>
      <c r="EI144" s="454">
        <v>57.05</v>
      </c>
      <c r="EJ144" s="454">
        <v>59.42907505898588</v>
      </c>
      <c r="EK144" s="454">
        <v>61.88521722056714</v>
      </c>
      <c r="EL144" s="454">
        <v>65.1140390819688</v>
      </c>
      <c r="EM144" s="454">
        <v>68.68747213099502</v>
      </c>
      <c r="EN144" s="454">
        <v>72.15413736580862</v>
      </c>
      <c r="EO144" s="454">
        <v>76.43313843562005</v>
      </c>
      <c r="EP144" s="454">
        <v>80.40899271393269</v>
      </c>
      <c r="EQ144" s="454">
        <v>82.6836085270342</v>
      </c>
      <c r="ER144" s="454">
        <v>84.30232240150279</v>
      </c>
      <c r="ES144" s="454">
        <v>89.62985707352065</v>
      </c>
      <c r="ET144" s="454">
        <v>96.18810967454864</v>
      </c>
      <c r="EU144" s="447">
        <v>41562430</v>
      </c>
      <c r="EV144" s="447">
        <v>0</v>
      </c>
      <c r="EW144" s="447">
        <v>0</v>
      </c>
      <c r="EX144" s="447">
        <v>0</v>
      </c>
      <c r="EY144" s="447">
        <v>0</v>
      </c>
      <c r="EZ144" s="447">
        <v>0</v>
      </c>
      <c r="FA144" s="447">
        <v>0</v>
      </c>
      <c r="FB144" s="447">
        <v>0</v>
      </c>
      <c r="FC144" s="447">
        <v>0</v>
      </c>
      <c r="FD144" s="447">
        <v>41562430</v>
      </c>
      <c r="FE144" s="447">
        <v>60839.60781248795</v>
      </c>
      <c r="FF144" s="447">
        <v>0</v>
      </c>
      <c r="FG144" s="447">
        <v>0</v>
      </c>
      <c r="FH144" s="447">
        <v>88311</v>
      </c>
      <c r="FI144" s="456">
        <v>0.0435</v>
      </c>
      <c r="FJ144" s="447">
        <v>3841.5285</v>
      </c>
      <c r="FK144" s="471">
        <v>3841.5285</v>
      </c>
      <c r="FL144" s="446">
        <v>93.76</v>
      </c>
      <c r="FM144" s="450">
        <v>88.24</v>
      </c>
      <c r="FN144" s="450">
        <v>87.3</v>
      </c>
      <c r="FO144" s="450">
        <v>-0.94</v>
      </c>
      <c r="FP144" s="472">
        <v>85.81</v>
      </c>
      <c r="FQ144" s="446">
        <v>975607</v>
      </c>
      <c r="FR144" s="450">
        <v>0</v>
      </c>
      <c r="FS144" s="450">
        <v>0</v>
      </c>
      <c r="FT144" s="450">
        <v>0</v>
      </c>
      <c r="FU144" s="450">
        <v>0</v>
      </c>
      <c r="FV144" s="450">
        <v>0</v>
      </c>
      <c r="FW144" s="450">
        <v>0</v>
      </c>
      <c r="FX144" s="450">
        <v>0</v>
      </c>
      <c r="FY144" s="450">
        <v>0</v>
      </c>
      <c r="FZ144" s="450">
        <v>0</v>
      </c>
      <c r="GA144" s="450">
        <v>0</v>
      </c>
      <c r="GB144" s="450">
        <v>0</v>
      </c>
      <c r="GC144" s="450">
        <v>0</v>
      </c>
      <c r="GD144" s="450">
        <v>0</v>
      </c>
      <c r="GE144" s="450">
        <v>0</v>
      </c>
      <c r="GF144" s="450">
        <v>0</v>
      </c>
      <c r="GG144" s="450">
        <v>0</v>
      </c>
      <c r="GH144" s="450">
        <v>0</v>
      </c>
      <c r="GI144" s="450">
        <v>0</v>
      </c>
      <c r="GJ144" s="450">
        <v>0</v>
      </c>
      <c r="GK144" s="450">
        <v>0</v>
      </c>
      <c r="GL144" s="450">
        <v>0</v>
      </c>
      <c r="GM144" s="450">
        <v>0</v>
      </c>
      <c r="GN144" s="450">
        <v>0</v>
      </c>
      <c r="GO144" s="450">
        <v>0</v>
      </c>
      <c r="GP144" s="450">
        <v>0</v>
      </c>
      <c r="GQ144" s="450">
        <v>0</v>
      </c>
      <c r="GR144" s="450">
        <v>0</v>
      </c>
      <c r="GS144" s="450">
        <v>0</v>
      </c>
      <c r="GT144" s="450">
        <v>0</v>
      </c>
      <c r="GU144" s="450">
        <v>0</v>
      </c>
      <c r="GV144" s="450">
        <v>0</v>
      </c>
      <c r="GW144" s="450">
        <v>0</v>
      </c>
      <c r="GX144" s="450">
        <v>23129913</v>
      </c>
      <c r="GY144" s="450">
        <v>23129913</v>
      </c>
      <c r="GZ144" s="450">
        <v>42</v>
      </c>
      <c r="HA144" s="450" t="s">
        <v>888</v>
      </c>
      <c r="HB144" s="450" t="s">
        <v>888</v>
      </c>
      <c r="HC144" s="450">
        <v>30</v>
      </c>
      <c r="HD144" s="450">
        <v>0</v>
      </c>
      <c r="HE144" s="450">
        <v>0</v>
      </c>
      <c r="HF144" s="450">
        <v>0</v>
      </c>
      <c r="HG144" s="472">
        <v>0</v>
      </c>
    </row>
    <row r="145" spans="2:215" ht="12.75">
      <c r="B145" s="445" t="s">
        <v>826</v>
      </c>
      <c r="C145" s="446">
        <v>10344</v>
      </c>
      <c r="D145" s="447">
        <v>2440952</v>
      </c>
      <c r="E145" s="447">
        <v>2094336.8159999999</v>
      </c>
      <c r="F145" s="447">
        <v>359984.86694784835</v>
      </c>
      <c r="G145" s="447">
        <v>346615.184</v>
      </c>
      <c r="H145" s="448">
        <v>0.5115429234338748</v>
      </c>
      <c r="I145" s="449">
        <v>4621.77</v>
      </c>
      <c r="J145" s="449">
        <v>669.63</v>
      </c>
      <c r="K145" s="447">
        <v>2454321.682947848</v>
      </c>
      <c r="L145" s="447">
        <v>1963457.3463582785</v>
      </c>
      <c r="M145" s="447">
        <v>663658.6433203892</v>
      </c>
      <c r="N145" s="447">
        <v>490864.3365895695</v>
      </c>
      <c r="O145" s="450">
        <v>1.352020494972931</v>
      </c>
      <c r="P145" s="451">
        <v>0.729215003866976</v>
      </c>
      <c r="Q145" s="452">
        <v>0.270784996133024</v>
      </c>
      <c r="R145" s="447">
        <v>2627115.989678668</v>
      </c>
      <c r="S145" s="447">
        <v>1775930.4090227797</v>
      </c>
      <c r="T145" s="447">
        <v>335817.6824051356</v>
      </c>
      <c r="U145" s="447">
        <v>479788.51412505447</v>
      </c>
      <c r="V145" s="447">
        <v>598982.4456467363</v>
      </c>
      <c r="W145" s="450">
        <v>0.8010059687258695</v>
      </c>
      <c r="X145" s="452">
        <v>14.061260123111381</v>
      </c>
      <c r="Y145" s="447">
        <v>335817.6824051356</v>
      </c>
      <c r="Z145" s="447">
        <v>252203.13500915212</v>
      </c>
      <c r="AA145" s="448">
        <v>1.3315365108088335</v>
      </c>
      <c r="AB145" s="448">
        <v>0.10474671307037896</v>
      </c>
      <c r="AC145" s="449">
        <v>1035</v>
      </c>
      <c r="AD145" s="449">
        <v>1132</v>
      </c>
      <c r="AE145" s="447">
        <v>2591536.6055529695</v>
      </c>
      <c r="AF145" s="447">
        <v>58045.39755681167</v>
      </c>
      <c r="AG145" s="451">
        <v>0.25</v>
      </c>
      <c r="AH145" s="450">
        <v>0.18230086365907763</v>
      </c>
      <c r="AI145" s="452">
        <v>0.15351736545562744</v>
      </c>
      <c r="AJ145" s="447">
        <v>2649582.003109781</v>
      </c>
      <c r="AK145" s="453">
        <v>1.0076</v>
      </c>
      <c r="AL145" s="447">
        <v>2669718.8263334157</v>
      </c>
      <c r="AM145" s="447">
        <v>6280411.91889909</v>
      </c>
      <c r="AN145" s="447">
        <v>6218423.010283831</v>
      </c>
      <c r="AO145" s="447">
        <v>6090423.748988131</v>
      </c>
      <c r="AP145" s="447">
        <v>6218423.010283831</v>
      </c>
      <c r="AQ145" s="447">
        <v>41376</v>
      </c>
      <c r="AR145" s="447">
        <v>6259799.010283831</v>
      </c>
      <c r="AS145" s="454">
        <v>605.162317312822</v>
      </c>
      <c r="AT145" s="450">
        <v>10344</v>
      </c>
      <c r="AU145" s="450">
        <v>9</v>
      </c>
      <c r="AV145" s="450">
        <v>210</v>
      </c>
      <c r="AW145" s="450">
        <v>9</v>
      </c>
      <c r="AX145" s="450">
        <v>89</v>
      </c>
      <c r="AY145" s="450">
        <v>795</v>
      </c>
      <c r="AZ145" s="450">
        <v>162</v>
      </c>
      <c r="BA145" s="450">
        <v>335</v>
      </c>
      <c r="BB145" s="450">
        <v>1784</v>
      </c>
      <c r="BC145" s="450">
        <v>0</v>
      </c>
      <c r="BD145" s="450">
        <v>2392</v>
      </c>
      <c r="BE145" s="450">
        <v>720</v>
      </c>
      <c r="BF145" s="450">
        <v>2081</v>
      </c>
      <c r="BG145" s="450">
        <v>1758</v>
      </c>
      <c r="BH145" s="450">
        <v>0</v>
      </c>
      <c r="BI145" s="450">
        <v>0</v>
      </c>
      <c r="BJ145" s="452">
        <v>1.7044116843517605</v>
      </c>
      <c r="BK145" s="452">
        <v>14.589392917049896</v>
      </c>
      <c r="BL145" s="452">
        <v>7.3444833188623635</v>
      </c>
      <c r="BM145" s="452">
        <v>14.489819196375066</v>
      </c>
      <c r="BN145" s="449">
        <v>7543</v>
      </c>
      <c r="BO145" s="449">
        <v>2801</v>
      </c>
      <c r="BP145" s="447">
        <v>3304303.730984018</v>
      </c>
      <c r="BQ145" s="447">
        <v>11375469</v>
      </c>
      <c r="BR145" s="447">
        <v>13854324</v>
      </c>
      <c r="BS145" s="448">
        <v>0.10474671307037896</v>
      </c>
      <c r="BT145" s="449">
        <v>1035</v>
      </c>
      <c r="BU145" s="449">
        <v>1132</v>
      </c>
      <c r="BV145" s="447">
        <v>1451194.900812065</v>
      </c>
      <c r="BW145" s="448">
        <v>0.010286714520265411</v>
      </c>
      <c r="BX145" s="447">
        <v>24536.16389922071</v>
      </c>
      <c r="BY145" s="447">
        <v>16155503.795695305</v>
      </c>
      <c r="BZ145" s="455">
        <v>0.9533333333333333</v>
      </c>
      <c r="CA145" s="447">
        <v>15401580.285229523</v>
      </c>
      <c r="CB145" s="447">
        <v>11582405.848838847</v>
      </c>
      <c r="CC145" s="447">
        <v>11568229.904571177</v>
      </c>
      <c r="CD145" s="447">
        <v>11205181.060343545</v>
      </c>
      <c r="CE145" s="447">
        <v>11568229.904571177</v>
      </c>
      <c r="CF145" s="454">
        <v>1118.3516922439267</v>
      </c>
      <c r="CG145" s="450">
        <v>10344</v>
      </c>
      <c r="CH145" s="450">
        <v>9</v>
      </c>
      <c r="CI145" s="450">
        <v>210</v>
      </c>
      <c r="CJ145" s="450">
        <v>9</v>
      </c>
      <c r="CK145" s="450">
        <v>89</v>
      </c>
      <c r="CL145" s="450">
        <v>795</v>
      </c>
      <c r="CM145" s="450">
        <v>162</v>
      </c>
      <c r="CN145" s="450">
        <v>335</v>
      </c>
      <c r="CO145" s="450">
        <v>1784</v>
      </c>
      <c r="CP145" s="450">
        <v>0</v>
      </c>
      <c r="CQ145" s="450">
        <v>2392</v>
      </c>
      <c r="CR145" s="450">
        <v>720</v>
      </c>
      <c r="CS145" s="450">
        <v>2081</v>
      </c>
      <c r="CT145" s="450">
        <v>1758</v>
      </c>
      <c r="CU145" s="450">
        <v>0</v>
      </c>
      <c r="CV145" s="450">
        <v>0</v>
      </c>
      <c r="CW145" s="447">
        <v>8190712.858989726</v>
      </c>
      <c r="CX145" s="452">
        <v>0.930656724545035</v>
      </c>
      <c r="CY145" s="452">
        <v>0.9533333333333333</v>
      </c>
      <c r="CZ145" s="447">
        <v>7622742.001036277</v>
      </c>
      <c r="DA145" s="454">
        <v>736.9240140212952</v>
      </c>
      <c r="DB145" s="449">
        <v>10344</v>
      </c>
      <c r="DC145" s="452">
        <v>0.9907675947409126</v>
      </c>
      <c r="DD145" s="454">
        <v>320.6</v>
      </c>
      <c r="DE145" s="447">
        <v>37363</v>
      </c>
      <c r="DF145" s="454">
        <v>50.689986484272566</v>
      </c>
      <c r="DG145" s="454">
        <v>52.86965590309628</v>
      </c>
      <c r="DH145" s="454">
        <v>54.03278833296439</v>
      </c>
      <c r="DI145" s="454">
        <v>55.22150967628959</v>
      </c>
      <c r="DJ145" s="454">
        <v>57.043819495607146</v>
      </c>
      <c r="DK145" s="454">
        <v>59.09739699744899</v>
      </c>
      <c r="DL145" s="454">
        <v>60.988513701367346</v>
      </c>
      <c r="DM145" s="454">
        <v>63.4890427631234</v>
      </c>
      <c r="DN145" s="454">
        <v>66.28256064470082</v>
      </c>
      <c r="DO145" s="454">
        <v>69.92810148015937</v>
      </c>
      <c r="DP145" s="454">
        <v>69.29874856683793</v>
      </c>
      <c r="DQ145" s="454">
        <v>72.83298474374666</v>
      </c>
      <c r="DR145" s="454">
        <v>77.2757968131152</v>
      </c>
      <c r="DS145" s="454">
        <v>40.38</v>
      </c>
      <c r="DT145" s="454">
        <v>42.54480283329643</v>
      </c>
      <c r="DU145" s="454">
        <v>44.7853130712579</v>
      </c>
      <c r="DV145" s="454">
        <v>47.61080228923412</v>
      </c>
      <c r="DW145" s="454">
        <v>50.720877718189755</v>
      </c>
      <c r="DX145" s="454">
        <v>53.784707121204406</v>
      </c>
      <c r="DY145" s="454">
        <v>57.489712643163706</v>
      </c>
      <c r="DZ145" s="454">
        <v>60.71518229337822</v>
      </c>
      <c r="EA145" s="454">
        <v>62.563918945795656</v>
      </c>
      <c r="EB145" s="454">
        <v>64.3780113924022</v>
      </c>
      <c r="EC145" s="454">
        <v>68.6956289274811</v>
      </c>
      <c r="ED145" s="454">
        <v>73.98349592232188</v>
      </c>
      <c r="EE145" s="454">
        <v>-0.85</v>
      </c>
      <c r="EF145" s="454">
        <v>73.13349592232188</v>
      </c>
      <c r="EG145" s="454">
        <v>3802.941787960738</v>
      </c>
      <c r="EH145" s="447">
        <v>38550877.257572554</v>
      </c>
      <c r="EI145" s="454">
        <v>46.36</v>
      </c>
      <c r="EJ145" s="454">
        <v>48.04520683329643</v>
      </c>
      <c r="EK145" s="454">
        <v>49.782124527257906</v>
      </c>
      <c r="EL145" s="454">
        <v>52.12729524402613</v>
      </c>
      <c r="EM145" s="454">
        <v>54.73152346204505</v>
      </c>
      <c r="EN145" s="454">
        <v>57.23386246091995</v>
      </c>
      <c r="EO145" s="454">
        <v>60.36216921007881</v>
      </c>
      <c r="EP145" s="454">
        <v>63.38082198747544</v>
      </c>
      <c r="EQ145" s="454">
        <v>65.1060506673997</v>
      </c>
      <c r="ER145" s="454">
        <v>66.07666049655428</v>
      </c>
      <c r="ES145" s="454">
        <v>70.12385309425217</v>
      </c>
      <c r="ET145" s="454">
        <v>75.12000530302997</v>
      </c>
      <c r="EU145" s="447">
        <v>110194016</v>
      </c>
      <c r="EV145" s="447">
        <v>0</v>
      </c>
      <c r="EW145" s="447">
        <v>0</v>
      </c>
      <c r="EX145" s="447">
        <v>0</v>
      </c>
      <c r="EY145" s="447">
        <v>0</v>
      </c>
      <c r="EZ145" s="447">
        <v>0</v>
      </c>
      <c r="FA145" s="447">
        <v>0</v>
      </c>
      <c r="FB145" s="447">
        <v>0</v>
      </c>
      <c r="FC145" s="447">
        <v>0</v>
      </c>
      <c r="FD145" s="447">
        <v>110194016</v>
      </c>
      <c r="FE145" s="447">
        <v>94389.08529606173</v>
      </c>
      <c r="FF145" s="447">
        <v>0</v>
      </c>
      <c r="FG145" s="447">
        <v>0</v>
      </c>
      <c r="FH145" s="447">
        <v>0</v>
      </c>
      <c r="FI145" s="456">
        <v>0</v>
      </c>
      <c r="FJ145" s="447">
        <v>0</v>
      </c>
      <c r="FK145" s="471">
        <v>0</v>
      </c>
      <c r="FL145" s="446">
        <v>72.83</v>
      </c>
      <c r="FM145" s="450">
        <v>69.47</v>
      </c>
      <c r="FN145" s="450">
        <v>68.57</v>
      </c>
      <c r="FO145" s="450">
        <v>-0.9</v>
      </c>
      <c r="FP145" s="472">
        <v>68.62</v>
      </c>
      <c r="FQ145" s="446">
        <v>57542</v>
      </c>
      <c r="FR145" s="450">
        <v>446272</v>
      </c>
      <c r="FS145" s="450">
        <v>0</v>
      </c>
      <c r="FT145" s="450">
        <v>0</v>
      </c>
      <c r="FU145" s="450">
        <v>0</v>
      </c>
      <c r="FV145" s="450">
        <v>0</v>
      </c>
      <c r="FW145" s="450">
        <v>0</v>
      </c>
      <c r="FX145" s="450">
        <v>0</v>
      </c>
      <c r="FY145" s="450">
        <v>0</v>
      </c>
      <c r="FZ145" s="450">
        <v>0</v>
      </c>
      <c r="GA145" s="450">
        <v>0</v>
      </c>
      <c r="GB145" s="450">
        <v>0</v>
      </c>
      <c r="GC145" s="450">
        <v>0</v>
      </c>
      <c r="GD145" s="450">
        <v>0</v>
      </c>
      <c r="GE145" s="450">
        <v>0</v>
      </c>
      <c r="GF145" s="450">
        <v>0</v>
      </c>
      <c r="GG145" s="450">
        <v>0</v>
      </c>
      <c r="GH145" s="450">
        <v>0</v>
      </c>
      <c r="GI145" s="450">
        <v>0</v>
      </c>
      <c r="GJ145" s="450">
        <v>0</v>
      </c>
      <c r="GK145" s="450">
        <v>0</v>
      </c>
      <c r="GL145" s="450">
        <v>0</v>
      </c>
      <c r="GM145" s="450">
        <v>0</v>
      </c>
      <c r="GN145" s="450">
        <v>0</v>
      </c>
      <c r="GO145" s="450">
        <v>0</v>
      </c>
      <c r="GP145" s="450">
        <v>0</v>
      </c>
      <c r="GQ145" s="450">
        <v>0</v>
      </c>
      <c r="GR145" s="450">
        <v>0</v>
      </c>
      <c r="GS145" s="450">
        <v>0</v>
      </c>
      <c r="GT145" s="450">
        <v>0</v>
      </c>
      <c r="GU145" s="450">
        <v>0</v>
      </c>
      <c r="GV145" s="450">
        <v>0</v>
      </c>
      <c r="GW145" s="450">
        <v>0</v>
      </c>
      <c r="GX145" s="450">
        <v>105463496</v>
      </c>
      <c r="GY145" s="450">
        <v>105500944</v>
      </c>
      <c r="GZ145" s="450">
        <v>82</v>
      </c>
      <c r="HA145" s="450" t="s">
        <v>888</v>
      </c>
      <c r="HB145" s="450" t="s">
        <v>888</v>
      </c>
      <c r="HC145" s="450">
        <v>123</v>
      </c>
      <c r="HD145" s="450">
        <v>0</v>
      </c>
      <c r="HE145" s="450">
        <v>0</v>
      </c>
      <c r="HF145" s="450">
        <v>0</v>
      </c>
      <c r="HG145" s="472">
        <v>0</v>
      </c>
    </row>
    <row r="146" spans="2:215" ht="12.75">
      <c r="B146" s="445" t="s">
        <v>827</v>
      </c>
      <c r="C146" s="446">
        <v>5438.58</v>
      </c>
      <c r="D146" s="447">
        <v>1297989.14</v>
      </c>
      <c r="E146" s="447">
        <v>1113674.68212</v>
      </c>
      <c r="F146" s="447">
        <v>63179.358133023365</v>
      </c>
      <c r="G146" s="447">
        <v>184314.45788000003</v>
      </c>
      <c r="H146" s="448">
        <v>0.16883451194981045</v>
      </c>
      <c r="I146" s="449">
        <v>247.42</v>
      </c>
      <c r="J146" s="449">
        <v>670.8</v>
      </c>
      <c r="K146" s="447">
        <v>1176854.0402530234</v>
      </c>
      <c r="L146" s="447">
        <v>941483.2322024187</v>
      </c>
      <c r="M146" s="447">
        <v>236639.71870229015</v>
      </c>
      <c r="N146" s="447">
        <v>235370.80805060462</v>
      </c>
      <c r="O146" s="450">
        <v>1.00539111312144</v>
      </c>
      <c r="P146" s="451">
        <v>0.9956643094337125</v>
      </c>
      <c r="Q146" s="452">
        <v>0.00422904508162057</v>
      </c>
      <c r="R146" s="447">
        <v>1178122.9509047088</v>
      </c>
      <c r="S146" s="447">
        <v>796411.1148115832</v>
      </c>
      <c r="T146" s="447">
        <v>92788.9200933933</v>
      </c>
      <c r="U146" s="447">
        <v>93656.2001146445</v>
      </c>
      <c r="V146" s="447">
        <v>268612.0328062736</v>
      </c>
      <c r="W146" s="450">
        <v>0.3486671804542372</v>
      </c>
      <c r="X146" s="452">
        <v>6.120678387150335</v>
      </c>
      <c r="Y146" s="447">
        <v>92788.9200933933</v>
      </c>
      <c r="Z146" s="447">
        <v>113099.80328685205</v>
      </c>
      <c r="AA146" s="448">
        <v>0.820416281875002</v>
      </c>
      <c r="AB146" s="448">
        <v>0.06453890537603565</v>
      </c>
      <c r="AC146" s="449">
        <v>335</v>
      </c>
      <c r="AD146" s="449">
        <v>367</v>
      </c>
      <c r="AE146" s="447">
        <v>982856.235019621</v>
      </c>
      <c r="AF146" s="447">
        <v>0</v>
      </c>
      <c r="AG146" s="451">
        <v>0</v>
      </c>
      <c r="AH146" s="450">
        <v>0</v>
      </c>
      <c r="AI146" s="452">
        <v>0</v>
      </c>
      <c r="AJ146" s="447">
        <v>982856.235019621</v>
      </c>
      <c r="AK146" s="453">
        <v>1.0332</v>
      </c>
      <c r="AL146" s="447">
        <v>1015487.0620222723</v>
      </c>
      <c r="AM146" s="447">
        <v>2388894.659956225</v>
      </c>
      <c r="AN146" s="447">
        <v>2365315.7968689348</v>
      </c>
      <c r="AO146" s="447">
        <v>2253160.225973716</v>
      </c>
      <c r="AP146" s="447">
        <v>2365315.7968689348</v>
      </c>
      <c r="AQ146" s="447">
        <v>21754.32</v>
      </c>
      <c r="AR146" s="447">
        <v>2387070.1168689346</v>
      </c>
      <c r="AS146" s="454">
        <v>438.91422335773944</v>
      </c>
      <c r="AT146" s="450">
        <v>5370</v>
      </c>
      <c r="AU146" s="450">
        <v>4</v>
      </c>
      <c r="AV146" s="450">
        <v>893</v>
      </c>
      <c r="AW146" s="450">
        <v>8</v>
      </c>
      <c r="AX146" s="450">
        <v>0</v>
      </c>
      <c r="AY146" s="450">
        <v>780</v>
      </c>
      <c r="AZ146" s="450">
        <v>211</v>
      </c>
      <c r="BA146" s="450">
        <v>360</v>
      </c>
      <c r="BB146" s="450">
        <v>254</v>
      </c>
      <c r="BC146" s="450">
        <v>5</v>
      </c>
      <c r="BD146" s="450">
        <v>248</v>
      </c>
      <c r="BE146" s="450">
        <v>23</v>
      </c>
      <c r="BF146" s="450">
        <v>0</v>
      </c>
      <c r="BG146" s="450">
        <v>2584</v>
      </c>
      <c r="BH146" s="450">
        <v>0</v>
      </c>
      <c r="BI146" s="450">
        <v>0</v>
      </c>
      <c r="BJ146" s="452">
        <v>1.2189228455010614</v>
      </c>
      <c r="BK146" s="452">
        <v>7.414470421765579</v>
      </c>
      <c r="BL146" s="452">
        <v>3.266178175416131</v>
      </c>
      <c r="BM146" s="452">
        <v>8.296584492698896</v>
      </c>
      <c r="BN146" s="449">
        <v>5347</v>
      </c>
      <c r="BO146" s="449">
        <v>23</v>
      </c>
      <c r="BP146" s="447">
        <v>1567113.0320098216</v>
      </c>
      <c r="BQ146" s="447">
        <v>5170176</v>
      </c>
      <c r="BR146" s="447">
        <v>7157518</v>
      </c>
      <c r="BS146" s="448">
        <v>0.06536312849162011</v>
      </c>
      <c r="BT146" s="449">
        <v>335</v>
      </c>
      <c r="BU146" s="449">
        <v>367</v>
      </c>
      <c r="BV146" s="447">
        <v>467837.7687150838</v>
      </c>
      <c r="BW146" s="448">
        <v>0.008048809992519836</v>
      </c>
      <c r="BX146" s="447">
        <v>5065.127033590507</v>
      </c>
      <c r="BY146" s="447">
        <v>7210191.927758495</v>
      </c>
      <c r="BZ146" s="455">
        <v>0.99</v>
      </c>
      <c r="CA146" s="447">
        <v>7138090.008480909</v>
      </c>
      <c r="CB146" s="447">
        <v>5368037.171033409</v>
      </c>
      <c r="CC146" s="447">
        <v>5361467.120151366</v>
      </c>
      <c r="CD146" s="447">
        <v>5183042.209696475</v>
      </c>
      <c r="CE146" s="447">
        <v>5361467.120151366</v>
      </c>
      <c r="CF146" s="454">
        <v>998.4110093391744</v>
      </c>
      <c r="CG146" s="450">
        <v>5370</v>
      </c>
      <c r="CH146" s="450">
        <v>4</v>
      </c>
      <c r="CI146" s="450">
        <v>893</v>
      </c>
      <c r="CJ146" s="450">
        <v>8</v>
      </c>
      <c r="CK146" s="450">
        <v>0</v>
      </c>
      <c r="CL146" s="450">
        <v>780</v>
      </c>
      <c r="CM146" s="450">
        <v>211</v>
      </c>
      <c r="CN146" s="450">
        <v>360</v>
      </c>
      <c r="CO146" s="450">
        <v>254</v>
      </c>
      <c r="CP146" s="450">
        <v>5</v>
      </c>
      <c r="CQ146" s="450">
        <v>248</v>
      </c>
      <c r="CR146" s="450">
        <v>23</v>
      </c>
      <c r="CS146" s="450">
        <v>0</v>
      </c>
      <c r="CT146" s="450">
        <v>2584</v>
      </c>
      <c r="CU146" s="450">
        <v>0</v>
      </c>
      <c r="CV146" s="450">
        <v>0</v>
      </c>
      <c r="CW146" s="447">
        <v>3523521.301024205</v>
      </c>
      <c r="CX146" s="452">
        <v>0.9664512139506133</v>
      </c>
      <c r="CY146" s="452">
        <v>0.99</v>
      </c>
      <c r="CZ146" s="447">
        <v>3405311.4387556873</v>
      </c>
      <c r="DA146" s="454">
        <v>634.1362083343924</v>
      </c>
      <c r="DB146" s="449">
        <v>5438.58</v>
      </c>
      <c r="DC146" s="452">
        <v>1.0181505098757397</v>
      </c>
      <c r="DD146" s="454">
        <v>330.1</v>
      </c>
      <c r="DE146" s="447">
        <v>76392</v>
      </c>
      <c r="DF146" s="454">
        <v>65.77452398003123</v>
      </c>
      <c r="DG146" s="454">
        <v>68.60282851117258</v>
      </c>
      <c r="DH146" s="454">
        <v>70.11209073841836</v>
      </c>
      <c r="DI146" s="454">
        <v>71.65455673466354</v>
      </c>
      <c r="DJ146" s="454">
        <v>74.01915710690743</v>
      </c>
      <c r="DK146" s="454">
        <v>76.68384676275608</v>
      </c>
      <c r="DL146" s="454">
        <v>79.13772985916425</v>
      </c>
      <c r="DM146" s="454">
        <v>82.38237678338999</v>
      </c>
      <c r="DN146" s="454">
        <v>86.00720136185913</v>
      </c>
      <c r="DO146" s="454">
        <v>90.73759743676138</v>
      </c>
      <c r="DP146" s="454">
        <v>89.92095905983052</v>
      </c>
      <c r="DQ146" s="454">
        <v>94.50692797188188</v>
      </c>
      <c r="DR146" s="454">
        <v>100.27185057816666</v>
      </c>
      <c r="DS146" s="454">
        <v>47.85</v>
      </c>
      <c r="DT146" s="454">
        <v>51.02363907384183</v>
      </c>
      <c r="DU146" s="454">
        <v>54.313758866932695</v>
      </c>
      <c r="DV146" s="454">
        <v>58.34524343421221</v>
      </c>
      <c r="DW146" s="454">
        <v>62.765411421402725</v>
      </c>
      <c r="DX146" s="454">
        <v>67.16787546560037</v>
      </c>
      <c r="DY146" s="454">
        <v>72.41388204442998</v>
      </c>
      <c r="DZ146" s="454">
        <v>76.75643824410425</v>
      </c>
      <c r="EA146" s="454">
        <v>79.24922976791152</v>
      </c>
      <c r="EB146" s="454">
        <v>82.24444675206227</v>
      </c>
      <c r="EC146" s="454">
        <v>88.05251642351033</v>
      </c>
      <c r="ED146" s="454">
        <v>95.13575258855</v>
      </c>
      <c r="EE146" s="454">
        <v>-4.41</v>
      </c>
      <c r="EF146" s="454">
        <v>90.72575258855001</v>
      </c>
      <c r="EG146" s="454">
        <v>4717.739134604601</v>
      </c>
      <c r="EH146" s="447">
        <v>25144645.66862433</v>
      </c>
      <c r="EI146" s="454">
        <v>48.07</v>
      </c>
      <c r="EJ146" s="454">
        <v>51.22599507384183</v>
      </c>
      <c r="EK146" s="454">
        <v>54.49758805093269</v>
      </c>
      <c r="EL146" s="454">
        <v>58.51140203790021</v>
      </c>
      <c r="EM146" s="454">
        <v>62.91296026147768</v>
      </c>
      <c r="EN146" s="454">
        <v>67.29476746806483</v>
      </c>
      <c r="EO146" s="454">
        <v>72.51955770408239</v>
      </c>
      <c r="EP146" s="454">
        <v>76.85450525626167</v>
      </c>
      <c r="EQ146" s="454">
        <v>79.34275300850565</v>
      </c>
      <c r="ER146" s="454">
        <v>82.30693885957288</v>
      </c>
      <c r="ES146" s="454">
        <v>88.10505978750524</v>
      </c>
      <c r="ET146" s="454">
        <v>95.17756397044896</v>
      </c>
      <c r="EU146" s="447">
        <v>-217490</v>
      </c>
      <c r="EV146" s="447">
        <v>0</v>
      </c>
      <c r="EW146" s="447">
        <v>0</v>
      </c>
      <c r="EX146" s="447">
        <v>0</v>
      </c>
      <c r="EY146" s="447">
        <v>0</v>
      </c>
      <c r="EZ146" s="447">
        <v>0</v>
      </c>
      <c r="FA146" s="447">
        <v>0</v>
      </c>
      <c r="FB146" s="447">
        <v>0</v>
      </c>
      <c r="FC146" s="447">
        <v>0</v>
      </c>
      <c r="FD146" s="447">
        <v>0</v>
      </c>
      <c r="FE146" s="447">
        <v>0</v>
      </c>
      <c r="FF146" s="447">
        <v>0</v>
      </c>
      <c r="FG146" s="447">
        <v>0</v>
      </c>
      <c r="FH146" s="447">
        <v>35787</v>
      </c>
      <c r="FI146" s="456">
        <v>0.0507</v>
      </c>
      <c r="FJ146" s="447">
        <v>1814.4009</v>
      </c>
      <c r="FK146" s="471">
        <v>1814.4009</v>
      </c>
      <c r="FL146" s="446">
        <v>94.79</v>
      </c>
      <c r="FM146" s="450">
        <v>88.81</v>
      </c>
      <c r="FN146" s="450">
        <v>84.4</v>
      </c>
      <c r="FO146" s="450">
        <v>-4.41</v>
      </c>
      <c r="FP146" s="472">
        <v>83.2</v>
      </c>
      <c r="FQ146" s="446">
        <v>0</v>
      </c>
      <c r="FR146" s="450">
        <v>0</v>
      </c>
      <c r="FS146" s="450">
        <v>7390</v>
      </c>
      <c r="FT146" s="450">
        <v>7570</v>
      </c>
      <c r="FU146" s="450">
        <v>7760</v>
      </c>
      <c r="FV146" s="450">
        <v>7960</v>
      </c>
      <c r="FW146" s="450">
        <v>8160</v>
      </c>
      <c r="FX146" s="450">
        <v>8360</v>
      </c>
      <c r="FY146" s="450">
        <v>8570</v>
      </c>
      <c r="FZ146" s="450">
        <v>8780</v>
      </c>
      <c r="GA146" s="450">
        <v>6000</v>
      </c>
      <c r="GB146" s="450">
        <v>6150</v>
      </c>
      <c r="GC146" s="450">
        <v>6310</v>
      </c>
      <c r="GD146" s="450">
        <v>6460</v>
      </c>
      <c r="GE146" s="450">
        <v>6630</v>
      </c>
      <c r="GF146" s="450">
        <v>6790</v>
      </c>
      <c r="GG146" s="450">
        <v>2320</v>
      </c>
      <c r="GH146" s="450">
        <v>2380</v>
      </c>
      <c r="GI146" s="450">
        <v>2440</v>
      </c>
      <c r="GJ146" s="450">
        <v>2500</v>
      </c>
      <c r="GK146" s="450">
        <v>2560</v>
      </c>
      <c r="GL146" s="450">
        <v>0</v>
      </c>
      <c r="GM146" s="450">
        <v>0</v>
      </c>
      <c r="GN146" s="450">
        <v>0</v>
      </c>
      <c r="GO146" s="450">
        <v>0</v>
      </c>
      <c r="GP146" s="450">
        <v>0</v>
      </c>
      <c r="GQ146" s="450">
        <v>0</v>
      </c>
      <c r="GR146" s="450">
        <v>0</v>
      </c>
      <c r="GS146" s="450">
        <v>0</v>
      </c>
      <c r="GT146" s="450">
        <v>0</v>
      </c>
      <c r="GU146" s="450">
        <v>0</v>
      </c>
      <c r="GV146" s="450">
        <v>0</v>
      </c>
      <c r="GW146" s="450">
        <v>0</v>
      </c>
      <c r="GX146" s="450">
        <v>0</v>
      </c>
      <c r="GY146" s="450">
        <v>0</v>
      </c>
      <c r="GZ146" s="450">
        <v>25</v>
      </c>
      <c r="HA146" s="450" t="s">
        <v>888</v>
      </c>
      <c r="HB146" s="450" t="s">
        <v>888</v>
      </c>
      <c r="HC146" s="450">
        <v>7</v>
      </c>
      <c r="HD146" s="450">
        <v>12</v>
      </c>
      <c r="HE146" s="450">
        <v>9</v>
      </c>
      <c r="HF146" s="450">
        <v>0</v>
      </c>
      <c r="HG146" s="472">
        <v>0</v>
      </c>
    </row>
    <row r="147" spans="2:215" ht="12.75">
      <c r="B147" s="445" t="s">
        <v>828</v>
      </c>
      <c r="C147" s="446">
        <v>3046</v>
      </c>
      <c r="D147" s="447">
        <v>740518</v>
      </c>
      <c r="E147" s="447">
        <v>635364.444</v>
      </c>
      <c r="F147" s="447">
        <v>69888.34923505936</v>
      </c>
      <c r="G147" s="447">
        <v>105153.55600000001</v>
      </c>
      <c r="H147" s="448">
        <v>0.3273604727511491</v>
      </c>
      <c r="I147" s="449">
        <v>703.99</v>
      </c>
      <c r="J147" s="449">
        <v>293.15</v>
      </c>
      <c r="K147" s="447">
        <v>705252.7932350594</v>
      </c>
      <c r="L147" s="447">
        <v>564202.2345880475</v>
      </c>
      <c r="M147" s="447">
        <v>148575.41609288822</v>
      </c>
      <c r="N147" s="447">
        <v>141050.55864701184</v>
      </c>
      <c r="O147" s="450">
        <v>1.0533486539724228</v>
      </c>
      <c r="P147" s="451">
        <v>0.958962573867367</v>
      </c>
      <c r="Q147" s="452">
        <v>0.04103742613263296</v>
      </c>
      <c r="R147" s="447">
        <v>712777.6506809357</v>
      </c>
      <c r="S147" s="447">
        <v>481837.6918603126</v>
      </c>
      <c r="T147" s="447">
        <v>65394.852680051255</v>
      </c>
      <c r="U147" s="447">
        <v>83845.23521430316</v>
      </c>
      <c r="V147" s="447">
        <v>162513.30435525335</v>
      </c>
      <c r="W147" s="450">
        <v>0.5159284376558971</v>
      </c>
      <c r="X147" s="452">
        <v>9.056866303168318</v>
      </c>
      <c r="Y147" s="447">
        <v>65394.852680051255</v>
      </c>
      <c r="Z147" s="447">
        <v>68426.65446536984</v>
      </c>
      <c r="AA147" s="448">
        <v>0.9556926784013245</v>
      </c>
      <c r="AB147" s="448">
        <v>0.07518056467498359</v>
      </c>
      <c r="AC147" s="449">
        <v>229</v>
      </c>
      <c r="AD147" s="449">
        <v>229</v>
      </c>
      <c r="AE147" s="447">
        <v>631077.779754667</v>
      </c>
      <c r="AF147" s="447">
        <v>0</v>
      </c>
      <c r="AG147" s="451">
        <v>0</v>
      </c>
      <c r="AH147" s="450">
        <v>0.03374104233288459</v>
      </c>
      <c r="AI147" s="452">
        <v>0.028413666412234306</v>
      </c>
      <c r="AJ147" s="447">
        <v>631077.779754667</v>
      </c>
      <c r="AK147" s="453">
        <v>1</v>
      </c>
      <c r="AL147" s="447">
        <v>631077.779754667</v>
      </c>
      <c r="AM147" s="447">
        <v>1484586.4555582982</v>
      </c>
      <c r="AN147" s="447">
        <v>1469933.293422846</v>
      </c>
      <c r="AO147" s="447">
        <v>1401317.9311234828</v>
      </c>
      <c r="AP147" s="447">
        <v>1469933.293422846</v>
      </c>
      <c r="AQ147" s="447">
        <v>12184</v>
      </c>
      <c r="AR147" s="447">
        <v>1482117.293422846</v>
      </c>
      <c r="AS147" s="454">
        <v>486.57823158990345</v>
      </c>
      <c r="AT147" s="450">
        <v>3046</v>
      </c>
      <c r="AU147" s="450">
        <v>84</v>
      </c>
      <c r="AV147" s="450">
        <v>209</v>
      </c>
      <c r="AW147" s="450">
        <v>173</v>
      </c>
      <c r="AX147" s="450">
        <v>114</v>
      </c>
      <c r="AY147" s="450">
        <v>770</v>
      </c>
      <c r="AZ147" s="450">
        <v>115</v>
      </c>
      <c r="BA147" s="450">
        <v>91</v>
      </c>
      <c r="BB147" s="450">
        <v>62</v>
      </c>
      <c r="BC147" s="450">
        <v>0</v>
      </c>
      <c r="BD147" s="450">
        <v>666</v>
      </c>
      <c r="BE147" s="450">
        <v>125</v>
      </c>
      <c r="BF147" s="450">
        <v>0</v>
      </c>
      <c r="BG147" s="450">
        <v>637</v>
      </c>
      <c r="BH147" s="450">
        <v>0</v>
      </c>
      <c r="BI147" s="450">
        <v>0</v>
      </c>
      <c r="BJ147" s="452">
        <v>1.2919370248808695</v>
      </c>
      <c r="BK147" s="452">
        <v>9.090887140482032</v>
      </c>
      <c r="BL147" s="452">
        <v>5.85248841788949</v>
      </c>
      <c r="BM147" s="452">
        <v>6.476797445185082</v>
      </c>
      <c r="BN147" s="449">
        <v>2921</v>
      </c>
      <c r="BO147" s="449">
        <v>125</v>
      </c>
      <c r="BP147" s="447">
        <v>827826.7358107654</v>
      </c>
      <c r="BQ147" s="447">
        <v>3059760</v>
      </c>
      <c r="BR147" s="447">
        <v>4202203</v>
      </c>
      <c r="BS147" s="448">
        <v>0.07518056467498359</v>
      </c>
      <c r="BT147" s="449">
        <v>229</v>
      </c>
      <c r="BU147" s="449">
        <v>229</v>
      </c>
      <c r="BV147" s="447">
        <v>315923.99441891006</v>
      </c>
      <c r="BW147" s="448">
        <v>0.0033328139489750878</v>
      </c>
      <c r="BX147" s="447">
        <v>1458.6512871558418</v>
      </c>
      <c r="BY147" s="447">
        <v>4204969.381516831</v>
      </c>
      <c r="BZ147" s="455">
        <v>0.9133333333333334</v>
      </c>
      <c r="CA147" s="447">
        <v>3840538.7017853726</v>
      </c>
      <c r="CB147" s="447">
        <v>2888189.2051629787</v>
      </c>
      <c r="CC147" s="447">
        <v>2884654.2911096103</v>
      </c>
      <c r="CD147" s="447">
        <v>2846297.9284544666</v>
      </c>
      <c r="CE147" s="447">
        <v>2884654.2911096103</v>
      </c>
      <c r="CF147" s="454">
        <v>947.0302991167466</v>
      </c>
      <c r="CG147" s="450">
        <v>3046</v>
      </c>
      <c r="CH147" s="450">
        <v>84</v>
      </c>
      <c r="CI147" s="450">
        <v>209</v>
      </c>
      <c r="CJ147" s="450">
        <v>173</v>
      </c>
      <c r="CK147" s="450">
        <v>114</v>
      </c>
      <c r="CL147" s="450">
        <v>770</v>
      </c>
      <c r="CM147" s="450">
        <v>115</v>
      </c>
      <c r="CN147" s="450">
        <v>91</v>
      </c>
      <c r="CO147" s="450">
        <v>62</v>
      </c>
      <c r="CP147" s="450">
        <v>0</v>
      </c>
      <c r="CQ147" s="450">
        <v>666</v>
      </c>
      <c r="CR147" s="450">
        <v>125</v>
      </c>
      <c r="CS147" s="450">
        <v>0</v>
      </c>
      <c r="CT147" s="450">
        <v>637</v>
      </c>
      <c r="CU147" s="450">
        <v>0</v>
      </c>
      <c r="CV147" s="450">
        <v>0</v>
      </c>
      <c r="CW147" s="447">
        <v>2192668.3617236875</v>
      </c>
      <c r="CX147" s="452">
        <v>0.8916081906480408</v>
      </c>
      <c r="CY147" s="452">
        <v>0.9133333333333334</v>
      </c>
      <c r="CZ147" s="447">
        <v>1955001.0706876607</v>
      </c>
      <c r="DA147" s="454">
        <v>641.8256962205058</v>
      </c>
      <c r="DB147" s="449">
        <v>3046</v>
      </c>
      <c r="DC147" s="452">
        <v>1.01543007222587</v>
      </c>
      <c r="DD147" s="454">
        <v>321.1</v>
      </c>
      <c r="DE147" s="447">
        <v>30613</v>
      </c>
      <c r="DF147" s="454">
        <v>49.48357513339299</v>
      </c>
      <c r="DG147" s="454">
        <v>51.611368864128885</v>
      </c>
      <c r="DH147" s="454">
        <v>52.74681897913971</v>
      </c>
      <c r="DI147" s="454">
        <v>53.90724899668077</v>
      </c>
      <c r="DJ147" s="454">
        <v>55.686188213571235</v>
      </c>
      <c r="DK147" s="454">
        <v>57.69089098925979</v>
      </c>
      <c r="DL147" s="454">
        <v>59.536999500916096</v>
      </c>
      <c r="DM147" s="454">
        <v>61.978016480453654</v>
      </c>
      <c r="DN147" s="454">
        <v>64.70504920559361</v>
      </c>
      <c r="DO147" s="454">
        <v>68.26382691190126</v>
      </c>
      <c r="DP147" s="454">
        <v>67.64945246969415</v>
      </c>
      <c r="DQ147" s="454">
        <v>71.09957454564855</v>
      </c>
      <c r="DR147" s="454">
        <v>75.43664859293311</v>
      </c>
      <c r="DS147" s="454">
        <v>38.23</v>
      </c>
      <c r="DT147" s="454">
        <v>40.43863589791396</v>
      </c>
      <c r="DU147" s="454">
        <v>42.72594845533614</v>
      </c>
      <c r="DV147" s="454">
        <v>45.57969018676336</v>
      </c>
      <c r="DW147" s="454">
        <v>48.716320741454396</v>
      </c>
      <c r="DX147" s="454">
        <v>51.818869087803456</v>
      </c>
      <c r="DY147" s="454">
        <v>55.550357472413445</v>
      </c>
      <c r="DZ147" s="454">
        <v>58.74018164613229</v>
      </c>
      <c r="EA147" s="454">
        <v>60.569475023988254</v>
      </c>
      <c r="EB147" s="454">
        <v>62.50809656340486</v>
      </c>
      <c r="EC147" s="454">
        <v>66.77672249964051</v>
      </c>
      <c r="ED147" s="454">
        <v>71.99673907732222</v>
      </c>
      <c r="EE147" s="454">
        <v>-1.02</v>
      </c>
      <c r="EF147" s="454">
        <v>70.97673907732222</v>
      </c>
      <c r="EG147" s="454">
        <v>3690.7904320207554</v>
      </c>
      <c r="EH147" s="447">
        <v>11017304.702816516</v>
      </c>
      <c r="EI147" s="454">
        <v>41.49</v>
      </c>
      <c r="EJ147" s="454">
        <v>43.43718389791397</v>
      </c>
      <c r="EK147" s="454">
        <v>45.44996272733615</v>
      </c>
      <c r="EL147" s="454">
        <v>48.04185858686736</v>
      </c>
      <c r="EM147" s="454">
        <v>50.902726280746755</v>
      </c>
      <c r="EN147" s="454">
        <v>53.69917785159488</v>
      </c>
      <c r="EO147" s="454">
        <v>57.116278610898945</v>
      </c>
      <c r="EP147" s="454">
        <v>60.19335646264683</v>
      </c>
      <c r="EQ147" s="454">
        <v>61.95531940733761</v>
      </c>
      <c r="ER147" s="454">
        <v>63.43411597469847</v>
      </c>
      <c r="ES147" s="454">
        <v>67.55531962065618</v>
      </c>
      <c r="ET147" s="454">
        <v>72.61630773637043</v>
      </c>
      <c r="EU147" s="447">
        <v>9429324</v>
      </c>
      <c r="EV147" s="447">
        <v>0</v>
      </c>
      <c r="EW147" s="447">
        <v>0</v>
      </c>
      <c r="EX147" s="447">
        <v>0</v>
      </c>
      <c r="EY147" s="447">
        <v>0</v>
      </c>
      <c r="EZ147" s="447">
        <v>0</v>
      </c>
      <c r="FA147" s="447">
        <v>0</v>
      </c>
      <c r="FB147" s="447">
        <v>0</v>
      </c>
      <c r="FC147" s="447">
        <v>0</v>
      </c>
      <c r="FD147" s="447">
        <v>9429324</v>
      </c>
      <c r="FE147" s="447">
        <v>45131.8414755088</v>
      </c>
      <c r="FF147" s="447">
        <v>0</v>
      </c>
      <c r="FG147" s="447">
        <v>0</v>
      </c>
      <c r="FH147" s="447">
        <v>0</v>
      </c>
      <c r="FI147" s="456">
        <v>0</v>
      </c>
      <c r="FJ147" s="447">
        <v>0</v>
      </c>
      <c r="FK147" s="471">
        <v>0</v>
      </c>
      <c r="FL147" s="446">
        <v>71.1</v>
      </c>
      <c r="FM147" s="450">
        <v>68.05</v>
      </c>
      <c r="FN147" s="450">
        <v>67.03</v>
      </c>
      <c r="FO147" s="450">
        <v>-1.02</v>
      </c>
      <c r="FP147" s="472">
        <v>67.03</v>
      </c>
      <c r="FQ147" s="446">
        <v>0</v>
      </c>
      <c r="FR147" s="450">
        <v>0</v>
      </c>
      <c r="FS147" s="450">
        <v>0</v>
      </c>
      <c r="FT147" s="450">
        <v>0</v>
      </c>
      <c r="FU147" s="450">
        <v>0</v>
      </c>
      <c r="FV147" s="450">
        <v>0</v>
      </c>
      <c r="FW147" s="450">
        <v>0</v>
      </c>
      <c r="FX147" s="450">
        <v>0</v>
      </c>
      <c r="FY147" s="450">
        <v>0</v>
      </c>
      <c r="FZ147" s="450">
        <v>0</v>
      </c>
      <c r="GA147" s="450">
        <v>0</v>
      </c>
      <c r="GB147" s="450">
        <v>0</v>
      </c>
      <c r="GC147" s="450">
        <v>0</v>
      </c>
      <c r="GD147" s="450">
        <v>0</v>
      </c>
      <c r="GE147" s="450">
        <v>0</v>
      </c>
      <c r="GF147" s="450">
        <v>0</v>
      </c>
      <c r="GG147" s="450">
        <v>0</v>
      </c>
      <c r="GH147" s="450">
        <v>0</v>
      </c>
      <c r="GI147" s="450">
        <v>0</v>
      </c>
      <c r="GJ147" s="450">
        <v>0</v>
      </c>
      <c r="GK147" s="450">
        <v>0</v>
      </c>
      <c r="GL147" s="450">
        <v>0</v>
      </c>
      <c r="GM147" s="450">
        <v>0</v>
      </c>
      <c r="GN147" s="450">
        <v>0</v>
      </c>
      <c r="GO147" s="450">
        <v>0</v>
      </c>
      <c r="GP147" s="450">
        <v>0</v>
      </c>
      <c r="GQ147" s="450">
        <v>0</v>
      </c>
      <c r="GR147" s="450">
        <v>0</v>
      </c>
      <c r="GS147" s="450">
        <v>0</v>
      </c>
      <c r="GT147" s="450">
        <v>0</v>
      </c>
      <c r="GU147" s="450">
        <v>0</v>
      </c>
      <c r="GV147" s="450">
        <v>0</v>
      </c>
      <c r="GW147" s="450">
        <v>0</v>
      </c>
      <c r="GX147" s="450">
        <v>0</v>
      </c>
      <c r="GY147" s="450">
        <v>0</v>
      </c>
      <c r="GZ147" s="450">
        <v>0</v>
      </c>
      <c r="HA147" s="450" t="s">
        <v>888</v>
      </c>
      <c r="HB147" s="450" t="s">
        <v>888</v>
      </c>
      <c r="HC147" s="450">
        <v>0</v>
      </c>
      <c r="HD147" s="450">
        <v>0</v>
      </c>
      <c r="HE147" s="450">
        <v>0</v>
      </c>
      <c r="HF147" s="450">
        <v>0</v>
      </c>
      <c r="HG147" s="472">
        <v>0</v>
      </c>
    </row>
    <row r="148" spans="2:215" ht="12.75">
      <c r="B148" s="445" t="s">
        <v>829</v>
      </c>
      <c r="C148" s="446">
        <v>3889</v>
      </c>
      <c r="D148" s="447">
        <v>936937</v>
      </c>
      <c r="E148" s="447">
        <v>803891.946</v>
      </c>
      <c r="F148" s="447">
        <v>49103.94170277976</v>
      </c>
      <c r="G148" s="447">
        <v>133045.054</v>
      </c>
      <c r="H148" s="448">
        <v>0.18178709179737723</v>
      </c>
      <c r="I148" s="449">
        <v>235.85</v>
      </c>
      <c r="J148" s="449">
        <v>471.12</v>
      </c>
      <c r="K148" s="447">
        <v>852995.8877027797</v>
      </c>
      <c r="L148" s="447">
        <v>682396.7101622238</v>
      </c>
      <c r="M148" s="447">
        <v>171967.83126626056</v>
      </c>
      <c r="N148" s="447">
        <v>170599.17754055592</v>
      </c>
      <c r="O148" s="450">
        <v>1.0080226279249165</v>
      </c>
      <c r="P148" s="451">
        <v>0.9938287477500642</v>
      </c>
      <c r="Q148" s="452">
        <v>0.0061712522499357166</v>
      </c>
      <c r="R148" s="447">
        <v>854364.5414284844</v>
      </c>
      <c r="S148" s="447">
        <v>577550.4300056555</v>
      </c>
      <c r="T148" s="447">
        <v>69168.58431404542</v>
      </c>
      <c r="U148" s="447">
        <v>129188.1636014227</v>
      </c>
      <c r="V148" s="447">
        <v>194795.11544569445</v>
      </c>
      <c r="W148" s="450">
        <v>0.6632002209390007</v>
      </c>
      <c r="X148" s="452">
        <v>11.642148978192816</v>
      </c>
      <c r="Y148" s="447">
        <v>69168.58431404542</v>
      </c>
      <c r="Z148" s="447">
        <v>82018.9959771345</v>
      </c>
      <c r="AA148" s="448">
        <v>0.843323957944187</v>
      </c>
      <c r="AB148" s="448">
        <v>0.06634096168680895</v>
      </c>
      <c r="AC148" s="449">
        <v>257</v>
      </c>
      <c r="AD148" s="449">
        <v>259</v>
      </c>
      <c r="AE148" s="447">
        <v>775907.1779211236</v>
      </c>
      <c r="AF148" s="447">
        <v>0</v>
      </c>
      <c r="AG148" s="451">
        <v>0</v>
      </c>
      <c r="AH148" s="450">
        <v>0.00838282412342355</v>
      </c>
      <c r="AI148" s="452">
        <v>0.007059259340167046</v>
      </c>
      <c r="AJ148" s="447">
        <v>775907.1779211236</v>
      </c>
      <c r="AK148" s="453">
        <v>1</v>
      </c>
      <c r="AL148" s="447">
        <v>775907.1779211236</v>
      </c>
      <c r="AM148" s="447">
        <v>1825292.1019655725</v>
      </c>
      <c r="AN148" s="447">
        <v>1807276.1076699733</v>
      </c>
      <c r="AO148" s="447">
        <v>1751113.691900293</v>
      </c>
      <c r="AP148" s="447">
        <v>1807276.1076699733</v>
      </c>
      <c r="AQ148" s="447">
        <v>15556</v>
      </c>
      <c r="AR148" s="447">
        <v>1822832.1076699733</v>
      </c>
      <c r="AS148" s="454">
        <v>468.71486440472444</v>
      </c>
      <c r="AT148" s="450">
        <v>3884</v>
      </c>
      <c r="AU148" s="450">
        <v>139</v>
      </c>
      <c r="AV148" s="450">
        <v>730</v>
      </c>
      <c r="AW148" s="450">
        <v>85</v>
      </c>
      <c r="AX148" s="450">
        <v>1</v>
      </c>
      <c r="AY148" s="450">
        <v>532</v>
      </c>
      <c r="AZ148" s="450">
        <v>15</v>
      </c>
      <c r="BA148" s="450">
        <v>17</v>
      </c>
      <c r="BB148" s="450">
        <v>421</v>
      </c>
      <c r="BC148" s="450">
        <v>39</v>
      </c>
      <c r="BD148" s="450">
        <v>202</v>
      </c>
      <c r="BE148" s="450">
        <v>24</v>
      </c>
      <c r="BF148" s="450">
        <v>0</v>
      </c>
      <c r="BG148" s="450">
        <v>1679</v>
      </c>
      <c r="BH148" s="450">
        <v>0</v>
      </c>
      <c r="BI148" s="450">
        <v>0</v>
      </c>
      <c r="BJ148" s="452">
        <v>1.2610852045406182</v>
      </c>
      <c r="BK148" s="452">
        <v>8.802639110016159</v>
      </c>
      <c r="BL148" s="452">
        <v>5.458858967055689</v>
      </c>
      <c r="BM148" s="452">
        <v>6.6875602859209415</v>
      </c>
      <c r="BN148" s="449">
        <v>3860</v>
      </c>
      <c r="BO148" s="449">
        <v>24</v>
      </c>
      <c r="BP148" s="447">
        <v>1168609.8264916546</v>
      </c>
      <c r="BQ148" s="447">
        <v>3828061</v>
      </c>
      <c r="BR148" s="447">
        <v>5235206</v>
      </c>
      <c r="BS148" s="448">
        <v>0.06642636457260556</v>
      </c>
      <c r="BT148" s="449">
        <v>257</v>
      </c>
      <c r="BU148" s="449">
        <v>259</v>
      </c>
      <c r="BV148" s="447">
        <v>347755.7023686921</v>
      </c>
      <c r="BW148" s="448">
        <v>0.005211218223984921</v>
      </c>
      <c r="BX148" s="447">
        <v>2816.019269957122</v>
      </c>
      <c r="BY148" s="447">
        <v>5347242.548130304</v>
      </c>
      <c r="BZ148" s="455">
        <v>0.9</v>
      </c>
      <c r="CA148" s="447">
        <v>4812518.293317273</v>
      </c>
      <c r="CB148" s="447">
        <v>3619144.2044176743</v>
      </c>
      <c r="CC148" s="447">
        <v>3614714.6595365796</v>
      </c>
      <c r="CD148" s="447">
        <v>3599628.506289797</v>
      </c>
      <c r="CE148" s="447">
        <v>3614714.6595365796</v>
      </c>
      <c r="CF148" s="454">
        <v>930.6680379857311</v>
      </c>
      <c r="CG148" s="450">
        <v>3884</v>
      </c>
      <c r="CH148" s="450">
        <v>139</v>
      </c>
      <c r="CI148" s="450">
        <v>730</v>
      </c>
      <c r="CJ148" s="450">
        <v>85</v>
      </c>
      <c r="CK148" s="450">
        <v>1</v>
      </c>
      <c r="CL148" s="450">
        <v>532</v>
      </c>
      <c r="CM148" s="450">
        <v>15</v>
      </c>
      <c r="CN148" s="450">
        <v>17</v>
      </c>
      <c r="CO148" s="450">
        <v>421</v>
      </c>
      <c r="CP148" s="450">
        <v>39</v>
      </c>
      <c r="CQ148" s="450">
        <v>202</v>
      </c>
      <c r="CR148" s="450">
        <v>24</v>
      </c>
      <c r="CS148" s="450">
        <v>0</v>
      </c>
      <c r="CT148" s="450">
        <v>1679</v>
      </c>
      <c r="CU148" s="450">
        <v>0</v>
      </c>
      <c r="CV148" s="450">
        <v>0</v>
      </c>
      <c r="CW148" s="447">
        <v>2486204.812916721</v>
      </c>
      <c r="CX148" s="452">
        <v>0.8785920126823759</v>
      </c>
      <c r="CY148" s="452">
        <v>0.9</v>
      </c>
      <c r="CZ148" s="447">
        <v>2184359.6905211117</v>
      </c>
      <c r="DA148" s="454">
        <v>562.3995083730978</v>
      </c>
      <c r="DB148" s="449">
        <v>3889</v>
      </c>
      <c r="DC148" s="452">
        <v>1.0212136796091542</v>
      </c>
      <c r="DD148" s="454">
        <v>286.7</v>
      </c>
      <c r="DE148" s="447">
        <v>33058</v>
      </c>
      <c r="DF148" s="454">
        <v>46.26818836459145</v>
      </c>
      <c r="DG148" s="454">
        <v>48.25772046426888</v>
      </c>
      <c r="DH148" s="454">
        <v>49.31939031448278</v>
      </c>
      <c r="DI148" s="454">
        <v>50.40441690140139</v>
      </c>
      <c r="DJ148" s="454">
        <v>52.06776265914763</v>
      </c>
      <c r="DK148" s="454">
        <v>53.942202114876935</v>
      </c>
      <c r="DL148" s="454">
        <v>55.668352582552984</v>
      </c>
      <c r="DM148" s="454">
        <v>57.950755038437656</v>
      </c>
      <c r="DN148" s="454">
        <v>60.5005882601289</v>
      </c>
      <c r="DO148" s="454">
        <v>63.82812061443599</v>
      </c>
      <c r="DP148" s="454">
        <v>63.253667528906064</v>
      </c>
      <c r="DQ148" s="454">
        <v>66.47960457288026</v>
      </c>
      <c r="DR148" s="454">
        <v>70.53486045182595</v>
      </c>
      <c r="DS148" s="454">
        <v>36.06</v>
      </c>
      <c r="DT148" s="454">
        <v>38.099927031448274</v>
      </c>
      <c r="DU148" s="454">
        <v>40.21215781228027</v>
      </c>
      <c r="DV148" s="454">
        <v>42.85523447496828</v>
      </c>
      <c r="DW148" s="454">
        <v>45.76147708732567</v>
      </c>
      <c r="DX148" s="454">
        <v>48.6329290588589</v>
      </c>
      <c r="DY148" s="454">
        <v>52.09165432790522</v>
      </c>
      <c r="DZ148" s="454">
        <v>55.063342800754796</v>
      </c>
      <c r="EA148" s="454">
        <v>56.76728262528223</v>
      </c>
      <c r="EB148" s="454">
        <v>58.53562478434243</v>
      </c>
      <c r="EC148" s="454">
        <v>62.51267423325117</v>
      </c>
      <c r="ED148" s="454">
        <v>67.37817563406611</v>
      </c>
      <c r="EE148" s="454">
        <v>-1.19</v>
      </c>
      <c r="EF148" s="454">
        <v>66.18817563406611</v>
      </c>
      <c r="EG148" s="454">
        <v>3441.7851329714376</v>
      </c>
      <c r="EH148" s="447">
        <v>13117400.334483404</v>
      </c>
      <c r="EI148" s="454">
        <v>39.58</v>
      </c>
      <c r="EJ148" s="454">
        <v>41.33762303144827</v>
      </c>
      <c r="EK148" s="454">
        <v>43.15342475628026</v>
      </c>
      <c r="EL148" s="454">
        <v>45.513772133976275</v>
      </c>
      <c r="EM148" s="454">
        <v>48.122258528524775</v>
      </c>
      <c r="EN148" s="454">
        <v>50.66320109829013</v>
      </c>
      <c r="EO148" s="454">
        <v>53.782464882343554</v>
      </c>
      <c r="EP148" s="454">
        <v>56.63241499527358</v>
      </c>
      <c r="EQ148" s="454">
        <v>58.263654474788304</v>
      </c>
      <c r="ER148" s="454">
        <v>59.53549850451223</v>
      </c>
      <c r="ES148" s="454">
        <v>63.35336805716994</v>
      </c>
      <c r="ET148" s="454">
        <v>68.04715774444946</v>
      </c>
      <c r="EU148" s="447">
        <v>7244785</v>
      </c>
      <c r="EV148" s="447">
        <v>0</v>
      </c>
      <c r="EW148" s="447">
        <v>0</v>
      </c>
      <c r="EX148" s="447">
        <v>0</v>
      </c>
      <c r="EY148" s="447">
        <v>0</v>
      </c>
      <c r="EZ148" s="447">
        <v>0</v>
      </c>
      <c r="FA148" s="447">
        <v>0</v>
      </c>
      <c r="FB148" s="447">
        <v>0</v>
      </c>
      <c r="FC148" s="447">
        <v>0</v>
      </c>
      <c r="FD148" s="447">
        <v>7244785</v>
      </c>
      <c r="FE148" s="447">
        <v>44063.96374946457</v>
      </c>
      <c r="FF148" s="447">
        <v>0</v>
      </c>
      <c r="FG148" s="447">
        <v>0</v>
      </c>
      <c r="FH148" s="447">
        <v>14256</v>
      </c>
      <c r="FI148" s="456">
        <v>0.0313</v>
      </c>
      <c r="FJ148" s="447">
        <v>446.2128</v>
      </c>
      <c r="FK148" s="471">
        <v>446.2128</v>
      </c>
      <c r="FL148" s="446">
        <v>67.29</v>
      </c>
      <c r="FM148" s="450">
        <v>63.91</v>
      </c>
      <c r="FN148" s="450">
        <v>62.72</v>
      </c>
      <c r="FO148" s="450">
        <v>-1.19</v>
      </c>
      <c r="FP148" s="472">
        <v>62.69</v>
      </c>
      <c r="FQ148" s="446">
        <v>0</v>
      </c>
      <c r="FR148" s="450">
        <v>0</v>
      </c>
      <c r="FS148" s="450">
        <v>0</v>
      </c>
      <c r="FT148" s="450">
        <v>0</v>
      </c>
      <c r="FU148" s="450">
        <v>0</v>
      </c>
      <c r="FV148" s="450">
        <v>0</v>
      </c>
      <c r="FW148" s="450">
        <v>0</v>
      </c>
      <c r="FX148" s="450">
        <v>0</v>
      </c>
      <c r="FY148" s="450">
        <v>0</v>
      </c>
      <c r="FZ148" s="450">
        <v>0</v>
      </c>
      <c r="GA148" s="450">
        <v>0</v>
      </c>
      <c r="GB148" s="450">
        <v>0</v>
      </c>
      <c r="GC148" s="450">
        <v>0</v>
      </c>
      <c r="GD148" s="450">
        <v>0</v>
      </c>
      <c r="GE148" s="450">
        <v>0</v>
      </c>
      <c r="GF148" s="450">
        <v>0</v>
      </c>
      <c r="GG148" s="450">
        <v>0</v>
      </c>
      <c r="GH148" s="450">
        <v>0</v>
      </c>
      <c r="GI148" s="450">
        <v>0</v>
      </c>
      <c r="GJ148" s="450">
        <v>0</v>
      </c>
      <c r="GK148" s="450">
        <v>0</v>
      </c>
      <c r="GL148" s="450">
        <v>0</v>
      </c>
      <c r="GM148" s="450">
        <v>0</v>
      </c>
      <c r="GN148" s="450">
        <v>0</v>
      </c>
      <c r="GO148" s="450">
        <v>0</v>
      </c>
      <c r="GP148" s="450">
        <v>0</v>
      </c>
      <c r="GQ148" s="450">
        <v>0</v>
      </c>
      <c r="GR148" s="450">
        <v>0</v>
      </c>
      <c r="GS148" s="450">
        <v>0</v>
      </c>
      <c r="GT148" s="450">
        <v>0</v>
      </c>
      <c r="GU148" s="450">
        <v>0</v>
      </c>
      <c r="GV148" s="450">
        <v>0</v>
      </c>
      <c r="GW148" s="450">
        <v>0</v>
      </c>
      <c r="GX148" s="450">
        <v>2878633</v>
      </c>
      <c r="GY148" s="450">
        <v>2797376</v>
      </c>
      <c r="GZ148" s="450">
        <v>0</v>
      </c>
      <c r="HA148" s="450" t="s">
        <v>888</v>
      </c>
      <c r="HB148" s="450" t="s">
        <v>888</v>
      </c>
      <c r="HC148" s="450">
        <v>0</v>
      </c>
      <c r="HD148" s="450">
        <v>0</v>
      </c>
      <c r="HE148" s="450">
        <v>0</v>
      </c>
      <c r="HF148" s="450">
        <v>0</v>
      </c>
      <c r="HG148" s="472">
        <v>0</v>
      </c>
    </row>
    <row r="149" spans="2:215" ht="12.75">
      <c r="B149" s="445" t="s">
        <v>830</v>
      </c>
      <c r="C149" s="446">
        <v>6265.45</v>
      </c>
      <c r="D149" s="447">
        <v>1490649.85</v>
      </c>
      <c r="E149" s="447">
        <v>1278977.5713</v>
      </c>
      <c r="F149" s="447">
        <v>123006.06052203312</v>
      </c>
      <c r="G149" s="447">
        <v>211672.2787</v>
      </c>
      <c r="H149" s="448">
        <v>0.2862252511790853</v>
      </c>
      <c r="I149" s="449">
        <v>1146.32</v>
      </c>
      <c r="J149" s="449">
        <v>647.01</v>
      </c>
      <c r="K149" s="447">
        <v>1401983.631822033</v>
      </c>
      <c r="L149" s="447">
        <v>1121586.9054576266</v>
      </c>
      <c r="M149" s="447">
        <v>289568.8223939631</v>
      </c>
      <c r="N149" s="447">
        <v>280396.7263644066</v>
      </c>
      <c r="O149" s="450">
        <v>1.0327111380666991</v>
      </c>
      <c r="P149" s="451">
        <v>0.9747105156054234</v>
      </c>
      <c r="Q149" s="452">
        <v>0.0252176619396851</v>
      </c>
      <c r="R149" s="447">
        <v>1411155.7278515897</v>
      </c>
      <c r="S149" s="447">
        <v>953941.2720276747</v>
      </c>
      <c r="T149" s="447">
        <v>151308.7021856703</v>
      </c>
      <c r="U149" s="447">
        <v>225275.013565806</v>
      </c>
      <c r="V149" s="447">
        <v>321743.5059501625</v>
      </c>
      <c r="W149" s="450">
        <v>0.700169574209528</v>
      </c>
      <c r="X149" s="452">
        <v>12.291127529185346</v>
      </c>
      <c r="Y149" s="447">
        <v>151308.7021856703</v>
      </c>
      <c r="Z149" s="447">
        <v>135470.9498737526</v>
      </c>
      <c r="AA149" s="448">
        <v>1.1169088452297495</v>
      </c>
      <c r="AB149" s="448">
        <v>0.08786280315061169</v>
      </c>
      <c r="AC149" s="449">
        <v>482</v>
      </c>
      <c r="AD149" s="449">
        <v>619</v>
      </c>
      <c r="AE149" s="447">
        <v>1330524.9877791512</v>
      </c>
      <c r="AF149" s="447">
        <v>0</v>
      </c>
      <c r="AG149" s="451">
        <v>0</v>
      </c>
      <c r="AH149" s="450">
        <v>0.035027061895803166</v>
      </c>
      <c r="AI149" s="452">
        <v>0.029496636241674423</v>
      </c>
      <c r="AJ149" s="447">
        <v>1330524.9877791512</v>
      </c>
      <c r="AK149" s="453">
        <v>1</v>
      </c>
      <c r="AL149" s="447">
        <v>1330524.9877791512</v>
      </c>
      <c r="AM149" s="447">
        <v>3130009.3887106795</v>
      </c>
      <c r="AN149" s="447">
        <v>3099115.576574277</v>
      </c>
      <c r="AO149" s="447">
        <v>2968990.0453661815</v>
      </c>
      <c r="AP149" s="447">
        <v>3099115.576574277</v>
      </c>
      <c r="AQ149" s="447">
        <v>25061.8</v>
      </c>
      <c r="AR149" s="447">
        <v>3124177.376574277</v>
      </c>
      <c r="AS149" s="454">
        <v>498.6357526712809</v>
      </c>
      <c r="AT149" s="450">
        <v>6239</v>
      </c>
      <c r="AU149" s="450">
        <v>572</v>
      </c>
      <c r="AV149" s="450">
        <v>303</v>
      </c>
      <c r="AW149" s="450">
        <v>411</v>
      </c>
      <c r="AX149" s="450">
        <v>107</v>
      </c>
      <c r="AY149" s="450">
        <v>901</v>
      </c>
      <c r="AZ149" s="450">
        <v>382</v>
      </c>
      <c r="BA149" s="450">
        <v>205</v>
      </c>
      <c r="BB149" s="450">
        <v>564</v>
      </c>
      <c r="BC149" s="450">
        <v>8</v>
      </c>
      <c r="BD149" s="450">
        <v>1115</v>
      </c>
      <c r="BE149" s="450">
        <v>158</v>
      </c>
      <c r="BF149" s="450">
        <v>0</v>
      </c>
      <c r="BG149" s="450">
        <v>1513</v>
      </c>
      <c r="BH149" s="450">
        <v>0</v>
      </c>
      <c r="BI149" s="450">
        <v>0</v>
      </c>
      <c r="BJ149" s="452">
        <v>1.2671332357024108</v>
      </c>
      <c r="BK149" s="452">
        <v>8.615171813801872</v>
      </c>
      <c r="BL149" s="452">
        <v>5.618542671623601</v>
      </c>
      <c r="BM149" s="452">
        <v>5.993258284356543</v>
      </c>
      <c r="BN149" s="449">
        <v>6081</v>
      </c>
      <c r="BO149" s="449">
        <v>158</v>
      </c>
      <c r="BP149" s="447">
        <v>1656150.7418624652</v>
      </c>
      <c r="BQ149" s="447">
        <v>6328967</v>
      </c>
      <c r="BR149" s="447">
        <v>8625414</v>
      </c>
      <c r="BS149" s="448">
        <v>0.08823529411764706</v>
      </c>
      <c r="BT149" s="449">
        <v>482</v>
      </c>
      <c r="BU149" s="449">
        <v>619</v>
      </c>
      <c r="BV149" s="447">
        <v>761065.9411764706</v>
      </c>
      <c r="BW149" s="448">
        <v>0.018149225495320446</v>
      </c>
      <c r="BX149" s="447">
        <v>15418.469618886922</v>
      </c>
      <c r="BY149" s="447">
        <v>8761602.152657822</v>
      </c>
      <c r="BZ149" s="455">
        <v>0.9</v>
      </c>
      <c r="CA149" s="447">
        <v>7885441.93739204</v>
      </c>
      <c r="CB149" s="447">
        <v>5930066.079252829</v>
      </c>
      <c r="CC149" s="447">
        <v>5922808.149653383</v>
      </c>
      <c r="CD149" s="447">
        <v>5821608.046577752</v>
      </c>
      <c r="CE149" s="447">
        <v>5922808.149653383</v>
      </c>
      <c r="CF149" s="454">
        <v>949.320107333448</v>
      </c>
      <c r="CG149" s="450">
        <v>6239</v>
      </c>
      <c r="CH149" s="450">
        <v>572</v>
      </c>
      <c r="CI149" s="450">
        <v>303</v>
      </c>
      <c r="CJ149" s="450">
        <v>411</v>
      </c>
      <c r="CK149" s="450">
        <v>107</v>
      </c>
      <c r="CL149" s="450">
        <v>901</v>
      </c>
      <c r="CM149" s="450">
        <v>382</v>
      </c>
      <c r="CN149" s="450">
        <v>205</v>
      </c>
      <c r="CO149" s="450">
        <v>564</v>
      </c>
      <c r="CP149" s="450">
        <v>8</v>
      </c>
      <c r="CQ149" s="450">
        <v>1115</v>
      </c>
      <c r="CR149" s="450">
        <v>158</v>
      </c>
      <c r="CS149" s="450">
        <v>0</v>
      </c>
      <c r="CT149" s="450">
        <v>1513</v>
      </c>
      <c r="CU149" s="450">
        <v>0</v>
      </c>
      <c r="CV149" s="450">
        <v>0</v>
      </c>
      <c r="CW149" s="447">
        <v>4252075.2517913785</v>
      </c>
      <c r="CX149" s="452">
        <v>0.8785920126823759</v>
      </c>
      <c r="CY149" s="452">
        <v>0.9</v>
      </c>
      <c r="CZ149" s="447">
        <v>3735839.3535483074</v>
      </c>
      <c r="DA149" s="454">
        <v>598.7881637359044</v>
      </c>
      <c r="DB149" s="449">
        <v>6265.45</v>
      </c>
      <c r="DC149" s="452">
        <v>1.03603093153724</v>
      </c>
      <c r="DD149" s="454">
        <v>286.7</v>
      </c>
      <c r="DE149" s="447">
        <v>39026</v>
      </c>
      <c r="DF149" s="454">
        <v>48.74719378291307</v>
      </c>
      <c r="DG149" s="454">
        <v>50.84332311557833</v>
      </c>
      <c r="DH149" s="454">
        <v>51.96187622412104</v>
      </c>
      <c r="DI149" s="454">
        <v>53.1050375010517</v>
      </c>
      <c r="DJ149" s="454">
        <v>54.8575037385864</v>
      </c>
      <c r="DK149" s="454">
        <v>56.832373873175506</v>
      </c>
      <c r="DL149" s="454">
        <v>58.65100983711711</v>
      </c>
      <c r="DM149" s="454">
        <v>61.05570124043891</v>
      </c>
      <c r="DN149" s="454">
        <v>63.742152095018206</v>
      </c>
      <c r="DO149" s="454">
        <v>67.2479704602442</v>
      </c>
      <c r="DP149" s="454">
        <v>66.64273872610201</v>
      </c>
      <c r="DQ149" s="454">
        <v>70.0415184011332</v>
      </c>
      <c r="DR149" s="454">
        <v>74.31405102360232</v>
      </c>
      <c r="DS149" s="454">
        <v>38.23</v>
      </c>
      <c r="DT149" s="454">
        <v>40.360141622412094</v>
      </c>
      <c r="DU149" s="454">
        <v>42.56550615621032</v>
      </c>
      <c r="DV149" s="454">
        <v>45.3310848442679</v>
      </c>
      <c r="DW149" s="454">
        <v>48.37291389502067</v>
      </c>
      <c r="DX149" s="454">
        <v>51.37587425590396</v>
      </c>
      <c r="DY149" s="454">
        <v>54.9969683284046</v>
      </c>
      <c r="DZ149" s="454">
        <v>58.119647952650375</v>
      </c>
      <c r="EA149" s="454">
        <v>59.90996896152719</v>
      </c>
      <c r="EB149" s="454">
        <v>61.7394956855733</v>
      </c>
      <c r="EC149" s="454">
        <v>65.91887165265668</v>
      </c>
      <c r="ED149" s="454">
        <v>71.03345487350214</v>
      </c>
      <c r="EE149" s="454">
        <v>0</v>
      </c>
      <c r="EF149" s="454">
        <v>71.03345487350214</v>
      </c>
      <c r="EG149" s="454">
        <v>3693.739653422111</v>
      </c>
      <c r="EH149" s="447">
        <v>22680082.289302897</v>
      </c>
      <c r="EI149" s="454">
        <v>38.58</v>
      </c>
      <c r="EJ149" s="454">
        <v>40.682071622412096</v>
      </c>
      <c r="EK149" s="454">
        <v>42.85796167621032</v>
      </c>
      <c r="EL149" s="454">
        <v>45.5954280774079</v>
      </c>
      <c r="EM149" s="454">
        <v>48.607650686049</v>
      </c>
      <c r="EN149" s="454">
        <v>51.57774789618831</v>
      </c>
      <c r="EO149" s="454">
        <v>55.16508869603341</v>
      </c>
      <c r="EP149" s="454">
        <v>58.27566365380991</v>
      </c>
      <c r="EQ149" s="454">
        <v>60.05875593519966</v>
      </c>
      <c r="ER149" s="454">
        <v>61.838914947522</v>
      </c>
      <c r="ES149" s="454">
        <v>66.00246336810314</v>
      </c>
      <c r="ET149" s="454">
        <v>71.09997298106865</v>
      </c>
      <c r="EU149" s="447">
        <v>13519330</v>
      </c>
      <c r="EV149" s="447">
        <v>0</v>
      </c>
      <c r="EW149" s="447">
        <v>0</v>
      </c>
      <c r="EX149" s="447">
        <v>0</v>
      </c>
      <c r="EY149" s="447">
        <v>0</v>
      </c>
      <c r="EZ149" s="447">
        <v>0</v>
      </c>
      <c r="FA149" s="447">
        <v>0</v>
      </c>
      <c r="FB149" s="447">
        <v>0</v>
      </c>
      <c r="FC149" s="447">
        <v>0</v>
      </c>
      <c r="FD149" s="447">
        <v>13519330</v>
      </c>
      <c r="FE149" s="447">
        <v>47131.17694481708</v>
      </c>
      <c r="FF149" s="447">
        <v>0</v>
      </c>
      <c r="FG149" s="447">
        <v>0</v>
      </c>
      <c r="FH149" s="447">
        <v>59373</v>
      </c>
      <c r="FI149" s="456">
        <v>0.0393</v>
      </c>
      <c r="FJ149" s="447">
        <v>2333.3589</v>
      </c>
      <c r="FK149" s="471">
        <v>2333.3589</v>
      </c>
      <c r="FL149" s="446">
        <v>0</v>
      </c>
      <c r="FM149" s="450">
        <v>0</v>
      </c>
      <c r="FN149" s="450">
        <v>0</v>
      </c>
      <c r="FO149" s="450">
        <v>0</v>
      </c>
      <c r="FP149" s="472">
        <v>0</v>
      </c>
      <c r="FQ149" s="446">
        <v>0</v>
      </c>
      <c r="FR149" s="450">
        <v>0</v>
      </c>
      <c r="FS149" s="450">
        <v>0</v>
      </c>
      <c r="FT149" s="450">
        <v>0</v>
      </c>
      <c r="FU149" s="450">
        <v>0</v>
      </c>
      <c r="FV149" s="450">
        <v>0</v>
      </c>
      <c r="FW149" s="450">
        <v>0</v>
      </c>
      <c r="FX149" s="450">
        <v>0</v>
      </c>
      <c r="FY149" s="450">
        <v>0</v>
      </c>
      <c r="FZ149" s="450">
        <v>0</v>
      </c>
      <c r="GA149" s="450">
        <v>0</v>
      </c>
      <c r="GB149" s="450">
        <v>0</v>
      </c>
      <c r="GC149" s="450">
        <v>0</v>
      </c>
      <c r="GD149" s="450">
        <v>0</v>
      </c>
      <c r="GE149" s="450">
        <v>0</v>
      </c>
      <c r="GF149" s="450">
        <v>0</v>
      </c>
      <c r="GG149" s="450">
        <v>0</v>
      </c>
      <c r="GH149" s="450">
        <v>0</v>
      </c>
      <c r="GI149" s="450">
        <v>0</v>
      </c>
      <c r="GJ149" s="450">
        <v>0</v>
      </c>
      <c r="GK149" s="450">
        <v>0</v>
      </c>
      <c r="GL149" s="450">
        <v>0</v>
      </c>
      <c r="GM149" s="450">
        <v>0</v>
      </c>
      <c r="GN149" s="450">
        <v>0</v>
      </c>
      <c r="GO149" s="450">
        <v>0</v>
      </c>
      <c r="GP149" s="450">
        <v>0</v>
      </c>
      <c r="GQ149" s="450">
        <v>0</v>
      </c>
      <c r="GR149" s="450">
        <v>0</v>
      </c>
      <c r="GS149" s="450">
        <v>0</v>
      </c>
      <c r="GT149" s="450">
        <v>0</v>
      </c>
      <c r="GU149" s="450">
        <v>0</v>
      </c>
      <c r="GV149" s="450">
        <v>0</v>
      </c>
      <c r="GW149" s="450">
        <v>0</v>
      </c>
      <c r="GX149" s="450">
        <v>2159000</v>
      </c>
      <c r="GY149" s="450">
        <v>2159000</v>
      </c>
      <c r="GZ149" s="450">
        <v>0</v>
      </c>
      <c r="HA149" s="450" t="s">
        <v>888</v>
      </c>
      <c r="HB149" s="450" t="s">
        <v>888</v>
      </c>
      <c r="HC149" s="450">
        <v>0</v>
      </c>
      <c r="HD149" s="450">
        <v>0</v>
      </c>
      <c r="HE149" s="450">
        <v>0</v>
      </c>
      <c r="HF149" s="450">
        <v>0</v>
      </c>
      <c r="HG149" s="472">
        <v>0</v>
      </c>
    </row>
    <row r="150" spans="2:215" ht="12.75">
      <c r="B150" s="445" t="s">
        <v>831</v>
      </c>
      <c r="C150" s="446">
        <v>3181.25</v>
      </c>
      <c r="D150" s="447">
        <v>772031.25</v>
      </c>
      <c r="E150" s="447">
        <v>662402.8125</v>
      </c>
      <c r="F150" s="447">
        <v>86838.29220468197</v>
      </c>
      <c r="G150" s="447">
        <v>109628.43750000001</v>
      </c>
      <c r="H150" s="448">
        <v>0.39015166994106093</v>
      </c>
      <c r="I150" s="449">
        <v>969.21</v>
      </c>
      <c r="J150" s="449">
        <v>271.96</v>
      </c>
      <c r="K150" s="447">
        <v>749241.104704682</v>
      </c>
      <c r="L150" s="447">
        <v>599392.8837637457</v>
      </c>
      <c r="M150" s="447">
        <v>168451.77453170187</v>
      </c>
      <c r="N150" s="447">
        <v>149848.22094093636</v>
      </c>
      <c r="O150" s="450">
        <v>1.1241493123772102</v>
      </c>
      <c r="P150" s="451">
        <v>0.9043614931237721</v>
      </c>
      <c r="Q150" s="452">
        <v>0.09555992141453831</v>
      </c>
      <c r="R150" s="447">
        <v>767844.6582954475</v>
      </c>
      <c r="S150" s="447">
        <v>519062.9890077225</v>
      </c>
      <c r="T150" s="447">
        <v>72459.3749394058</v>
      </c>
      <c r="U150" s="447">
        <v>82759.75842882144</v>
      </c>
      <c r="V150" s="447">
        <v>175068.58209136204</v>
      </c>
      <c r="W150" s="450">
        <v>0.47272764444754617</v>
      </c>
      <c r="X150" s="452">
        <v>8.29849793321269</v>
      </c>
      <c r="Y150" s="447">
        <v>72459.3749394058</v>
      </c>
      <c r="Z150" s="447">
        <v>73713.08719636296</v>
      </c>
      <c r="AA150" s="448">
        <v>0.9829919990514382</v>
      </c>
      <c r="AB150" s="448">
        <v>0.07732809430255402</v>
      </c>
      <c r="AC150" s="449">
        <v>240</v>
      </c>
      <c r="AD150" s="449">
        <v>252</v>
      </c>
      <c r="AE150" s="447">
        <v>674282.1223759498</v>
      </c>
      <c r="AF150" s="447">
        <v>0</v>
      </c>
      <c r="AG150" s="451">
        <v>0</v>
      </c>
      <c r="AH150" s="450">
        <v>0.0033239297514343594</v>
      </c>
      <c r="AI150" s="452">
        <v>0.0027991142123937607</v>
      </c>
      <c r="AJ150" s="447">
        <v>674282.1223759498</v>
      </c>
      <c r="AK150" s="453">
        <v>1</v>
      </c>
      <c r="AL150" s="447">
        <v>674282.1223759498</v>
      </c>
      <c r="AM150" s="447">
        <v>1586223.0270468257</v>
      </c>
      <c r="AN150" s="447">
        <v>1570566.6918355739</v>
      </c>
      <c r="AO150" s="447">
        <v>1516060.6657665765</v>
      </c>
      <c r="AP150" s="447">
        <v>1570566.6918355739</v>
      </c>
      <c r="AQ150" s="447">
        <v>12725</v>
      </c>
      <c r="AR150" s="447">
        <v>1583291.6918355739</v>
      </c>
      <c r="AS150" s="454">
        <v>497.6948343687462</v>
      </c>
      <c r="AT150" s="450">
        <v>3179</v>
      </c>
      <c r="AU150" s="450">
        <v>128</v>
      </c>
      <c r="AV150" s="450">
        <v>276</v>
      </c>
      <c r="AW150" s="450">
        <v>199</v>
      </c>
      <c r="AX150" s="450">
        <v>282</v>
      </c>
      <c r="AY150" s="450">
        <v>544</v>
      </c>
      <c r="AZ150" s="450">
        <v>158</v>
      </c>
      <c r="BA150" s="450">
        <v>68</v>
      </c>
      <c r="BB150" s="450">
        <v>0</v>
      </c>
      <c r="BC150" s="450">
        <v>73</v>
      </c>
      <c r="BD150" s="450">
        <v>712</v>
      </c>
      <c r="BE150" s="450">
        <v>304</v>
      </c>
      <c r="BF150" s="450">
        <v>0</v>
      </c>
      <c r="BG150" s="450">
        <v>435</v>
      </c>
      <c r="BH150" s="450">
        <v>0</v>
      </c>
      <c r="BI150" s="450">
        <v>0</v>
      </c>
      <c r="BJ150" s="452">
        <v>1.1807398129111901</v>
      </c>
      <c r="BK150" s="452">
        <v>5.026816424679634</v>
      </c>
      <c r="BL150" s="452">
        <v>3.754482086871823</v>
      </c>
      <c r="BM150" s="452">
        <v>2.544668675615621</v>
      </c>
      <c r="BN150" s="449">
        <v>2875</v>
      </c>
      <c r="BO150" s="449">
        <v>304</v>
      </c>
      <c r="BP150" s="447">
        <v>758661.9327296399</v>
      </c>
      <c r="BQ150" s="447">
        <v>3249921</v>
      </c>
      <c r="BR150" s="447">
        <v>4372950</v>
      </c>
      <c r="BS150" s="448">
        <v>0.07738282478766907</v>
      </c>
      <c r="BT150" s="449">
        <v>240</v>
      </c>
      <c r="BU150" s="449">
        <v>252</v>
      </c>
      <c r="BV150" s="447">
        <v>338391.22365523747</v>
      </c>
      <c r="BW150" s="448">
        <v>0.014363080419880221</v>
      </c>
      <c r="BX150" s="447">
        <v>3627.7336175352298</v>
      </c>
      <c r="BY150" s="447">
        <v>4350601.890002413</v>
      </c>
      <c r="BZ150" s="455">
        <v>0.9633333333333333</v>
      </c>
      <c r="CA150" s="447">
        <v>4191079.820702324</v>
      </c>
      <c r="CB150" s="447">
        <v>3151805.6283358624</v>
      </c>
      <c r="CC150" s="447">
        <v>3147948.0687309816</v>
      </c>
      <c r="CD150" s="447">
        <v>3178717.084823174</v>
      </c>
      <c r="CE150" s="447">
        <v>3178717.084823174</v>
      </c>
      <c r="CF150" s="454">
        <v>999.911004977406</v>
      </c>
      <c r="CG150" s="450">
        <v>3179</v>
      </c>
      <c r="CH150" s="450">
        <v>128</v>
      </c>
      <c r="CI150" s="450">
        <v>276</v>
      </c>
      <c r="CJ150" s="450">
        <v>199</v>
      </c>
      <c r="CK150" s="450">
        <v>282</v>
      </c>
      <c r="CL150" s="450">
        <v>544</v>
      </c>
      <c r="CM150" s="450">
        <v>158</v>
      </c>
      <c r="CN150" s="450">
        <v>68</v>
      </c>
      <c r="CO150" s="450">
        <v>0</v>
      </c>
      <c r="CP150" s="450">
        <v>73</v>
      </c>
      <c r="CQ150" s="450">
        <v>712</v>
      </c>
      <c r="CR150" s="450">
        <v>304</v>
      </c>
      <c r="CS150" s="450">
        <v>0</v>
      </c>
      <c r="CT150" s="450">
        <v>435</v>
      </c>
      <c r="CU150" s="450">
        <v>0</v>
      </c>
      <c r="CV150" s="450">
        <v>0</v>
      </c>
      <c r="CW150" s="447">
        <v>2276438.901944122</v>
      </c>
      <c r="CX150" s="452">
        <v>0.9404188580192836</v>
      </c>
      <c r="CY150" s="452">
        <v>0.9633333333333333</v>
      </c>
      <c r="CZ150" s="447">
        <v>2140806.072516963</v>
      </c>
      <c r="DA150" s="454">
        <v>673.4212244469842</v>
      </c>
      <c r="DB150" s="449">
        <v>3181.25</v>
      </c>
      <c r="DC150" s="452">
        <v>1.0152298624754421</v>
      </c>
      <c r="DD150" s="454">
        <v>323.7</v>
      </c>
      <c r="DE150" s="447">
        <v>45756</v>
      </c>
      <c r="DF150" s="454">
        <v>54.782379422104526</v>
      </c>
      <c r="DG150" s="454">
        <v>57.138021737255016</v>
      </c>
      <c r="DH150" s="454">
        <v>58.39505821547461</v>
      </c>
      <c r="DI150" s="454">
        <v>59.679749496215045</v>
      </c>
      <c r="DJ150" s="454">
        <v>61.649181229590134</v>
      </c>
      <c r="DK150" s="454">
        <v>63.868551753855364</v>
      </c>
      <c r="DL150" s="454">
        <v>65.91234540997873</v>
      </c>
      <c r="DM150" s="454">
        <v>68.61475157178785</v>
      </c>
      <c r="DN150" s="454">
        <v>71.6338006409465</v>
      </c>
      <c r="DO150" s="454">
        <v>75.57365967619856</v>
      </c>
      <c r="DP150" s="454">
        <v>74.89349673911278</v>
      </c>
      <c r="DQ150" s="454">
        <v>78.71306507280752</v>
      </c>
      <c r="DR150" s="454">
        <v>83.51456204224878</v>
      </c>
      <c r="DS150" s="454">
        <v>41.92</v>
      </c>
      <c r="DT150" s="454">
        <v>44.39752182154746</v>
      </c>
      <c r="DU150" s="454">
        <v>46.963765323243</v>
      </c>
      <c r="DV150" s="454">
        <v>50.15552103524503</v>
      </c>
      <c r="DW150" s="454">
        <v>53.66218150127692</v>
      </c>
      <c r="DX150" s="454">
        <v>57.13486699276126</v>
      </c>
      <c r="DY150" s="454">
        <v>61.30486754592914</v>
      </c>
      <c r="DZ150" s="454">
        <v>64.85022826494962</v>
      </c>
      <c r="EA150" s="454">
        <v>66.8837450004202</v>
      </c>
      <c r="EB150" s="454">
        <v>69.08690707512207</v>
      </c>
      <c r="EC150" s="454">
        <v>73.83088448332413</v>
      </c>
      <c r="ED150" s="454">
        <v>79.62956683816736</v>
      </c>
      <c r="EE150" s="454">
        <v>-2.34</v>
      </c>
      <c r="EF150" s="454">
        <v>77.28956683816736</v>
      </c>
      <c r="EG150" s="454">
        <v>4019.057475584703</v>
      </c>
      <c r="EH150" s="447">
        <v>12529914.06231976</v>
      </c>
      <c r="EI150" s="454">
        <v>44.93</v>
      </c>
      <c r="EJ150" s="454">
        <v>47.166119821547454</v>
      </c>
      <c r="EK150" s="454">
        <v>49.478882795242995</v>
      </c>
      <c r="EL150" s="454">
        <v>52.42887284024902</v>
      </c>
      <c r="EM150" s="454">
        <v>55.680917904120456</v>
      </c>
      <c r="EN150" s="454">
        <v>58.87098029920671</v>
      </c>
      <c r="EO150" s="454">
        <v>62.75070270753692</v>
      </c>
      <c r="EP150" s="454">
        <v>66.19196329492163</v>
      </c>
      <c r="EQ150" s="454">
        <v>68.1633129740035</v>
      </c>
      <c r="ER150" s="454">
        <v>69.94191272788089</v>
      </c>
      <c r="ES150" s="454">
        <v>74.54977323616376</v>
      </c>
      <c r="ET150" s="454">
        <v>80.2016225632395</v>
      </c>
      <c r="EU150" s="447">
        <v>13124173</v>
      </c>
      <c r="EV150" s="447">
        <v>0</v>
      </c>
      <c r="EW150" s="447">
        <v>0</v>
      </c>
      <c r="EX150" s="447">
        <v>0</v>
      </c>
      <c r="EY150" s="447">
        <v>0</v>
      </c>
      <c r="EZ150" s="447">
        <v>0</v>
      </c>
      <c r="FA150" s="447">
        <v>0</v>
      </c>
      <c r="FB150" s="447">
        <v>0</v>
      </c>
      <c r="FC150" s="447">
        <v>0</v>
      </c>
      <c r="FD150" s="447">
        <v>13124173</v>
      </c>
      <c r="FE150" s="447">
        <v>46938.01062524556</v>
      </c>
      <c r="FF150" s="447">
        <v>0</v>
      </c>
      <c r="FG150" s="447">
        <v>0</v>
      </c>
      <c r="FH150" s="447">
        <v>0</v>
      </c>
      <c r="FI150" s="456">
        <v>0</v>
      </c>
      <c r="FJ150" s="447">
        <v>0</v>
      </c>
      <c r="FK150" s="471">
        <v>0</v>
      </c>
      <c r="FL150" s="446">
        <v>78.71</v>
      </c>
      <c r="FM150" s="450">
        <v>73.94</v>
      </c>
      <c r="FN150" s="450">
        <v>71.6</v>
      </c>
      <c r="FO150" s="450">
        <v>-2.34</v>
      </c>
      <c r="FP150" s="472">
        <v>71.4</v>
      </c>
      <c r="FQ150" s="446">
        <v>0</v>
      </c>
      <c r="FR150" s="450">
        <v>0</v>
      </c>
      <c r="FS150" s="450">
        <v>0</v>
      </c>
      <c r="FT150" s="450">
        <v>0</v>
      </c>
      <c r="FU150" s="450">
        <v>0</v>
      </c>
      <c r="FV150" s="450">
        <v>0</v>
      </c>
      <c r="FW150" s="450">
        <v>0</v>
      </c>
      <c r="FX150" s="450">
        <v>0</v>
      </c>
      <c r="FY150" s="450">
        <v>0</v>
      </c>
      <c r="FZ150" s="450">
        <v>0</v>
      </c>
      <c r="GA150" s="450">
        <v>0</v>
      </c>
      <c r="GB150" s="450">
        <v>0</v>
      </c>
      <c r="GC150" s="450">
        <v>0</v>
      </c>
      <c r="GD150" s="450">
        <v>0</v>
      </c>
      <c r="GE150" s="450">
        <v>0</v>
      </c>
      <c r="GF150" s="450">
        <v>0</v>
      </c>
      <c r="GG150" s="450">
        <v>0</v>
      </c>
      <c r="GH150" s="450">
        <v>0</v>
      </c>
      <c r="GI150" s="450">
        <v>0</v>
      </c>
      <c r="GJ150" s="450">
        <v>0</v>
      </c>
      <c r="GK150" s="450">
        <v>0</v>
      </c>
      <c r="GL150" s="450">
        <v>0</v>
      </c>
      <c r="GM150" s="450">
        <v>0</v>
      </c>
      <c r="GN150" s="450">
        <v>0</v>
      </c>
      <c r="GO150" s="450">
        <v>0</v>
      </c>
      <c r="GP150" s="450">
        <v>0</v>
      </c>
      <c r="GQ150" s="450">
        <v>0</v>
      </c>
      <c r="GR150" s="450">
        <v>0</v>
      </c>
      <c r="GS150" s="450">
        <v>0</v>
      </c>
      <c r="GT150" s="450">
        <v>0</v>
      </c>
      <c r="GU150" s="450">
        <v>0</v>
      </c>
      <c r="GV150" s="450">
        <v>0</v>
      </c>
      <c r="GW150" s="450">
        <v>0</v>
      </c>
      <c r="GX150" s="450">
        <v>7357800</v>
      </c>
      <c r="GY150" s="450">
        <v>0</v>
      </c>
      <c r="GZ150" s="450">
        <v>24</v>
      </c>
      <c r="HA150" s="450" t="s">
        <v>889</v>
      </c>
      <c r="HB150" s="450" t="s">
        <v>889</v>
      </c>
      <c r="HC150" s="450">
        <v>0</v>
      </c>
      <c r="HD150" s="450">
        <v>0</v>
      </c>
      <c r="HE150" s="450">
        <v>0</v>
      </c>
      <c r="HF150" s="450">
        <v>0</v>
      </c>
      <c r="HG150" s="472">
        <v>0</v>
      </c>
    </row>
    <row r="151" spans="2:215" ht="12.75">
      <c r="B151" s="445" t="s">
        <v>833</v>
      </c>
      <c r="C151" s="446">
        <v>18104</v>
      </c>
      <c r="D151" s="447">
        <v>4249032</v>
      </c>
      <c r="E151" s="447">
        <v>3645669.456</v>
      </c>
      <c r="F151" s="447">
        <v>399093.75703210436</v>
      </c>
      <c r="G151" s="447">
        <v>603362.5440000001</v>
      </c>
      <c r="H151" s="448">
        <v>0.325793194874061</v>
      </c>
      <c r="I151" s="449">
        <v>4150.96</v>
      </c>
      <c r="J151" s="449">
        <v>1747.2</v>
      </c>
      <c r="K151" s="447">
        <v>4044763.213032104</v>
      </c>
      <c r="L151" s="447">
        <v>3235810.5704256836</v>
      </c>
      <c r="M151" s="447">
        <v>922864.6494444977</v>
      </c>
      <c r="N151" s="447">
        <v>808952.6426064207</v>
      </c>
      <c r="O151" s="450">
        <v>1.140814184710561</v>
      </c>
      <c r="P151" s="451">
        <v>0.8916813963764914</v>
      </c>
      <c r="Q151" s="452">
        <v>0.10831860362350862</v>
      </c>
      <c r="R151" s="447">
        <v>4158675.2198701813</v>
      </c>
      <c r="S151" s="447">
        <v>2811264.4486322426</v>
      </c>
      <c r="T151" s="447">
        <v>337092.78508170496</v>
      </c>
      <c r="U151" s="447">
        <v>624198.3496896877</v>
      </c>
      <c r="V151" s="447">
        <v>948177.9501304014</v>
      </c>
      <c r="W151" s="450">
        <v>0.6583135049742959</v>
      </c>
      <c r="X151" s="452">
        <v>11.556365117634604</v>
      </c>
      <c r="Y151" s="447">
        <v>337092.78508170496</v>
      </c>
      <c r="Z151" s="447">
        <v>399232.8211075374</v>
      </c>
      <c r="AA151" s="448">
        <v>0.8443513841035268</v>
      </c>
      <c r="AB151" s="448">
        <v>0.06642178524083076</v>
      </c>
      <c r="AC151" s="449">
        <v>1060</v>
      </c>
      <c r="AD151" s="449">
        <v>1345</v>
      </c>
      <c r="AE151" s="447">
        <v>3772555.5834036353</v>
      </c>
      <c r="AF151" s="447">
        <v>641518.7720602537</v>
      </c>
      <c r="AG151" s="451">
        <v>0.75</v>
      </c>
      <c r="AH151" s="450">
        <v>0.506495775134376</v>
      </c>
      <c r="AI151" s="452">
        <v>0.4265251159667969</v>
      </c>
      <c r="AJ151" s="447">
        <v>4414074.3554638885</v>
      </c>
      <c r="AK151" s="453">
        <v>1</v>
      </c>
      <c r="AL151" s="447">
        <v>4414074.3554638885</v>
      </c>
      <c r="AM151" s="447">
        <v>10383941.904112734</v>
      </c>
      <c r="AN151" s="447">
        <v>10281450.342401119</v>
      </c>
      <c r="AO151" s="447">
        <v>10663824.538157731</v>
      </c>
      <c r="AP151" s="447">
        <v>10663824.538157731</v>
      </c>
      <c r="AQ151" s="447">
        <v>72416</v>
      </c>
      <c r="AR151" s="447">
        <v>10736240.538157731</v>
      </c>
      <c r="AS151" s="454">
        <v>593.0314040078288</v>
      </c>
      <c r="AT151" s="450">
        <v>18102</v>
      </c>
      <c r="AU151" s="450">
        <v>147</v>
      </c>
      <c r="AV151" s="450">
        <v>1658</v>
      </c>
      <c r="AW151" s="450">
        <v>1004</v>
      </c>
      <c r="AX151" s="450">
        <v>18</v>
      </c>
      <c r="AY151" s="450">
        <v>4457</v>
      </c>
      <c r="AZ151" s="450">
        <v>1449</v>
      </c>
      <c r="BA151" s="450">
        <v>942</v>
      </c>
      <c r="BB151" s="450">
        <v>961</v>
      </c>
      <c r="BC151" s="450">
        <v>305</v>
      </c>
      <c r="BD151" s="450">
        <v>2398</v>
      </c>
      <c r="BE151" s="450">
        <v>1607</v>
      </c>
      <c r="BF151" s="450">
        <v>354</v>
      </c>
      <c r="BG151" s="450">
        <v>2797</v>
      </c>
      <c r="BH151" s="450">
        <v>0</v>
      </c>
      <c r="BI151" s="450">
        <v>5</v>
      </c>
      <c r="BJ151" s="452">
        <v>1.5995751255162414</v>
      </c>
      <c r="BK151" s="452">
        <v>16.271072954380532</v>
      </c>
      <c r="BL151" s="452">
        <v>13.907228011983582</v>
      </c>
      <c r="BM151" s="452">
        <v>4.7276898847938975</v>
      </c>
      <c r="BN151" s="449">
        <v>16141</v>
      </c>
      <c r="BO151" s="449">
        <v>1961</v>
      </c>
      <c r="BP151" s="447">
        <v>6251648.2554073855</v>
      </c>
      <c r="BQ151" s="447">
        <v>18776680</v>
      </c>
      <c r="BR151" s="447">
        <v>25741028</v>
      </c>
      <c r="BS151" s="448">
        <v>0.06642912385371783</v>
      </c>
      <c r="BT151" s="449">
        <v>1060</v>
      </c>
      <c r="BU151" s="449">
        <v>1345</v>
      </c>
      <c r="BV151" s="447">
        <v>1709953.9371340184</v>
      </c>
      <c r="BW151" s="448">
        <v>0.018729973719923194</v>
      </c>
      <c r="BX151" s="447">
        <v>87193.51086649677</v>
      </c>
      <c r="BY151" s="447">
        <v>26825475.703407902</v>
      </c>
      <c r="BZ151" s="455">
        <v>0.9333333333333335</v>
      </c>
      <c r="CA151" s="447">
        <v>25037110.656514045</v>
      </c>
      <c r="CB151" s="447">
        <v>18828585.8681749</v>
      </c>
      <c r="CC151" s="447">
        <v>18805541.17544096</v>
      </c>
      <c r="CD151" s="447">
        <v>19112234.87960604</v>
      </c>
      <c r="CE151" s="447">
        <v>19112234.87960604</v>
      </c>
      <c r="CF151" s="454">
        <v>1055.807915125734</v>
      </c>
      <c r="CG151" s="450">
        <v>18102</v>
      </c>
      <c r="CH151" s="450">
        <v>147</v>
      </c>
      <c r="CI151" s="450">
        <v>1658</v>
      </c>
      <c r="CJ151" s="450">
        <v>1004</v>
      </c>
      <c r="CK151" s="450">
        <v>18</v>
      </c>
      <c r="CL151" s="450">
        <v>4457</v>
      </c>
      <c r="CM151" s="450">
        <v>1449</v>
      </c>
      <c r="CN151" s="450">
        <v>942</v>
      </c>
      <c r="CO151" s="450">
        <v>961</v>
      </c>
      <c r="CP151" s="450">
        <v>305</v>
      </c>
      <c r="CQ151" s="450">
        <v>2398</v>
      </c>
      <c r="CR151" s="450">
        <v>1607</v>
      </c>
      <c r="CS151" s="450">
        <v>354</v>
      </c>
      <c r="CT151" s="450">
        <v>2797</v>
      </c>
      <c r="CU151" s="450">
        <v>0</v>
      </c>
      <c r="CV151" s="450">
        <v>5</v>
      </c>
      <c r="CW151" s="447">
        <v>13070746.056383582</v>
      </c>
      <c r="CX151" s="452">
        <v>0.9111324575965379</v>
      </c>
      <c r="CY151" s="452">
        <v>0.9333333333333335</v>
      </c>
      <c r="CZ151" s="447">
        <v>11909180.976973029</v>
      </c>
      <c r="DA151" s="454">
        <v>657.8931044621053</v>
      </c>
      <c r="DB151" s="449">
        <v>18104</v>
      </c>
      <c r="DC151" s="452">
        <v>1.0194984533804683</v>
      </c>
      <c r="DD151" s="454">
        <v>307.9</v>
      </c>
      <c r="DE151" s="447">
        <v>25546</v>
      </c>
      <c r="DF151" s="454">
        <v>46.3463352358373</v>
      </c>
      <c r="DG151" s="454">
        <v>48.3392276509783</v>
      </c>
      <c r="DH151" s="454">
        <v>49.402690659299815</v>
      </c>
      <c r="DI151" s="454">
        <v>50.4895498538044</v>
      </c>
      <c r="DJ151" s="454">
        <v>52.15570499897994</v>
      </c>
      <c r="DK151" s="454">
        <v>54.03331037894321</v>
      </c>
      <c r="DL151" s="454">
        <v>55.76237631106939</v>
      </c>
      <c r="DM151" s="454">
        <v>58.04863373982323</v>
      </c>
      <c r="DN151" s="454">
        <v>60.602773624375445</v>
      </c>
      <c r="DO151" s="454">
        <v>63.93592617371609</v>
      </c>
      <c r="DP151" s="454">
        <v>63.36050283815265</v>
      </c>
      <c r="DQ151" s="454">
        <v>66.59188848289843</v>
      </c>
      <c r="DR151" s="454">
        <v>70.65399368035523</v>
      </c>
      <c r="DS151" s="454">
        <v>35.59</v>
      </c>
      <c r="DT151" s="454">
        <v>37.67595106592998</v>
      </c>
      <c r="DU151" s="454">
        <v>39.83645841876087</v>
      </c>
      <c r="DV151" s="454">
        <v>42.52664197812997</v>
      </c>
      <c r="DW151" s="454">
        <v>45.482702416428445</v>
      </c>
      <c r="DX151" s="454">
        <v>48.408853463306684</v>
      </c>
      <c r="DY151" s="454">
        <v>51.92461991220645</v>
      </c>
      <c r="DZ151" s="454">
        <v>54.919688792347074</v>
      </c>
      <c r="EA151" s="454">
        <v>56.63747162321607</v>
      </c>
      <c r="EB151" s="454">
        <v>58.48368501689557</v>
      </c>
      <c r="EC151" s="454">
        <v>62.49146005878548</v>
      </c>
      <c r="ED151" s="454">
        <v>67.39107776186735</v>
      </c>
      <c r="EE151" s="454">
        <v>-2.59</v>
      </c>
      <c r="EF151" s="454">
        <v>64.80107776186735</v>
      </c>
      <c r="EG151" s="454">
        <v>3369.656043617102</v>
      </c>
      <c r="EH151" s="447">
        <v>59784167.95337114</v>
      </c>
      <c r="EI151" s="454">
        <v>35.91</v>
      </c>
      <c r="EJ151" s="454">
        <v>37.97028706592997</v>
      </c>
      <c r="EK151" s="454">
        <v>40.103846322760866</v>
      </c>
      <c r="EL151" s="454">
        <v>42.768327219857966</v>
      </c>
      <c r="EM151" s="454">
        <v>45.697318911082895</v>
      </c>
      <c r="EN151" s="454">
        <v>48.59342364870951</v>
      </c>
      <c r="EO151" s="454">
        <v>52.07832996260992</v>
      </c>
      <c r="EP151" s="454">
        <v>55.06233171912149</v>
      </c>
      <c r="EQ151" s="454">
        <v>56.7735054277166</v>
      </c>
      <c r="ER151" s="454">
        <v>58.57458262782008</v>
      </c>
      <c r="ES151" s="454">
        <v>62.567886770050805</v>
      </c>
      <c r="ET151" s="454">
        <v>67.45189431735673</v>
      </c>
      <c r="EU151" s="447">
        <v>223836449</v>
      </c>
      <c r="EV151" s="447">
        <v>0</v>
      </c>
      <c r="EW151" s="447">
        <v>0</v>
      </c>
      <c r="EX151" s="447">
        <v>0</v>
      </c>
      <c r="EY151" s="447">
        <v>0</v>
      </c>
      <c r="EZ151" s="447">
        <v>0</v>
      </c>
      <c r="FA151" s="447">
        <v>0</v>
      </c>
      <c r="FB151" s="447">
        <v>0</v>
      </c>
      <c r="FC151" s="447">
        <v>0</v>
      </c>
      <c r="FD151" s="447">
        <v>223836449</v>
      </c>
      <c r="FE151" s="447">
        <v>149941.41140888157</v>
      </c>
      <c r="FF151" s="447">
        <v>0</v>
      </c>
      <c r="FG151" s="447">
        <v>0</v>
      </c>
      <c r="FH151" s="447">
        <v>20369</v>
      </c>
      <c r="FI151" s="456">
        <v>0.051500000000000004</v>
      </c>
      <c r="FJ151" s="447">
        <v>1049.0035</v>
      </c>
      <c r="FK151" s="471">
        <v>1049.0035</v>
      </c>
      <c r="FL151" s="446">
        <v>66.56</v>
      </c>
      <c r="FM151" s="450">
        <v>61.86</v>
      </c>
      <c r="FN151" s="450">
        <v>59.27</v>
      </c>
      <c r="FO151" s="450">
        <v>-2.59</v>
      </c>
      <c r="FP151" s="472">
        <v>58.51</v>
      </c>
      <c r="FQ151" s="446">
        <v>298629</v>
      </c>
      <c r="FR151" s="450">
        <v>968066</v>
      </c>
      <c r="FS151" s="450">
        <v>0</v>
      </c>
      <c r="FT151" s="450">
        <v>0</v>
      </c>
      <c r="FU151" s="450">
        <v>0</v>
      </c>
      <c r="FV151" s="450">
        <v>0</v>
      </c>
      <c r="FW151" s="450">
        <v>0</v>
      </c>
      <c r="FX151" s="450">
        <v>0</v>
      </c>
      <c r="FY151" s="450">
        <v>0</v>
      </c>
      <c r="FZ151" s="450">
        <v>0</v>
      </c>
      <c r="GA151" s="450">
        <v>0</v>
      </c>
      <c r="GB151" s="450">
        <v>0</v>
      </c>
      <c r="GC151" s="450">
        <v>0</v>
      </c>
      <c r="GD151" s="450">
        <v>0</v>
      </c>
      <c r="GE151" s="450">
        <v>0</v>
      </c>
      <c r="GF151" s="450">
        <v>0</v>
      </c>
      <c r="GG151" s="450">
        <v>0</v>
      </c>
      <c r="GH151" s="450">
        <v>0</v>
      </c>
      <c r="GI151" s="450">
        <v>0</v>
      </c>
      <c r="GJ151" s="450">
        <v>0</v>
      </c>
      <c r="GK151" s="450">
        <v>0</v>
      </c>
      <c r="GL151" s="450">
        <v>0</v>
      </c>
      <c r="GM151" s="450">
        <v>0</v>
      </c>
      <c r="GN151" s="450">
        <v>0</v>
      </c>
      <c r="GO151" s="450">
        <v>0</v>
      </c>
      <c r="GP151" s="450">
        <v>0</v>
      </c>
      <c r="GQ151" s="450">
        <v>0</v>
      </c>
      <c r="GR151" s="450">
        <v>0</v>
      </c>
      <c r="GS151" s="450">
        <v>0</v>
      </c>
      <c r="GT151" s="450">
        <v>0</v>
      </c>
      <c r="GU151" s="450">
        <v>0</v>
      </c>
      <c r="GV151" s="450">
        <v>0</v>
      </c>
      <c r="GW151" s="450">
        <v>2848285</v>
      </c>
      <c r="GX151" s="450">
        <v>183236432</v>
      </c>
      <c r="GY151" s="450">
        <v>207104678</v>
      </c>
      <c r="GZ151" s="450">
        <v>102</v>
      </c>
      <c r="HA151" s="450" t="s">
        <v>888</v>
      </c>
      <c r="HB151" s="450" t="s">
        <v>888</v>
      </c>
      <c r="HC151" s="450">
        <v>35</v>
      </c>
      <c r="HD151" s="450">
        <v>0</v>
      </c>
      <c r="HE151" s="450">
        <v>0</v>
      </c>
      <c r="HF151" s="450">
        <v>0</v>
      </c>
      <c r="HG151" s="472">
        <v>0</v>
      </c>
    </row>
    <row r="152" spans="2:215" ht="12.75">
      <c r="B152" s="445" t="s">
        <v>834</v>
      </c>
      <c r="C152" s="446">
        <v>16954.14</v>
      </c>
      <c r="D152" s="447">
        <v>3981114.62</v>
      </c>
      <c r="E152" s="447">
        <v>3415796.3439599997</v>
      </c>
      <c r="F152" s="447">
        <v>739955.3450262968</v>
      </c>
      <c r="G152" s="447">
        <v>565318.27604</v>
      </c>
      <c r="H152" s="448">
        <v>0.6447003504748693</v>
      </c>
      <c r="I152" s="449">
        <v>10218.98</v>
      </c>
      <c r="J152" s="449">
        <v>711.36</v>
      </c>
      <c r="K152" s="447">
        <v>4155751.6889862968</v>
      </c>
      <c r="L152" s="447">
        <v>3324601.351189038</v>
      </c>
      <c r="M152" s="447">
        <v>1324481.1014519103</v>
      </c>
      <c r="N152" s="447">
        <v>831150.3377972592</v>
      </c>
      <c r="O152" s="450">
        <v>1.5935517814527898</v>
      </c>
      <c r="P152" s="451">
        <v>0.5434070970276287</v>
      </c>
      <c r="Q152" s="452">
        <v>0.45658464540224397</v>
      </c>
      <c r="R152" s="447">
        <v>4649082.452640948</v>
      </c>
      <c r="S152" s="447">
        <v>3142779.737985281</v>
      </c>
      <c r="T152" s="447">
        <v>450590.208228736</v>
      </c>
      <c r="U152" s="447">
        <v>1926856.7317580674</v>
      </c>
      <c r="V152" s="447">
        <v>1059990.7992021362</v>
      </c>
      <c r="W152" s="450">
        <v>1.8178051481281048</v>
      </c>
      <c r="X152" s="452">
        <v>31.910662390716823</v>
      </c>
      <c r="Y152" s="447">
        <v>450590.208228736</v>
      </c>
      <c r="Z152" s="447">
        <v>446311.915453531</v>
      </c>
      <c r="AA152" s="448">
        <v>1.0095858806970401</v>
      </c>
      <c r="AB152" s="448">
        <v>0.07942012983259546</v>
      </c>
      <c r="AC152" s="449">
        <v>1331</v>
      </c>
      <c r="AD152" s="449">
        <v>1362</v>
      </c>
      <c r="AE152" s="447">
        <v>5520226.677972085</v>
      </c>
      <c r="AF152" s="447">
        <v>243265.26954175142</v>
      </c>
      <c r="AG152" s="451">
        <v>0.5</v>
      </c>
      <c r="AH152" s="450">
        <v>0.264011208740496</v>
      </c>
      <c r="AI152" s="452">
        <v>0.22232645750045776</v>
      </c>
      <c r="AJ152" s="447">
        <v>5763491.947513836</v>
      </c>
      <c r="AK152" s="453">
        <v>1.0362</v>
      </c>
      <c r="AL152" s="447">
        <v>5972130.356013837</v>
      </c>
      <c r="AM152" s="447">
        <v>14049209.33963708</v>
      </c>
      <c r="AN152" s="447">
        <v>13910540.862932438</v>
      </c>
      <c r="AO152" s="447">
        <v>13677255.918023033</v>
      </c>
      <c r="AP152" s="447">
        <v>13910540.862932438</v>
      </c>
      <c r="AQ152" s="447">
        <v>67816.56</v>
      </c>
      <c r="AR152" s="447">
        <v>13978357.422932439</v>
      </c>
      <c r="AS152" s="454">
        <v>824.4804763280496</v>
      </c>
      <c r="AT152" s="450">
        <v>16917</v>
      </c>
      <c r="AU152" s="450">
        <v>459</v>
      </c>
      <c r="AV152" s="450">
        <v>1278</v>
      </c>
      <c r="AW152" s="450">
        <v>273</v>
      </c>
      <c r="AX152" s="450">
        <v>62</v>
      </c>
      <c r="AY152" s="450">
        <v>681</v>
      </c>
      <c r="AZ152" s="450">
        <v>516</v>
      </c>
      <c r="BA152" s="450">
        <v>435</v>
      </c>
      <c r="BB152" s="450">
        <v>1694</v>
      </c>
      <c r="BC152" s="450">
        <v>83</v>
      </c>
      <c r="BD152" s="450">
        <v>3656</v>
      </c>
      <c r="BE152" s="450">
        <v>5940</v>
      </c>
      <c r="BF152" s="450">
        <v>1801</v>
      </c>
      <c r="BG152" s="450">
        <v>37</v>
      </c>
      <c r="BH152" s="450">
        <v>2</v>
      </c>
      <c r="BI152" s="450">
        <v>0</v>
      </c>
      <c r="BJ152" s="452">
        <v>2.2449598458822893</v>
      </c>
      <c r="BK152" s="452">
        <v>20.266543690512886</v>
      </c>
      <c r="BL152" s="452">
        <v>14.55533665201107</v>
      </c>
      <c r="BM152" s="452">
        <v>11.422414077003632</v>
      </c>
      <c r="BN152" s="449">
        <v>9176</v>
      </c>
      <c r="BO152" s="449">
        <v>7741</v>
      </c>
      <c r="BP152" s="447">
        <v>7156931.988672738</v>
      </c>
      <c r="BQ152" s="447">
        <v>20127608</v>
      </c>
      <c r="BR152" s="447">
        <v>22522890</v>
      </c>
      <c r="BS152" s="448">
        <v>0.07959449074895077</v>
      </c>
      <c r="BT152" s="449">
        <v>1331</v>
      </c>
      <c r="BU152" s="449">
        <v>1362</v>
      </c>
      <c r="BV152" s="447">
        <v>1792697.9597446357</v>
      </c>
      <c r="BW152" s="448">
        <v>0.018627540982370155</v>
      </c>
      <c r="BX152" s="447">
        <v>100939.88607644504</v>
      </c>
      <c r="BY152" s="447">
        <v>29178177.83449382</v>
      </c>
      <c r="BZ152" s="455">
        <v>1.0266666666666666</v>
      </c>
      <c r="CA152" s="447">
        <v>29956262.576746985</v>
      </c>
      <c r="CB152" s="447">
        <v>22527921.45043809</v>
      </c>
      <c r="CC152" s="447">
        <v>22500349.064949643</v>
      </c>
      <c r="CD152" s="447">
        <v>21896161.110997938</v>
      </c>
      <c r="CE152" s="447">
        <v>22500349.064949643</v>
      </c>
      <c r="CF152" s="454">
        <v>1330.0436877076102</v>
      </c>
      <c r="CG152" s="450">
        <v>16917</v>
      </c>
      <c r="CH152" s="450">
        <v>459</v>
      </c>
      <c r="CI152" s="450">
        <v>1278</v>
      </c>
      <c r="CJ152" s="450">
        <v>273</v>
      </c>
      <c r="CK152" s="450">
        <v>62</v>
      </c>
      <c r="CL152" s="450">
        <v>681</v>
      </c>
      <c r="CM152" s="450">
        <v>516</v>
      </c>
      <c r="CN152" s="450">
        <v>435</v>
      </c>
      <c r="CO152" s="450">
        <v>1694</v>
      </c>
      <c r="CP152" s="450">
        <v>83</v>
      </c>
      <c r="CQ152" s="450">
        <v>3656</v>
      </c>
      <c r="CR152" s="450">
        <v>5940</v>
      </c>
      <c r="CS152" s="450">
        <v>1801</v>
      </c>
      <c r="CT152" s="450">
        <v>37</v>
      </c>
      <c r="CU152" s="450">
        <v>2</v>
      </c>
      <c r="CV152" s="450">
        <v>0</v>
      </c>
      <c r="CW152" s="447">
        <v>13382397.31788952</v>
      </c>
      <c r="CX152" s="452">
        <v>1.0022457033561916</v>
      </c>
      <c r="CY152" s="452">
        <v>1.0266666666666666</v>
      </c>
      <c r="CZ152" s="447">
        <v>13412450.212460194</v>
      </c>
      <c r="DA152" s="454">
        <v>792.8385773163205</v>
      </c>
      <c r="DB152" s="449">
        <v>16954.14</v>
      </c>
      <c r="DC152" s="452">
        <v>0.992199486379138</v>
      </c>
      <c r="DD152" s="454">
        <v>328.7</v>
      </c>
      <c r="DE152" s="447">
        <v>39286</v>
      </c>
      <c r="DF152" s="454">
        <v>52.35000709648302</v>
      </c>
      <c r="DG152" s="454">
        <v>54.601057401631785</v>
      </c>
      <c r="DH152" s="454">
        <v>55.80228066446767</v>
      </c>
      <c r="DI152" s="454">
        <v>57.02993083908595</v>
      </c>
      <c r="DJ152" s="454">
        <v>58.91191855677578</v>
      </c>
      <c r="DK152" s="454">
        <v>61.0327476248197</v>
      </c>
      <c r="DL152" s="454">
        <v>62.98579554881392</v>
      </c>
      <c r="DM152" s="454">
        <v>65.56821316631529</v>
      </c>
      <c r="DN152" s="454">
        <v>68.45321454563314</v>
      </c>
      <c r="DO152" s="454">
        <v>72.21814134564296</v>
      </c>
      <c r="DP152" s="454">
        <v>71.56817807353218</v>
      </c>
      <c r="DQ152" s="454">
        <v>75.21815515528232</v>
      </c>
      <c r="DR152" s="454">
        <v>79.80646261975454</v>
      </c>
      <c r="DS152" s="454">
        <v>40.01</v>
      </c>
      <c r="DT152" s="454">
        <v>42.381426066446764</v>
      </c>
      <c r="DU152" s="454">
        <v>44.83783003981718</v>
      </c>
      <c r="DV152" s="454">
        <v>47.891783446836726</v>
      </c>
      <c r="DW152" s="454">
        <v>51.24686764719382</v>
      </c>
      <c r="DX152" s="454">
        <v>54.569938768055664</v>
      </c>
      <c r="DY152" s="454">
        <v>58.55948763929981</v>
      </c>
      <c r="DZ152" s="454">
        <v>61.949117256562786</v>
      </c>
      <c r="EA152" s="454">
        <v>63.893350913384914</v>
      </c>
      <c r="EB152" s="454">
        <v>66.00556395332983</v>
      </c>
      <c r="EC152" s="454">
        <v>70.54110920301618</v>
      </c>
      <c r="ED152" s="454">
        <v>76.08470330323875</v>
      </c>
      <c r="EE152" s="454">
        <v>-1.57</v>
      </c>
      <c r="EF152" s="454">
        <v>74.51470330323876</v>
      </c>
      <c r="EG152" s="454">
        <v>3874.7645717684154</v>
      </c>
      <c r="EH152" s="447">
        <v>64379434.99646572</v>
      </c>
      <c r="EI152" s="454">
        <v>45.25</v>
      </c>
      <c r="EJ152" s="454">
        <v>47.20117806644676</v>
      </c>
      <c r="EK152" s="454">
        <v>49.216306967817175</v>
      </c>
      <c r="EL152" s="454">
        <v>51.849379280132716</v>
      </c>
      <c r="EM152" s="454">
        <v>54.761212747160656</v>
      </c>
      <c r="EN152" s="454">
        <v>57.59227555402714</v>
      </c>
      <c r="EO152" s="454">
        <v>61.07648971465686</v>
      </c>
      <c r="EP152" s="454">
        <v>64.28489518249413</v>
      </c>
      <c r="EQ152" s="454">
        <v>66.12090446208143</v>
      </c>
      <c r="ER152" s="454">
        <v>67.49401233221894</v>
      </c>
      <c r="ES152" s="454">
        <v>71.79259659998614</v>
      </c>
      <c r="ET152" s="454">
        <v>77.08057439937761</v>
      </c>
      <c r="EU152" s="447">
        <v>122010348</v>
      </c>
      <c r="EV152" s="447">
        <v>0</v>
      </c>
      <c r="EW152" s="447">
        <v>0</v>
      </c>
      <c r="EX152" s="447">
        <v>215000</v>
      </c>
      <c r="EY152" s="447">
        <v>0</v>
      </c>
      <c r="EZ152" s="447">
        <v>0</v>
      </c>
      <c r="FA152" s="447">
        <v>0</v>
      </c>
      <c r="FB152" s="447">
        <v>0</v>
      </c>
      <c r="FC152" s="447">
        <v>0</v>
      </c>
      <c r="FD152" s="447">
        <v>122225348</v>
      </c>
      <c r="FE152" s="447">
        <v>100270.41378570787</v>
      </c>
      <c r="FF152" s="447">
        <v>0</v>
      </c>
      <c r="FG152" s="447">
        <v>0</v>
      </c>
      <c r="FH152" s="447">
        <v>24861</v>
      </c>
      <c r="FI152" s="456">
        <v>0.037200000000000004</v>
      </c>
      <c r="FJ152" s="447">
        <v>924.8292000000001</v>
      </c>
      <c r="FK152" s="471">
        <v>924.8292000000001</v>
      </c>
      <c r="FL152" s="446">
        <v>75.21</v>
      </c>
      <c r="FM152" s="450">
        <v>71.28</v>
      </c>
      <c r="FN152" s="450">
        <v>69.71</v>
      </c>
      <c r="FO152" s="450">
        <v>-1.57</v>
      </c>
      <c r="FP152" s="472">
        <v>69.71</v>
      </c>
      <c r="FQ152" s="446">
        <v>26453</v>
      </c>
      <c r="FR152" s="450">
        <v>109971</v>
      </c>
      <c r="FS152" s="450">
        <v>0</v>
      </c>
      <c r="FT152" s="450">
        <v>0</v>
      </c>
      <c r="FU152" s="450">
        <v>0</v>
      </c>
      <c r="FV152" s="450">
        <v>0</v>
      </c>
      <c r="FW152" s="450">
        <v>0</v>
      </c>
      <c r="FX152" s="450">
        <v>0</v>
      </c>
      <c r="FY152" s="450">
        <v>0</v>
      </c>
      <c r="FZ152" s="450">
        <v>0</v>
      </c>
      <c r="GA152" s="450">
        <v>0</v>
      </c>
      <c r="GB152" s="450">
        <v>0</v>
      </c>
      <c r="GC152" s="450">
        <v>0</v>
      </c>
      <c r="GD152" s="450">
        <v>0</v>
      </c>
      <c r="GE152" s="450">
        <v>0</v>
      </c>
      <c r="GF152" s="450">
        <v>0</v>
      </c>
      <c r="GG152" s="450">
        <v>0</v>
      </c>
      <c r="GH152" s="450">
        <v>0</v>
      </c>
      <c r="GI152" s="450">
        <v>0</v>
      </c>
      <c r="GJ152" s="450">
        <v>0</v>
      </c>
      <c r="GK152" s="450">
        <v>0</v>
      </c>
      <c r="GL152" s="450">
        <v>0</v>
      </c>
      <c r="GM152" s="450">
        <v>0</v>
      </c>
      <c r="GN152" s="450">
        <v>0</v>
      </c>
      <c r="GO152" s="450">
        <v>0</v>
      </c>
      <c r="GP152" s="450">
        <v>0</v>
      </c>
      <c r="GQ152" s="450">
        <v>0</v>
      </c>
      <c r="GR152" s="450">
        <v>0</v>
      </c>
      <c r="GS152" s="450">
        <v>0</v>
      </c>
      <c r="GT152" s="450">
        <v>0</v>
      </c>
      <c r="GU152" s="450">
        <v>0</v>
      </c>
      <c r="GV152" s="450">
        <v>0</v>
      </c>
      <c r="GW152" s="450">
        <v>3545724</v>
      </c>
      <c r="GX152" s="450">
        <v>100312045</v>
      </c>
      <c r="GY152" s="450">
        <v>103844400</v>
      </c>
      <c r="GZ152" s="450">
        <v>79</v>
      </c>
      <c r="HA152" s="450" t="s">
        <v>888</v>
      </c>
      <c r="HB152" s="450" t="s">
        <v>888</v>
      </c>
      <c r="HC152" s="450">
        <v>27</v>
      </c>
      <c r="HD152" s="450">
        <v>0</v>
      </c>
      <c r="HE152" s="450">
        <v>0</v>
      </c>
      <c r="HF152" s="450">
        <v>0</v>
      </c>
      <c r="HG152" s="472">
        <v>0</v>
      </c>
    </row>
    <row r="153" spans="2:215" ht="12.75">
      <c r="B153" s="445" t="s">
        <v>835</v>
      </c>
      <c r="C153" s="446">
        <v>6132.2</v>
      </c>
      <c r="D153" s="447">
        <v>1459602.6</v>
      </c>
      <c r="E153" s="447">
        <v>1252339.0307999998</v>
      </c>
      <c r="F153" s="447">
        <v>258983.64746602657</v>
      </c>
      <c r="G153" s="447">
        <v>207263.5692</v>
      </c>
      <c r="H153" s="448">
        <v>0.6154528554189361</v>
      </c>
      <c r="I153" s="449">
        <v>3486.13</v>
      </c>
      <c r="J153" s="449">
        <v>287.95</v>
      </c>
      <c r="K153" s="447">
        <v>1511322.6782660263</v>
      </c>
      <c r="L153" s="447">
        <v>1209058.1426128212</v>
      </c>
      <c r="M153" s="447">
        <v>455274.80465530546</v>
      </c>
      <c r="N153" s="447">
        <v>302264.5356532052</v>
      </c>
      <c r="O153" s="450">
        <v>1.5062131045954144</v>
      </c>
      <c r="P153" s="451">
        <v>0.6105476011871759</v>
      </c>
      <c r="Q153" s="452">
        <v>0.38941978409053846</v>
      </c>
      <c r="R153" s="447">
        <v>1664332.9472681265</v>
      </c>
      <c r="S153" s="447">
        <v>1125089.0723532536</v>
      </c>
      <c r="T153" s="447">
        <v>142752.94565629816</v>
      </c>
      <c r="U153" s="447">
        <v>367362.59337708604</v>
      </c>
      <c r="V153" s="447">
        <v>379467.91197713284</v>
      </c>
      <c r="W153" s="450">
        <v>0.9680992299533978</v>
      </c>
      <c r="X153" s="452">
        <v>16.994498953624227</v>
      </c>
      <c r="Y153" s="447">
        <v>142752.94565629816</v>
      </c>
      <c r="Z153" s="447">
        <v>159775.96293774014</v>
      </c>
      <c r="AA153" s="448">
        <v>0.8934569570513223</v>
      </c>
      <c r="AB153" s="448">
        <v>0.07028472652555363</v>
      </c>
      <c r="AC153" s="449">
        <v>425</v>
      </c>
      <c r="AD153" s="449">
        <v>437</v>
      </c>
      <c r="AE153" s="447">
        <v>1635204.611386638</v>
      </c>
      <c r="AF153" s="447">
        <v>39388.76215350165</v>
      </c>
      <c r="AG153" s="451">
        <v>0.25</v>
      </c>
      <c r="AH153" s="450">
        <v>0.224746023218712</v>
      </c>
      <c r="AI153" s="452">
        <v>0.18926085531711578</v>
      </c>
      <c r="AJ153" s="447">
        <v>1674593.3735401395</v>
      </c>
      <c r="AK153" s="453">
        <v>1.0076</v>
      </c>
      <c r="AL153" s="447">
        <v>1687320.2831790447</v>
      </c>
      <c r="AM153" s="447">
        <v>3969356.7400997956</v>
      </c>
      <c r="AN153" s="447">
        <v>3930178.4034873554</v>
      </c>
      <c r="AO153" s="447">
        <v>3993682.7492122916</v>
      </c>
      <c r="AP153" s="447">
        <v>3993682.7492122916</v>
      </c>
      <c r="AQ153" s="447">
        <v>24528.8</v>
      </c>
      <c r="AR153" s="447">
        <v>4018211.5492122914</v>
      </c>
      <c r="AS153" s="454">
        <v>655.2642688125455</v>
      </c>
      <c r="AT153" s="450">
        <v>6125</v>
      </c>
      <c r="AU153" s="450">
        <v>98</v>
      </c>
      <c r="AV153" s="450">
        <v>35</v>
      </c>
      <c r="AW153" s="450">
        <v>308</v>
      </c>
      <c r="AX153" s="450">
        <v>75</v>
      </c>
      <c r="AY153" s="450">
        <v>643</v>
      </c>
      <c r="AZ153" s="450">
        <v>16</v>
      </c>
      <c r="BA153" s="450">
        <v>89</v>
      </c>
      <c r="BB153" s="450">
        <v>673</v>
      </c>
      <c r="BC153" s="450">
        <v>65</v>
      </c>
      <c r="BD153" s="450">
        <v>1464</v>
      </c>
      <c r="BE153" s="450">
        <v>1111</v>
      </c>
      <c r="BF153" s="450">
        <v>1277</v>
      </c>
      <c r="BG153" s="450">
        <v>210</v>
      </c>
      <c r="BH153" s="450">
        <v>61</v>
      </c>
      <c r="BI153" s="450">
        <v>0</v>
      </c>
      <c r="BJ153" s="452">
        <v>1.7594543424307902</v>
      </c>
      <c r="BK153" s="452">
        <v>13.402762392273415</v>
      </c>
      <c r="BL153" s="452">
        <v>8.274436052666625</v>
      </c>
      <c r="BM153" s="452">
        <v>10.25665267921358</v>
      </c>
      <c r="BN153" s="449">
        <v>3737</v>
      </c>
      <c r="BO153" s="449">
        <v>2388</v>
      </c>
      <c r="BP153" s="447">
        <v>1927927.3740815658</v>
      </c>
      <c r="BQ153" s="447">
        <v>7057318</v>
      </c>
      <c r="BR153" s="447">
        <v>8272360</v>
      </c>
      <c r="BS153" s="448">
        <v>0.07036734693877551</v>
      </c>
      <c r="BT153" s="449">
        <v>425</v>
      </c>
      <c r="BU153" s="449">
        <v>437</v>
      </c>
      <c r="BV153" s="447">
        <v>582104.026122449</v>
      </c>
      <c r="BW153" s="448">
        <v>0.02871236002803751</v>
      </c>
      <c r="BX153" s="447">
        <v>37254.05458191167</v>
      </c>
      <c r="BY153" s="447">
        <v>9604603.454785926</v>
      </c>
      <c r="BZ153" s="455">
        <v>1.04</v>
      </c>
      <c r="CA153" s="447">
        <v>9988787.592977364</v>
      </c>
      <c r="CB153" s="447">
        <v>7511839.02541893</v>
      </c>
      <c r="CC153" s="447">
        <v>7502645.1314419955</v>
      </c>
      <c r="CD153" s="447">
        <v>7390317.828130295</v>
      </c>
      <c r="CE153" s="447">
        <v>7502645.1314419955</v>
      </c>
      <c r="CF153" s="454">
        <v>1224.9216541129788</v>
      </c>
      <c r="CG153" s="450">
        <v>6125</v>
      </c>
      <c r="CH153" s="450">
        <v>98</v>
      </c>
      <c r="CI153" s="450">
        <v>35</v>
      </c>
      <c r="CJ153" s="450">
        <v>308</v>
      </c>
      <c r="CK153" s="450">
        <v>75</v>
      </c>
      <c r="CL153" s="450">
        <v>643</v>
      </c>
      <c r="CM153" s="450">
        <v>16</v>
      </c>
      <c r="CN153" s="450">
        <v>89</v>
      </c>
      <c r="CO153" s="450">
        <v>673</v>
      </c>
      <c r="CP153" s="450">
        <v>65</v>
      </c>
      <c r="CQ153" s="450">
        <v>1464</v>
      </c>
      <c r="CR153" s="450">
        <v>1111</v>
      </c>
      <c r="CS153" s="450">
        <v>1277</v>
      </c>
      <c r="CT153" s="450">
        <v>210</v>
      </c>
      <c r="CU153" s="450">
        <v>61</v>
      </c>
      <c r="CV153" s="450">
        <v>0</v>
      </c>
      <c r="CW153" s="447">
        <v>4981636.81120065</v>
      </c>
      <c r="CX153" s="452">
        <v>1.0152618813218566</v>
      </c>
      <c r="CY153" s="452">
        <v>1.04</v>
      </c>
      <c r="CZ153" s="447">
        <v>5057665.961001786</v>
      </c>
      <c r="DA153" s="454">
        <v>825.7413813880468</v>
      </c>
      <c r="DB153" s="449">
        <v>6132.2</v>
      </c>
      <c r="DC153" s="452">
        <v>0.9700743615668114</v>
      </c>
      <c r="DD153" s="454">
        <v>325.9</v>
      </c>
      <c r="DE153" s="447">
        <v>45343</v>
      </c>
      <c r="DF153" s="454">
        <v>53.13793599193991</v>
      </c>
      <c r="DG153" s="454">
        <v>55.42286723959332</v>
      </c>
      <c r="DH153" s="454">
        <v>56.642170318864366</v>
      </c>
      <c r="DI153" s="454">
        <v>57.88829806587937</v>
      </c>
      <c r="DJ153" s="454">
        <v>59.79861190205338</v>
      </c>
      <c r="DK153" s="454">
        <v>61.95136193052729</v>
      </c>
      <c r="DL153" s="454">
        <v>63.933805512304154</v>
      </c>
      <c r="DM153" s="454">
        <v>66.55509153830862</v>
      </c>
      <c r="DN153" s="454">
        <v>69.48351556599418</v>
      </c>
      <c r="DO153" s="454">
        <v>73.30510892212386</v>
      </c>
      <c r="DP153" s="454">
        <v>72.64536294182474</v>
      </c>
      <c r="DQ153" s="454">
        <v>76.3502764518578</v>
      </c>
      <c r="DR153" s="454">
        <v>81.00764331542112</v>
      </c>
      <c r="DS153" s="454">
        <v>41.6</v>
      </c>
      <c r="DT153" s="454">
        <v>43.92789703188643</v>
      </c>
      <c r="DU153" s="454">
        <v>46.33808713317586</v>
      </c>
      <c r="DV153" s="454">
        <v>49.358664995256</v>
      </c>
      <c r="DW153" s="454">
        <v>52.68068907729122</v>
      </c>
      <c r="DX153" s="454">
        <v>55.96102685852113</v>
      </c>
      <c r="DY153" s="454">
        <v>59.91536147543812</v>
      </c>
      <c r="DZ153" s="454">
        <v>63.32184606765036</v>
      </c>
      <c r="EA153" s="454">
        <v>65.27494112799081</v>
      </c>
      <c r="EB153" s="454">
        <v>67.27961528454438</v>
      </c>
      <c r="EC153" s="454">
        <v>71.83875582161646</v>
      </c>
      <c r="ED153" s="454">
        <v>77.41760077390657</v>
      </c>
      <c r="EE153" s="454">
        <v>-4.34</v>
      </c>
      <c r="EF153" s="454">
        <v>73.07760077390657</v>
      </c>
      <c r="EG153" s="454">
        <v>3800.0352402431417</v>
      </c>
      <c r="EH153" s="447">
        <v>22836524.57821461</v>
      </c>
      <c r="EI153" s="454">
        <v>50.12</v>
      </c>
      <c r="EJ153" s="454">
        <v>51.76459303188642</v>
      </c>
      <c r="EK153" s="454">
        <v>53.457290077175855</v>
      </c>
      <c r="EL153" s="454">
        <v>55.79353455626399</v>
      </c>
      <c r="EM153" s="454">
        <v>58.394853247466315</v>
      </c>
      <c r="EN153" s="454">
        <v>60.87520804487172</v>
      </c>
      <c r="EO153" s="454">
        <v>64.00789156743089</v>
      </c>
      <c r="EP153" s="454">
        <v>67.11971399301966</v>
      </c>
      <c r="EQ153" s="454">
        <v>68.89684117281801</v>
      </c>
      <c r="ER153" s="454">
        <v>69.69976417540991</v>
      </c>
      <c r="ES153" s="454">
        <v>73.8736170090562</v>
      </c>
      <c r="ET153" s="454">
        <v>79.03684156381175</v>
      </c>
      <c r="EU153" s="447">
        <v>66246909</v>
      </c>
      <c r="EV153" s="447">
        <v>0</v>
      </c>
      <c r="EW153" s="447">
        <v>0</v>
      </c>
      <c r="EX153" s="447">
        <v>0</v>
      </c>
      <c r="EY153" s="447">
        <v>0</v>
      </c>
      <c r="EZ153" s="447">
        <v>0</v>
      </c>
      <c r="FA153" s="447">
        <v>0</v>
      </c>
      <c r="FB153" s="447">
        <v>0</v>
      </c>
      <c r="FC153" s="447">
        <v>0</v>
      </c>
      <c r="FD153" s="447">
        <v>66246909</v>
      </c>
      <c r="FE153" s="447">
        <v>72906.22932993692</v>
      </c>
      <c r="FF153" s="447">
        <v>0</v>
      </c>
      <c r="FG153" s="447">
        <v>0</v>
      </c>
      <c r="FH153" s="447">
        <v>12742</v>
      </c>
      <c r="FI153" s="456">
        <v>0.0415</v>
      </c>
      <c r="FJ153" s="447">
        <v>528.793</v>
      </c>
      <c r="FK153" s="471">
        <v>528.793</v>
      </c>
      <c r="FL153" s="446">
        <v>76.33</v>
      </c>
      <c r="FM153" s="450">
        <v>73.77</v>
      </c>
      <c r="FN153" s="450">
        <v>69.25</v>
      </c>
      <c r="FO153" s="450">
        <v>-4.52</v>
      </c>
      <c r="FP153" s="472">
        <v>69.43</v>
      </c>
      <c r="FQ153" s="446">
        <v>0</v>
      </c>
      <c r="FR153" s="450">
        <v>0</v>
      </c>
      <c r="FS153" s="450">
        <v>0</v>
      </c>
      <c r="FT153" s="450">
        <v>0</v>
      </c>
      <c r="FU153" s="450">
        <v>0</v>
      </c>
      <c r="FV153" s="450">
        <v>0</v>
      </c>
      <c r="FW153" s="450">
        <v>0</v>
      </c>
      <c r="FX153" s="450">
        <v>0</v>
      </c>
      <c r="FY153" s="450">
        <v>0</v>
      </c>
      <c r="FZ153" s="450">
        <v>0</v>
      </c>
      <c r="GA153" s="450">
        <v>0</v>
      </c>
      <c r="GB153" s="450">
        <v>0</v>
      </c>
      <c r="GC153" s="450">
        <v>0</v>
      </c>
      <c r="GD153" s="450">
        <v>0</v>
      </c>
      <c r="GE153" s="450">
        <v>0</v>
      </c>
      <c r="GF153" s="450">
        <v>0</v>
      </c>
      <c r="GG153" s="450">
        <v>0</v>
      </c>
      <c r="GH153" s="450">
        <v>0</v>
      </c>
      <c r="GI153" s="450">
        <v>0</v>
      </c>
      <c r="GJ153" s="450">
        <v>0</v>
      </c>
      <c r="GK153" s="450">
        <v>0</v>
      </c>
      <c r="GL153" s="450">
        <v>0</v>
      </c>
      <c r="GM153" s="450">
        <v>0</v>
      </c>
      <c r="GN153" s="450">
        <v>0</v>
      </c>
      <c r="GO153" s="450">
        <v>0</v>
      </c>
      <c r="GP153" s="450">
        <v>0</v>
      </c>
      <c r="GQ153" s="450">
        <v>0</v>
      </c>
      <c r="GR153" s="450">
        <v>0</v>
      </c>
      <c r="GS153" s="450">
        <v>0</v>
      </c>
      <c r="GT153" s="450">
        <v>0</v>
      </c>
      <c r="GU153" s="450">
        <v>0</v>
      </c>
      <c r="GV153" s="450">
        <v>0</v>
      </c>
      <c r="GW153" s="450">
        <v>0</v>
      </c>
      <c r="GX153" s="450">
        <v>55466178</v>
      </c>
      <c r="GY153" s="450">
        <v>67466178</v>
      </c>
      <c r="GZ153" s="450">
        <v>26</v>
      </c>
      <c r="HA153" s="450" t="s">
        <v>888</v>
      </c>
      <c r="HB153" s="450" t="s">
        <v>888</v>
      </c>
      <c r="HC153" s="450">
        <v>0</v>
      </c>
      <c r="HD153" s="450">
        <v>0</v>
      </c>
      <c r="HE153" s="450">
        <v>0</v>
      </c>
      <c r="HF153" s="450">
        <v>0</v>
      </c>
      <c r="HG153" s="472">
        <v>0</v>
      </c>
    </row>
    <row r="154" spans="2:215" ht="12.75">
      <c r="B154" s="445" t="s">
        <v>836</v>
      </c>
      <c r="C154" s="446">
        <v>39062</v>
      </c>
      <c r="D154" s="447">
        <v>9132246</v>
      </c>
      <c r="E154" s="447">
        <v>7835467.068</v>
      </c>
      <c r="F154" s="447">
        <v>2121403.269325598</v>
      </c>
      <c r="G154" s="447">
        <v>1296778.932</v>
      </c>
      <c r="H154" s="448">
        <v>0.8057544416568533</v>
      </c>
      <c r="I154" s="449">
        <v>30911.48</v>
      </c>
      <c r="J154" s="449">
        <v>562.9</v>
      </c>
      <c r="K154" s="447">
        <v>9956870.337325599</v>
      </c>
      <c r="L154" s="447">
        <v>7965496.26986048</v>
      </c>
      <c r="M154" s="447">
        <v>4029491.5398367653</v>
      </c>
      <c r="N154" s="447">
        <v>1991374.0674651193</v>
      </c>
      <c r="O154" s="450">
        <v>2.0234729404536376</v>
      </c>
      <c r="P154" s="451">
        <v>0.2127131227279709</v>
      </c>
      <c r="Q154" s="452">
        <v>0.7872868772720291</v>
      </c>
      <c r="R154" s="447">
        <v>11994987.809697244</v>
      </c>
      <c r="S154" s="447">
        <v>8108611.759355337</v>
      </c>
      <c r="T154" s="447">
        <v>820304.332652058</v>
      </c>
      <c r="U154" s="447">
        <v>4720944.287137144</v>
      </c>
      <c r="V154" s="447">
        <v>2734857.220610972</v>
      </c>
      <c r="W154" s="450">
        <v>1.7262123417479456</v>
      </c>
      <c r="X154" s="452">
        <v>30.302796374479982</v>
      </c>
      <c r="Y154" s="447">
        <v>820304.332652058</v>
      </c>
      <c r="Z154" s="447">
        <v>1151518.8297309354</v>
      </c>
      <c r="AA154" s="448">
        <v>0.7123672765678793</v>
      </c>
      <c r="AB154" s="448">
        <v>0.05603911730070145</v>
      </c>
      <c r="AC154" s="449">
        <v>2277</v>
      </c>
      <c r="AD154" s="449">
        <v>2101</v>
      </c>
      <c r="AE154" s="447">
        <v>13649860.37914454</v>
      </c>
      <c r="AF154" s="447">
        <v>2052952.0332494238</v>
      </c>
      <c r="AG154" s="451">
        <v>1</v>
      </c>
      <c r="AH154" s="450">
        <v>0.5758986244590629</v>
      </c>
      <c r="AI154" s="452">
        <v>0.48496994376182556</v>
      </c>
      <c r="AJ154" s="447">
        <v>15702812.412393965</v>
      </c>
      <c r="AK154" s="453">
        <v>1.1982</v>
      </c>
      <c r="AL154" s="447">
        <v>18815109.832530446</v>
      </c>
      <c r="AM154" s="447">
        <v>44261829.7035832</v>
      </c>
      <c r="AN154" s="447">
        <v>43824956.68441338</v>
      </c>
      <c r="AO154" s="447">
        <v>43839332.11217124</v>
      </c>
      <c r="AP154" s="447">
        <v>43839332.11217124</v>
      </c>
      <c r="AQ154" s="447">
        <v>156248</v>
      </c>
      <c r="AR154" s="447">
        <v>43995580.11217124</v>
      </c>
      <c r="AS154" s="454">
        <v>1126.301267527808</v>
      </c>
      <c r="AT154" s="450">
        <v>39056</v>
      </c>
      <c r="AU154" s="450">
        <v>320</v>
      </c>
      <c r="AV154" s="450">
        <v>238</v>
      </c>
      <c r="AW154" s="450">
        <v>869</v>
      </c>
      <c r="AX154" s="450">
        <v>237</v>
      </c>
      <c r="AY154" s="450">
        <v>249</v>
      </c>
      <c r="AZ154" s="450">
        <v>213</v>
      </c>
      <c r="BA154" s="450">
        <v>1748</v>
      </c>
      <c r="BB154" s="450">
        <v>0</v>
      </c>
      <c r="BC154" s="450">
        <v>1615</v>
      </c>
      <c r="BD154" s="450">
        <v>2364</v>
      </c>
      <c r="BE154" s="450">
        <v>20761</v>
      </c>
      <c r="BF154" s="450">
        <v>9989</v>
      </c>
      <c r="BG154" s="450">
        <v>206</v>
      </c>
      <c r="BH154" s="450">
        <v>97</v>
      </c>
      <c r="BI154" s="450">
        <v>150</v>
      </c>
      <c r="BJ154" s="452">
        <v>2.321227531973252</v>
      </c>
      <c r="BK154" s="452">
        <v>15.610663599865777</v>
      </c>
      <c r="BL154" s="452">
        <v>7.5934828808406465</v>
      </c>
      <c r="BM154" s="452">
        <v>16.03436143805026</v>
      </c>
      <c r="BN154" s="449">
        <v>8306</v>
      </c>
      <c r="BO154" s="449">
        <v>30750</v>
      </c>
      <c r="BP154" s="447">
        <v>16036701.789784119</v>
      </c>
      <c r="BQ154" s="447">
        <v>49676584</v>
      </c>
      <c r="BR154" s="447">
        <v>49992871</v>
      </c>
      <c r="BS154" s="448">
        <v>0.05604772634166325</v>
      </c>
      <c r="BT154" s="449">
        <v>2277</v>
      </c>
      <c r="BU154" s="449">
        <v>2101</v>
      </c>
      <c r="BV154" s="447">
        <v>2801986.752842073</v>
      </c>
      <c r="BW154" s="448">
        <v>0.01379383922127615</v>
      </c>
      <c r="BX154" s="447">
        <v>132922.50916732516</v>
      </c>
      <c r="BY154" s="447">
        <v>68648195.05179352</v>
      </c>
      <c r="BZ154" s="455">
        <v>1.1933333333333331</v>
      </c>
      <c r="CA154" s="447">
        <v>81920179.42847358</v>
      </c>
      <c r="CB154" s="447">
        <v>61606195.45386736</v>
      </c>
      <c r="CC154" s="447">
        <v>61530794.36667573</v>
      </c>
      <c r="CD154" s="447">
        <v>60745133.84673966</v>
      </c>
      <c r="CE154" s="447">
        <v>61530794.36667573</v>
      </c>
      <c r="CF154" s="454">
        <v>1575.450490748559</v>
      </c>
      <c r="CG154" s="450">
        <v>39056</v>
      </c>
      <c r="CH154" s="450">
        <v>320</v>
      </c>
      <c r="CI154" s="450">
        <v>238</v>
      </c>
      <c r="CJ154" s="450">
        <v>869</v>
      </c>
      <c r="CK154" s="450">
        <v>237</v>
      </c>
      <c r="CL154" s="450">
        <v>249</v>
      </c>
      <c r="CM154" s="450">
        <v>213</v>
      </c>
      <c r="CN154" s="450">
        <v>1748</v>
      </c>
      <c r="CO154" s="450">
        <v>0</v>
      </c>
      <c r="CP154" s="450">
        <v>1615</v>
      </c>
      <c r="CQ154" s="450">
        <v>2364</v>
      </c>
      <c r="CR154" s="450">
        <v>20761</v>
      </c>
      <c r="CS154" s="450">
        <v>9989</v>
      </c>
      <c r="CT154" s="450">
        <v>206</v>
      </c>
      <c r="CU154" s="450">
        <v>97</v>
      </c>
      <c r="CV154" s="450">
        <v>150</v>
      </c>
      <c r="CW154" s="447">
        <v>33419341.06900818</v>
      </c>
      <c r="CX154" s="452">
        <v>1.1649479279270019</v>
      </c>
      <c r="CY154" s="452">
        <v>1.1933333333333331</v>
      </c>
      <c r="CZ154" s="447">
        <v>38931792.131026834</v>
      </c>
      <c r="DA154" s="454">
        <v>996.8197493605805</v>
      </c>
      <c r="DB154" s="449">
        <v>39062</v>
      </c>
      <c r="DC154" s="452">
        <v>0.9975833290666121</v>
      </c>
      <c r="DD154" s="454">
        <v>354.1</v>
      </c>
      <c r="DE154" s="447">
        <v>72594</v>
      </c>
      <c r="DF154" s="454">
        <v>66.59634203865798</v>
      </c>
      <c r="DG154" s="454">
        <v>69.45998474632027</v>
      </c>
      <c r="DH154" s="454">
        <v>70.98810441073931</v>
      </c>
      <c r="DI154" s="454">
        <v>72.54984270777557</v>
      </c>
      <c r="DJ154" s="454">
        <v>74.94398751713216</v>
      </c>
      <c r="DK154" s="454">
        <v>77.6419710677489</v>
      </c>
      <c r="DL154" s="454">
        <v>80.12651414191684</v>
      </c>
      <c r="DM154" s="454">
        <v>83.41170122173543</v>
      </c>
      <c r="DN154" s="454">
        <v>87.08181607549177</v>
      </c>
      <c r="DO154" s="454">
        <v>91.87131595964381</v>
      </c>
      <c r="DP154" s="454">
        <v>91.04447411600701</v>
      </c>
      <c r="DQ154" s="454">
        <v>95.68774229592336</v>
      </c>
      <c r="DR154" s="454">
        <v>101.52469457597468</v>
      </c>
      <c r="DS154" s="454">
        <v>51.07</v>
      </c>
      <c r="DT154" s="454">
        <v>54.072996441073926</v>
      </c>
      <c r="DU154" s="454">
        <v>57.1834068455551</v>
      </c>
      <c r="DV154" s="454">
        <v>61.05465030216763</v>
      </c>
      <c r="DW154" s="454">
        <v>65.3082396208604</v>
      </c>
      <c r="DX154" s="454">
        <v>69.51950509759274</v>
      </c>
      <c r="DY154" s="454">
        <v>74.57818408962231</v>
      </c>
      <c r="DZ154" s="454">
        <v>78.8843121768908</v>
      </c>
      <c r="EA154" s="454">
        <v>81.35409344333779</v>
      </c>
      <c r="EB154" s="454">
        <v>84.01687973383285</v>
      </c>
      <c r="EC154" s="454">
        <v>89.77894093939133</v>
      </c>
      <c r="ED154" s="454">
        <v>96.82276589651431</v>
      </c>
      <c r="EE154" s="454">
        <v>-3.7</v>
      </c>
      <c r="EF154" s="454">
        <v>93.12276589651431</v>
      </c>
      <c r="EG154" s="454">
        <v>4842.383826618744</v>
      </c>
      <c r="EH154" s="447">
        <v>185370133.09467375</v>
      </c>
      <c r="EI154" s="454">
        <v>54.71</v>
      </c>
      <c r="EJ154" s="454">
        <v>57.42106844107392</v>
      </c>
      <c r="EK154" s="454">
        <v>60.224944253555094</v>
      </c>
      <c r="EL154" s="454">
        <v>63.80381992682363</v>
      </c>
      <c r="EM154" s="454">
        <v>67.74950224755493</v>
      </c>
      <c r="EN154" s="454">
        <v>71.61899095655004</v>
      </c>
      <c r="EO154" s="454">
        <v>76.32663591296196</v>
      </c>
      <c r="EP154" s="454">
        <v>80.50687546895</v>
      </c>
      <c r="EQ154" s="454">
        <v>82.90147796953157</v>
      </c>
      <c r="ER154" s="454">
        <v>85.05084005809934</v>
      </c>
      <c r="ES154" s="454">
        <v>90.64829478003459</v>
      </c>
      <c r="ET154" s="454">
        <v>97.51455421520619</v>
      </c>
      <c r="EU154" s="447">
        <v>775087141</v>
      </c>
      <c r="EV154" s="447">
        <v>0</v>
      </c>
      <c r="EW154" s="447">
        <v>0</v>
      </c>
      <c r="EX154" s="447">
        <v>0</v>
      </c>
      <c r="EY154" s="447">
        <v>0</v>
      </c>
      <c r="EZ154" s="447">
        <v>0</v>
      </c>
      <c r="FA154" s="447">
        <v>0</v>
      </c>
      <c r="FB154" s="447">
        <v>1150000</v>
      </c>
      <c r="FC154" s="447">
        <v>0</v>
      </c>
      <c r="FD154" s="447">
        <v>773937141</v>
      </c>
      <c r="FE154" s="447">
        <v>418849.5316430891</v>
      </c>
      <c r="FF154" s="447">
        <v>0</v>
      </c>
      <c r="FG154" s="447">
        <v>0</v>
      </c>
      <c r="FH154" s="447">
        <v>162824</v>
      </c>
      <c r="FI154" s="456">
        <v>0.0711</v>
      </c>
      <c r="FJ154" s="447">
        <v>11576.786399999999</v>
      </c>
      <c r="FK154" s="471">
        <v>11576.786399999999</v>
      </c>
      <c r="FL154" s="446">
        <v>95.63</v>
      </c>
      <c r="FM154" s="450">
        <v>91.2</v>
      </c>
      <c r="FN154" s="450">
        <v>87.5</v>
      </c>
      <c r="FO154" s="450">
        <v>-3.7</v>
      </c>
      <c r="FP154" s="472">
        <v>86.31</v>
      </c>
      <c r="FQ154" s="446">
        <v>583958</v>
      </c>
      <c r="FR154" s="450">
        <v>42755</v>
      </c>
      <c r="FS154" s="450">
        <v>0</v>
      </c>
      <c r="FT154" s="450">
        <v>0</v>
      </c>
      <c r="FU154" s="450">
        <v>0</v>
      </c>
      <c r="FV154" s="450">
        <v>0</v>
      </c>
      <c r="FW154" s="450">
        <v>0</v>
      </c>
      <c r="FX154" s="450">
        <v>0</v>
      </c>
      <c r="FY154" s="450">
        <v>0</v>
      </c>
      <c r="FZ154" s="450">
        <v>0</v>
      </c>
      <c r="GA154" s="450">
        <v>0</v>
      </c>
      <c r="GB154" s="450">
        <v>0</v>
      </c>
      <c r="GC154" s="450">
        <v>0</v>
      </c>
      <c r="GD154" s="450">
        <v>0</v>
      </c>
      <c r="GE154" s="450">
        <v>0</v>
      </c>
      <c r="GF154" s="450">
        <v>0</v>
      </c>
      <c r="GG154" s="450">
        <v>0</v>
      </c>
      <c r="GH154" s="450">
        <v>0</v>
      </c>
      <c r="GI154" s="450">
        <v>0</v>
      </c>
      <c r="GJ154" s="450">
        <v>0</v>
      </c>
      <c r="GK154" s="450">
        <v>0</v>
      </c>
      <c r="GL154" s="450">
        <v>0</v>
      </c>
      <c r="GM154" s="450">
        <v>0</v>
      </c>
      <c r="GN154" s="450">
        <v>0</v>
      </c>
      <c r="GO154" s="450">
        <v>0</v>
      </c>
      <c r="GP154" s="450">
        <v>0</v>
      </c>
      <c r="GQ154" s="450">
        <v>0</v>
      </c>
      <c r="GR154" s="450">
        <v>0</v>
      </c>
      <c r="GS154" s="450">
        <v>0</v>
      </c>
      <c r="GT154" s="450">
        <v>0</v>
      </c>
      <c r="GU154" s="450">
        <v>0</v>
      </c>
      <c r="GV154" s="450">
        <v>0</v>
      </c>
      <c r="GW154" s="450">
        <v>2203653</v>
      </c>
      <c r="GX154" s="450">
        <v>650204453</v>
      </c>
      <c r="GY154" s="450">
        <v>650204453</v>
      </c>
      <c r="GZ154" s="450">
        <v>223</v>
      </c>
      <c r="HA154" s="450" t="s">
        <v>888</v>
      </c>
      <c r="HB154" s="450" t="s">
        <v>888</v>
      </c>
      <c r="HC154" s="450">
        <v>186</v>
      </c>
      <c r="HD154" s="450">
        <v>176</v>
      </c>
      <c r="HE154" s="450">
        <v>158</v>
      </c>
      <c r="HF154" s="450">
        <v>258</v>
      </c>
      <c r="HG154" s="472">
        <v>176</v>
      </c>
    </row>
    <row r="155" spans="2:215" ht="12.75">
      <c r="B155" s="445" t="s">
        <v>0</v>
      </c>
      <c r="C155" s="446">
        <v>5081</v>
      </c>
      <c r="D155" s="447">
        <v>1214673</v>
      </c>
      <c r="E155" s="447">
        <v>1042189.434</v>
      </c>
      <c r="F155" s="447">
        <v>157408.53968210323</v>
      </c>
      <c r="G155" s="447">
        <v>172483.56600000002</v>
      </c>
      <c r="H155" s="448">
        <v>0.4494961621728006</v>
      </c>
      <c r="I155" s="449">
        <v>1901.04</v>
      </c>
      <c r="J155" s="449">
        <v>382.85</v>
      </c>
      <c r="K155" s="447">
        <v>1199597.9736821032</v>
      </c>
      <c r="L155" s="447">
        <v>959678.3789456827</v>
      </c>
      <c r="M155" s="447">
        <v>279696.8564183652</v>
      </c>
      <c r="N155" s="447">
        <v>239919.59473642058</v>
      </c>
      <c r="O155" s="450">
        <v>1.1657941350127927</v>
      </c>
      <c r="P155" s="451">
        <v>0.8724660499901594</v>
      </c>
      <c r="Q155" s="452">
        <v>0.12753395000984058</v>
      </c>
      <c r="R155" s="447">
        <v>1239375.2353640478</v>
      </c>
      <c r="S155" s="447">
        <v>837817.6591060964</v>
      </c>
      <c r="T155" s="447">
        <v>98231.6564690711</v>
      </c>
      <c r="U155" s="447">
        <v>135400.55199238754</v>
      </c>
      <c r="V155" s="447">
        <v>282577.5536630029</v>
      </c>
      <c r="W155" s="450">
        <v>0.4791624466884015</v>
      </c>
      <c r="X155" s="452">
        <v>8.411457675938918</v>
      </c>
      <c r="Y155" s="447">
        <v>98231.6564690711</v>
      </c>
      <c r="Z155" s="447">
        <v>118980.02259494859</v>
      </c>
      <c r="AA155" s="448">
        <v>0.8256147067939926</v>
      </c>
      <c r="AB155" s="448">
        <v>0.06494784491241881</v>
      </c>
      <c r="AC155" s="449">
        <v>310</v>
      </c>
      <c r="AD155" s="449">
        <v>350</v>
      </c>
      <c r="AE155" s="447">
        <v>1071449.867567555</v>
      </c>
      <c r="AF155" s="447">
        <v>0</v>
      </c>
      <c r="AG155" s="451">
        <v>0</v>
      </c>
      <c r="AH155" s="450">
        <v>0.005788428431738941</v>
      </c>
      <c r="AI155" s="452">
        <v>0.00487449299544096</v>
      </c>
      <c r="AJ155" s="447">
        <v>1071449.867567555</v>
      </c>
      <c r="AK155" s="453">
        <v>1.0716</v>
      </c>
      <c r="AL155" s="447">
        <v>1148165.678085392</v>
      </c>
      <c r="AM155" s="447">
        <v>2701016.053972191</v>
      </c>
      <c r="AN155" s="447">
        <v>2674356.490953054</v>
      </c>
      <c r="AO155" s="447">
        <v>2602559.13742522</v>
      </c>
      <c r="AP155" s="447">
        <v>2674356.490953054</v>
      </c>
      <c r="AQ155" s="447">
        <v>20324</v>
      </c>
      <c r="AR155" s="447">
        <v>2694680.490953054</v>
      </c>
      <c r="AS155" s="454">
        <v>530.3445170149682</v>
      </c>
      <c r="AT155" s="450">
        <v>5081</v>
      </c>
      <c r="AU155" s="450">
        <v>0</v>
      </c>
      <c r="AV155" s="450">
        <v>833</v>
      </c>
      <c r="AW155" s="450">
        <v>0</v>
      </c>
      <c r="AX155" s="450">
        <v>127</v>
      </c>
      <c r="AY155" s="450">
        <v>930</v>
      </c>
      <c r="AZ155" s="450">
        <v>164</v>
      </c>
      <c r="BA155" s="450">
        <v>146</v>
      </c>
      <c r="BB155" s="450">
        <v>390</v>
      </c>
      <c r="BC155" s="450">
        <v>62</v>
      </c>
      <c r="BD155" s="450">
        <v>1426</v>
      </c>
      <c r="BE155" s="450">
        <v>594</v>
      </c>
      <c r="BF155" s="450">
        <v>54</v>
      </c>
      <c r="BG155" s="450">
        <v>318</v>
      </c>
      <c r="BH155" s="450">
        <v>13</v>
      </c>
      <c r="BI155" s="450">
        <v>24</v>
      </c>
      <c r="BJ155" s="452">
        <v>1.3507984409974896</v>
      </c>
      <c r="BK155" s="452">
        <v>9.183048745247396</v>
      </c>
      <c r="BL155" s="452">
        <v>4.352376870602522</v>
      </c>
      <c r="BM155" s="452">
        <v>9.661343749289747</v>
      </c>
      <c r="BN155" s="449">
        <v>4433</v>
      </c>
      <c r="BO155" s="449">
        <v>648</v>
      </c>
      <c r="BP155" s="447">
        <v>1413283.6752811514</v>
      </c>
      <c r="BQ155" s="447">
        <v>5338299</v>
      </c>
      <c r="BR155" s="447">
        <v>7020042</v>
      </c>
      <c r="BS155" s="448">
        <v>0.06494784491241881</v>
      </c>
      <c r="BT155" s="449">
        <v>310</v>
      </c>
      <c r="BU155" s="449">
        <v>350</v>
      </c>
      <c r="BV155" s="447">
        <v>455936.59909466637</v>
      </c>
      <c r="BW155" s="448">
        <v>0.031086063593355556</v>
      </c>
      <c r="BX155" s="447">
        <v>22924.826617465496</v>
      </c>
      <c r="BY155" s="447">
        <v>7230444.100993283</v>
      </c>
      <c r="BZ155" s="455">
        <v>1.0833333333333333</v>
      </c>
      <c r="CA155" s="447">
        <v>7832981.109409389</v>
      </c>
      <c r="CB155" s="447">
        <v>5890614.1146097</v>
      </c>
      <c r="CC155" s="447">
        <v>5883404.471079601</v>
      </c>
      <c r="CD155" s="447">
        <v>5695250.699748608</v>
      </c>
      <c r="CE155" s="447">
        <v>5883404.471079601</v>
      </c>
      <c r="CF155" s="454">
        <v>1157.9225489233618</v>
      </c>
      <c r="CG155" s="450">
        <v>5081</v>
      </c>
      <c r="CH155" s="450">
        <v>0</v>
      </c>
      <c r="CI155" s="450">
        <v>833</v>
      </c>
      <c r="CJ155" s="450">
        <v>0</v>
      </c>
      <c r="CK155" s="450">
        <v>127</v>
      </c>
      <c r="CL155" s="450">
        <v>930</v>
      </c>
      <c r="CM155" s="450">
        <v>164</v>
      </c>
      <c r="CN155" s="450">
        <v>146</v>
      </c>
      <c r="CO155" s="450">
        <v>390</v>
      </c>
      <c r="CP155" s="450">
        <v>62</v>
      </c>
      <c r="CQ155" s="450">
        <v>1426</v>
      </c>
      <c r="CR155" s="450">
        <v>594</v>
      </c>
      <c r="CS155" s="450">
        <v>54</v>
      </c>
      <c r="CT155" s="450">
        <v>318</v>
      </c>
      <c r="CU155" s="450">
        <v>13</v>
      </c>
      <c r="CV155" s="450">
        <v>24</v>
      </c>
      <c r="CW155" s="447">
        <v>3750432.55270046</v>
      </c>
      <c r="CX155" s="452">
        <v>1.0575644597102671</v>
      </c>
      <c r="CY155" s="452">
        <v>1.0833333333333333</v>
      </c>
      <c r="CZ155" s="447">
        <v>3966324.17627646</v>
      </c>
      <c r="DA155" s="454">
        <v>780.6188105247903</v>
      </c>
      <c r="DB155" s="449">
        <v>5081</v>
      </c>
      <c r="DC155" s="452">
        <v>1.0093485534343636</v>
      </c>
      <c r="DD155" s="454">
        <v>343.7</v>
      </c>
      <c r="DE155" s="447">
        <v>86973</v>
      </c>
      <c r="DF155" s="454">
        <v>70.56724601054667</v>
      </c>
      <c r="DG155" s="454">
        <v>73.60163758900018</v>
      </c>
      <c r="DH155" s="454">
        <v>75.22087361595817</v>
      </c>
      <c r="DI155" s="454">
        <v>76.87573283550924</v>
      </c>
      <c r="DJ155" s="454">
        <v>79.41263201908104</v>
      </c>
      <c r="DK155" s="454">
        <v>82.27148677176795</v>
      </c>
      <c r="DL155" s="454">
        <v>84.90417434846451</v>
      </c>
      <c r="DM155" s="454">
        <v>88.38524549675155</v>
      </c>
      <c r="DN155" s="454">
        <v>92.2741962986086</v>
      </c>
      <c r="DO155" s="454">
        <v>97.34927709503206</v>
      </c>
      <c r="DP155" s="454">
        <v>96.47313360117677</v>
      </c>
      <c r="DQ155" s="454">
        <v>101.39326341483678</v>
      </c>
      <c r="DR155" s="454">
        <v>107.57825248314182</v>
      </c>
      <c r="DS155" s="454">
        <v>53.11</v>
      </c>
      <c r="DT155" s="454">
        <v>56.37266536159581</v>
      </c>
      <c r="DU155" s="454">
        <v>59.75318275910183</v>
      </c>
      <c r="DV155" s="454">
        <v>63.93598706876829</v>
      </c>
      <c r="DW155" s="454">
        <v>68.52822605589023</v>
      </c>
      <c r="DX155" s="454">
        <v>73.08497013280967</v>
      </c>
      <c r="DY155" s="454">
        <v>78.5422122259542</v>
      </c>
      <c r="DZ155" s="454">
        <v>83.13986142330866</v>
      </c>
      <c r="EA155" s="454">
        <v>85.77766631703084</v>
      </c>
      <c r="EB155" s="454">
        <v>88.74099835633365</v>
      </c>
      <c r="EC155" s="454">
        <v>94.89208410097268</v>
      </c>
      <c r="ED155" s="454">
        <v>102.40493904413447</v>
      </c>
      <c r="EE155" s="454">
        <v>-5.85</v>
      </c>
      <c r="EF155" s="454">
        <v>96.55493904413447</v>
      </c>
      <c r="EG155" s="454">
        <v>5020.8568302949925</v>
      </c>
      <c r="EH155" s="447">
        <v>25000754.08363428</v>
      </c>
      <c r="EI155" s="454">
        <v>53.89</v>
      </c>
      <c r="EJ155" s="454">
        <v>57.09010936159581</v>
      </c>
      <c r="EK155" s="454">
        <v>60.40494077510183</v>
      </c>
      <c r="EL155" s="454">
        <v>64.5250948454803</v>
      </c>
      <c r="EM155" s="454">
        <v>69.05135376161049</v>
      </c>
      <c r="EN155" s="454">
        <v>73.53485995972909</v>
      </c>
      <c r="EO155" s="454">
        <v>78.9168804738127</v>
      </c>
      <c r="EP155" s="454">
        <v>83.48755355732135</v>
      </c>
      <c r="EQ155" s="454">
        <v>86.10924871550093</v>
      </c>
      <c r="ER155" s="454">
        <v>88.96256128296218</v>
      </c>
      <c r="ES155" s="454">
        <v>95.07837420968195</v>
      </c>
      <c r="ET155" s="454">
        <v>102.55317939813986</v>
      </c>
      <c r="EU155" s="447">
        <v>10767303</v>
      </c>
      <c r="EV155" s="447">
        <v>0</v>
      </c>
      <c r="EW155" s="447">
        <v>0</v>
      </c>
      <c r="EX155" s="447">
        <v>0</v>
      </c>
      <c r="EY155" s="447">
        <v>0</v>
      </c>
      <c r="EZ155" s="447">
        <v>0</v>
      </c>
      <c r="FA155" s="447">
        <v>740000</v>
      </c>
      <c r="FB155" s="447">
        <v>0</v>
      </c>
      <c r="FC155" s="447">
        <v>0</v>
      </c>
      <c r="FD155" s="447">
        <v>10027303</v>
      </c>
      <c r="FE155" s="447">
        <v>45424.15415783775</v>
      </c>
      <c r="FF155" s="447">
        <v>0</v>
      </c>
      <c r="FG155" s="447">
        <v>0</v>
      </c>
      <c r="FH155" s="447">
        <v>21248</v>
      </c>
      <c r="FI155" s="456">
        <v>0.0313</v>
      </c>
      <c r="FJ155" s="447">
        <v>665.0624</v>
      </c>
      <c r="FK155" s="471">
        <v>665.0624</v>
      </c>
      <c r="FL155" s="446">
        <v>101.01</v>
      </c>
      <c r="FM155" s="450">
        <v>94.54</v>
      </c>
      <c r="FN155" s="450">
        <v>88.69</v>
      </c>
      <c r="FO155" s="450">
        <v>-5.85</v>
      </c>
      <c r="FP155" s="472">
        <v>88.19</v>
      </c>
      <c r="FQ155" s="446">
        <v>0</v>
      </c>
      <c r="FR155" s="450">
        <v>0</v>
      </c>
      <c r="FS155" s="450">
        <v>0</v>
      </c>
      <c r="FT155" s="450">
        <v>0</v>
      </c>
      <c r="FU155" s="450">
        <v>0</v>
      </c>
      <c r="FV155" s="450">
        <v>0</v>
      </c>
      <c r="FW155" s="450">
        <v>0</v>
      </c>
      <c r="FX155" s="450">
        <v>0</v>
      </c>
      <c r="FY155" s="450">
        <v>0</v>
      </c>
      <c r="FZ155" s="450">
        <v>0</v>
      </c>
      <c r="GA155" s="450">
        <v>0</v>
      </c>
      <c r="GB155" s="450">
        <v>0</v>
      </c>
      <c r="GC155" s="450">
        <v>0</v>
      </c>
      <c r="GD155" s="450">
        <v>0</v>
      </c>
      <c r="GE155" s="450">
        <v>0</v>
      </c>
      <c r="GF155" s="450">
        <v>0</v>
      </c>
      <c r="GG155" s="450">
        <v>0</v>
      </c>
      <c r="GH155" s="450">
        <v>0</v>
      </c>
      <c r="GI155" s="450">
        <v>0</v>
      </c>
      <c r="GJ155" s="450">
        <v>0</v>
      </c>
      <c r="GK155" s="450">
        <v>0</v>
      </c>
      <c r="GL155" s="450">
        <v>0</v>
      </c>
      <c r="GM155" s="450">
        <v>0</v>
      </c>
      <c r="GN155" s="450">
        <v>0</v>
      </c>
      <c r="GO155" s="450">
        <v>0</v>
      </c>
      <c r="GP155" s="450">
        <v>0</v>
      </c>
      <c r="GQ155" s="450">
        <v>0</v>
      </c>
      <c r="GR155" s="450">
        <v>0</v>
      </c>
      <c r="GS155" s="450">
        <v>0</v>
      </c>
      <c r="GT155" s="450">
        <v>0</v>
      </c>
      <c r="GU155" s="450">
        <v>0</v>
      </c>
      <c r="GV155" s="450">
        <v>0</v>
      </c>
      <c r="GW155" s="450">
        <v>0</v>
      </c>
      <c r="GX155" s="450">
        <v>10159422</v>
      </c>
      <c r="GY155" s="450">
        <v>15159422</v>
      </c>
      <c r="GZ155" s="450">
        <v>0</v>
      </c>
      <c r="HA155" s="450" t="s">
        <v>888</v>
      </c>
      <c r="HB155" s="450" t="s">
        <v>888</v>
      </c>
      <c r="HC155" s="450">
        <v>46</v>
      </c>
      <c r="HD155" s="450">
        <v>28</v>
      </c>
      <c r="HE155" s="450">
        <v>57</v>
      </c>
      <c r="HF155" s="450">
        <v>0</v>
      </c>
      <c r="HG155" s="472">
        <v>0</v>
      </c>
    </row>
    <row r="156" spans="2:215" ht="12.75">
      <c r="B156" s="445" t="s">
        <v>1</v>
      </c>
      <c r="C156" s="446">
        <v>8280.6</v>
      </c>
      <c r="D156" s="447">
        <v>1960179.8</v>
      </c>
      <c r="E156" s="447">
        <v>1681834.2684</v>
      </c>
      <c r="F156" s="447">
        <v>221497.08104411265</v>
      </c>
      <c r="G156" s="447">
        <v>278345.53160000005</v>
      </c>
      <c r="H156" s="448">
        <v>0.3919486510639325</v>
      </c>
      <c r="I156" s="449">
        <v>2540.06</v>
      </c>
      <c r="J156" s="449">
        <v>705.51</v>
      </c>
      <c r="K156" s="447">
        <v>1903331.3494441125</v>
      </c>
      <c r="L156" s="447">
        <v>1522665.07955529</v>
      </c>
      <c r="M156" s="447">
        <v>445646.07479279675</v>
      </c>
      <c r="N156" s="447">
        <v>380666.2698888224</v>
      </c>
      <c r="O156" s="450">
        <v>1.1707001908074293</v>
      </c>
      <c r="P156" s="451">
        <v>0.8687776248097964</v>
      </c>
      <c r="Q156" s="452">
        <v>0.13127068086853608</v>
      </c>
      <c r="R156" s="447">
        <v>1968311.1543480868</v>
      </c>
      <c r="S156" s="447">
        <v>1330578.3403393067</v>
      </c>
      <c r="T156" s="447">
        <v>151566.12615361498</v>
      </c>
      <c r="U156" s="447">
        <v>501178.6414310745</v>
      </c>
      <c r="V156" s="447">
        <v>448774.9431913638</v>
      </c>
      <c r="W156" s="450">
        <v>1.116770552890171</v>
      </c>
      <c r="X156" s="452">
        <v>19.604349848975673</v>
      </c>
      <c r="Y156" s="447">
        <v>151566.12615361498</v>
      </c>
      <c r="Z156" s="447">
        <v>188957.87081741635</v>
      </c>
      <c r="AA156" s="448">
        <v>0.8021159716605203</v>
      </c>
      <c r="AB156" s="448">
        <v>0.06309929232181243</v>
      </c>
      <c r="AC156" s="449">
        <v>523</v>
      </c>
      <c r="AD156" s="449">
        <v>522</v>
      </c>
      <c r="AE156" s="447">
        <v>1983323.1079239964</v>
      </c>
      <c r="AF156" s="447">
        <v>0</v>
      </c>
      <c r="AG156" s="451">
        <v>0</v>
      </c>
      <c r="AH156" s="450">
        <v>0.025521753474950205</v>
      </c>
      <c r="AI156" s="452">
        <v>0.02149212174117565</v>
      </c>
      <c r="AJ156" s="447">
        <v>1983323.1079239964</v>
      </c>
      <c r="AK156" s="453">
        <v>1.0303</v>
      </c>
      <c r="AL156" s="447">
        <v>2043417.7980940936</v>
      </c>
      <c r="AM156" s="447">
        <v>4807062.589458598</v>
      </c>
      <c r="AN156" s="447">
        <v>4759615.930320034</v>
      </c>
      <c r="AO156" s="447">
        <v>4620961.499109051</v>
      </c>
      <c r="AP156" s="447">
        <v>4759615.930320034</v>
      </c>
      <c r="AQ156" s="447">
        <v>33122.4</v>
      </c>
      <c r="AR156" s="447">
        <v>4792738.330320034</v>
      </c>
      <c r="AS156" s="454">
        <v>578.7911902905628</v>
      </c>
      <c r="AT156" s="450">
        <v>8182</v>
      </c>
      <c r="AU156" s="450">
        <v>6</v>
      </c>
      <c r="AV156" s="450">
        <v>89</v>
      </c>
      <c r="AW156" s="450">
        <v>59</v>
      </c>
      <c r="AX156" s="450">
        <v>68</v>
      </c>
      <c r="AY156" s="450">
        <v>2910</v>
      </c>
      <c r="AZ156" s="450">
        <v>332</v>
      </c>
      <c r="BA156" s="450">
        <v>471</v>
      </c>
      <c r="BB156" s="450">
        <v>957</v>
      </c>
      <c r="BC156" s="450">
        <v>8</v>
      </c>
      <c r="BD156" s="450">
        <v>1759</v>
      </c>
      <c r="BE156" s="450">
        <v>726</v>
      </c>
      <c r="BF156" s="450">
        <v>356</v>
      </c>
      <c r="BG156" s="450">
        <v>441</v>
      </c>
      <c r="BH156" s="450">
        <v>0</v>
      </c>
      <c r="BI156" s="450">
        <v>0</v>
      </c>
      <c r="BJ156" s="452">
        <v>1.6298763670162093</v>
      </c>
      <c r="BK156" s="452">
        <v>16.346854223193827</v>
      </c>
      <c r="BL156" s="452">
        <v>11.699559792081821</v>
      </c>
      <c r="BM156" s="452">
        <v>9.294588862224012</v>
      </c>
      <c r="BN156" s="449">
        <v>7100</v>
      </c>
      <c r="BO156" s="449">
        <v>1082</v>
      </c>
      <c r="BP156" s="447">
        <v>2702910.362870432</v>
      </c>
      <c r="BQ156" s="447">
        <v>8618458</v>
      </c>
      <c r="BR156" s="447">
        <v>11770343</v>
      </c>
      <c r="BS156" s="448">
        <v>0.0638596920068443</v>
      </c>
      <c r="BT156" s="449">
        <v>523</v>
      </c>
      <c r="BU156" s="449">
        <v>522</v>
      </c>
      <c r="BV156" s="447">
        <v>751650.4787949157</v>
      </c>
      <c r="BW156" s="448">
        <v>0.008256601868616984</v>
      </c>
      <c r="BX156" s="447">
        <v>17454.172045737298</v>
      </c>
      <c r="BY156" s="447">
        <v>12090473.013711086</v>
      </c>
      <c r="BZ156" s="455">
        <v>1.0833333333333333</v>
      </c>
      <c r="CA156" s="447">
        <v>13098012.431520341</v>
      </c>
      <c r="CB156" s="447">
        <v>9850060.38247226</v>
      </c>
      <c r="CC156" s="447">
        <v>9838004.691380318</v>
      </c>
      <c r="CD156" s="447">
        <v>9515837.834994195</v>
      </c>
      <c r="CE156" s="447">
        <v>9838004.691380318</v>
      </c>
      <c r="CF156" s="454">
        <v>1202.3960757003567</v>
      </c>
      <c r="CG156" s="450">
        <v>8182</v>
      </c>
      <c r="CH156" s="450">
        <v>6</v>
      </c>
      <c r="CI156" s="450">
        <v>89</v>
      </c>
      <c r="CJ156" s="450">
        <v>59</v>
      </c>
      <c r="CK156" s="450">
        <v>68</v>
      </c>
      <c r="CL156" s="450">
        <v>2910</v>
      </c>
      <c r="CM156" s="450">
        <v>332</v>
      </c>
      <c r="CN156" s="450">
        <v>471</v>
      </c>
      <c r="CO156" s="450">
        <v>957</v>
      </c>
      <c r="CP156" s="450">
        <v>8</v>
      </c>
      <c r="CQ156" s="450">
        <v>1759</v>
      </c>
      <c r="CR156" s="450">
        <v>726</v>
      </c>
      <c r="CS156" s="450">
        <v>356</v>
      </c>
      <c r="CT156" s="450">
        <v>441</v>
      </c>
      <c r="CU156" s="450">
        <v>0</v>
      </c>
      <c r="CV156" s="450">
        <v>0</v>
      </c>
      <c r="CW156" s="447">
        <v>6387081.086718303</v>
      </c>
      <c r="CX156" s="452">
        <v>1.0575644597102671</v>
      </c>
      <c r="CY156" s="452">
        <v>1.0833333333333333</v>
      </c>
      <c r="CZ156" s="447">
        <v>6754749.9586009085</v>
      </c>
      <c r="DA156" s="454">
        <v>825.5622046688961</v>
      </c>
      <c r="DB156" s="449">
        <v>8280.6</v>
      </c>
      <c r="DC156" s="452">
        <v>1.0162953167644857</v>
      </c>
      <c r="DD156" s="454">
        <v>343.7</v>
      </c>
      <c r="DE156" s="447">
        <v>55952</v>
      </c>
      <c r="DF156" s="454">
        <v>60.638477031005756</v>
      </c>
      <c r="DG156" s="454">
        <v>63.245931543339</v>
      </c>
      <c r="DH156" s="454">
        <v>64.63734203729244</v>
      </c>
      <c r="DI156" s="454">
        <v>66.05936356211286</v>
      </c>
      <c r="DJ156" s="454">
        <v>68.23932255966258</v>
      </c>
      <c r="DK156" s="454">
        <v>70.69593817181043</v>
      </c>
      <c r="DL156" s="454">
        <v>72.95820819330835</v>
      </c>
      <c r="DM156" s="454">
        <v>75.94949472923399</v>
      </c>
      <c r="DN156" s="454">
        <v>79.29127249732028</v>
      </c>
      <c r="DO156" s="454">
        <v>83.65229248467288</v>
      </c>
      <c r="DP156" s="454">
        <v>82.89942185231082</v>
      </c>
      <c r="DQ156" s="454">
        <v>87.12729236677868</v>
      </c>
      <c r="DR156" s="454">
        <v>92.44205720115217</v>
      </c>
      <c r="DS156" s="454">
        <v>46.6</v>
      </c>
      <c r="DT156" s="454">
        <v>49.326414203729236</v>
      </c>
      <c r="DU156" s="454">
        <v>52.15023623242256</v>
      </c>
      <c r="DV156" s="454">
        <v>55.66721009453876</v>
      </c>
      <c r="DW156" s="454">
        <v>59.531902302780466</v>
      </c>
      <c r="DX156" s="454">
        <v>63.35713734594258</v>
      </c>
      <c r="DY156" s="454">
        <v>67.95372292754777</v>
      </c>
      <c r="DZ156" s="454">
        <v>71.87119626535547</v>
      </c>
      <c r="EA156" s="454">
        <v>74.11798367070553</v>
      </c>
      <c r="EB156" s="454">
        <v>76.52860912537004</v>
      </c>
      <c r="EC156" s="454">
        <v>81.77071302596687</v>
      </c>
      <c r="ED156" s="454">
        <v>88.17955919070118</v>
      </c>
      <c r="EE156" s="454">
        <v>-1.04</v>
      </c>
      <c r="EF156" s="454">
        <v>87.13955919070118</v>
      </c>
      <c r="EG156" s="454">
        <v>4531.257077916462</v>
      </c>
      <c r="EH156" s="447">
        <v>36771096.812207155</v>
      </c>
      <c r="EI156" s="454">
        <v>54.34</v>
      </c>
      <c r="EJ156" s="454">
        <v>56.44566620372924</v>
      </c>
      <c r="EK156" s="454">
        <v>58.617681160422556</v>
      </c>
      <c r="EL156" s="454">
        <v>61.512971878834755</v>
      </c>
      <c r="EM156" s="454">
        <v>64.72293876723532</v>
      </c>
      <c r="EN156" s="454">
        <v>67.82142870537375</v>
      </c>
      <c r="EO156" s="454">
        <v>71.67158477168205</v>
      </c>
      <c r="EP156" s="454">
        <v>75.32137205671206</v>
      </c>
      <c r="EQ156" s="454">
        <v>77.4083013170626</v>
      </c>
      <c r="ER156" s="454">
        <v>78.72719508960701</v>
      </c>
      <c r="ES156" s="454">
        <v>83.6192841046973</v>
      </c>
      <c r="ET156" s="454">
        <v>89.65055962660092</v>
      </c>
      <c r="EU156" s="447">
        <v>17773463</v>
      </c>
      <c r="EV156" s="447">
        <v>0</v>
      </c>
      <c r="EW156" s="447">
        <v>0</v>
      </c>
      <c r="EX156" s="447">
        <v>0</v>
      </c>
      <c r="EY156" s="447">
        <v>0</v>
      </c>
      <c r="EZ156" s="447">
        <v>0</v>
      </c>
      <c r="FA156" s="447">
        <v>0</v>
      </c>
      <c r="FB156" s="447">
        <v>0</v>
      </c>
      <c r="FC156" s="447">
        <v>0</v>
      </c>
      <c r="FD156" s="447">
        <v>17773463</v>
      </c>
      <c r="FE156" s="447">
        <v>49210.743331285674</v>
      </c>
      <c r="FF156" s="447">
        <v>0</v>
      </c>
      <c r="FG156" s="447">
        <v>0</v>
      </c>
      <c r="FH156" s="447">
        <v>189847</v>
      </c>
      <c r="FI156" s="456">
        <v>0.0313</v>
      </c>
      <c r="FJ156" s="447">
        <v>5942.2111</v>
      </c>
      <c r="FK156" s="471">
        <v>5942.2111</v>
      </c>
      <c r="FL156" s="446">
        <v>87.1</v>
      </c>
      <c r="FM156" s="450">
        <v>83.05</v>
      </c>
      <c r="FN156" s="450">
        <v>82.01</v>
      </c>
      <c r="FO156" s="450">
        <v>-1.04</v>
      </c>
      <c r="FP156" s="472">
        <v>80.79</v>
      </c>
      <c r="FQ156" s="446">
        <v>0</v>
      </c>
      <c r="FR156" s="450">
        <v>0</v>
      </c>
      <c r="FS156" s="450">
        <v>0</v>
      </c>
      <c r="FT156" s="450">
        <v>0</v>
      </c>
      <c r="FU156" s="450">
        <v>0</v>
      </c>
      <c r="FV156" s="450">
        <v>0</v>
      </c>
      <c r="FW156" s="450">
        <v>0</v>
      </c>
      <c r="FX156" s="450">
        <v>0</v>
      </c>
      <c r="FY156" s="450">
        <v>0</v>
      </c>
      <c r="FZ156" s="450">
        <v>0</v>
      </c>
      <c r="GA156" s="450">
        <v>0</v>
      </c>
      <c r="GB156" s="450">
        <v>0</v>
      </c>
      <c r="GC156" s="450">
        <v>0</v>
      </c>
      <c r="GD156" s="450">
        <v>0</v>
      </c>
      <c r="GE156" s="450">
        <v>0</v>
      </c>
      <c r="GF156" s="450">
        <v>0</v>
      </c>
      <c r="GG156" s="450">
        <v>0</v>
      </c>
      <c r="GH156" s="450">
        <v>0</v>
      </c>
      <c r="GI156" s="450">
        <v>0</v>
      </c>
      <c r="GJ156" s="450">
        <v>0</v>
      </c>
      <c r="GK156" s="450">
        <v>0</v>
      </c>
      <c r="GL156" s="450">
        <v>0</v>
      </c>
      <c r="GM156" s="450">
        <v>0</v>
      </c>
      <c r="GN156" s="450">
        <v>0</v>
      </c>
      <c r="GO156" s="450">
        <v>0</v>
      </c>
      <c r="GP156" s="450">
        <v>0</v>
      </c>
      <c r="GQ156" s="450">
        <v>0</v>
      </c>
      <c r="GR156" s="450">
        <v>0</v>
      </c>
      <c r="GS156" s="450">
        <v>0</v>
      </c>
      <c r="GT156" s="450">
        <v>0</v>
      </c>
      <c r="GU156" s="450">
        <v>0</v>
      </c>
      <c r="GV156" s="450">
        <v>0</v>
      </c>
      <c r="GW156" s="450">
        <v>0</v>
      </c>
      <c r="GX156" s="450">
        <v>-9738875</v>
      </c>
      <c r="GY156" s="450">
        <v>-3809567</v>
      </c>
      <c r="GZ156" s="450">
        <v>0</v>
      </c>
      <c r="HA156" s="450" t="s">
        <v>888</v>
      </c>
      <c r="HB156" s="450" t="s">
        <v>888</v>
      </c>
      <c r="HC156" s="450">
        <v>0</v>
      </c>
      <c r="HD156" s="450">
        <v>0</v>
      </c>
      <c r="HE156" s="450">
        <v>0</v>
      </c>
      <c r="HF156" s="450">
        <v>0</v>
      </c>
      <c r="HG156" s="472">
        <v>0</v>
      </c>
    </row>
    <row r="157" spans="2:215" ht="12.75">
      <c r="B157" s="445" t="s">
        <v>2</v>
      </c>
      <c r="C157" s="446">
        <v>11469</v>
      </c>
      <c r="D157" s="447">
        <v>2703077</v>
      </c>
      <c r="E157" s="447">
        <v>2319240.066</v>
      </c>
      <c r="F157" s="447">
        <v>410479.1422926578</v>
      </c>
      <c r="G157" s="447">
        <v>383836.93400000007</v>
      </c>
      <c r="H157" s="448">
        <v>0.5267320603365594</v>
      </c>
      <c r="I157" s="449">
        <v>5328.43</v>
      </c>
      <c r="J157" s="449">
        <v>712.66</v>
      </c>
      <c r="K157" s="447">
        <v>2729719.208292658</v>
      </c>
      <c r="L157" s="447">
        <v>2183775.3666341263</v>
      </c>
      <c r="M157" s="447">
        <v>728805.7535716231</v>
      </c>
      <c r="N157" s="447">
        <v>545943.8416585315</v>
      </c>
      <c r="O157" s="450">
        <v>1.334946377190688</v>
      </c>
      <c r="P157" s="451">
        <v>0.7423489406225477</v>
      </c>
      <c r="Q157" s="452">
        <v>0.25765105937745225</v>
      </c>
      <c r="R157" s="447">
        <v>2912581.1202057493</v>
      </c>
      <c r="S157" s="447">
        <v>1968904.8372590865</v>
      </c>
      <c r="T157" s="447">
        <v>454173.93725262774</v>
      </c>
      <c r="U157" s="447">
        <v>388120.1540139031</v>
      </c>
      <c r="V157" s="447">
        <v>664068.4954069109</v>
      </c>
      <c r="W157" s="450">
        <v>0.5844580140427845</v>
      </c>
      <c r="X157" s="452">
        <v>10.259868824155069</v>
      </c>
      <c r="Y157" s="447">
        <v>454173.93725262774</v>
      </c>
      <c r="Z157" s="447">
        <v>279607.7875397519</v>
      </c>
      <c r="AA157" s="448">
        <v>1.6243250635072448</v>
      </c>
      <c r="AB157" s="448">
        <v>0.12777923097044205</v>
      </c>
      <c r="AC157" s="449">
        <v>1399</v>
      </c>
      <c r="AD157" s="449">
        <v>1532</v>
      </c>
      <c r="AE157" s="447">
        <v>2811198.9285256173</v>
      </c>
      <c r="AF157" s="447">
        <v>114855.53543444574</v>
      </c>
      <c r="AG157" s="451">
        <v>0.5</v>
      </c>
      <c r="AH157" s="450">
        <v>0.15070413837231195</v>
      </c>
      <c r="AI157" s="452">
        <v>0.12690944969654083</v>
      </c>
      <c r="AJ157" s="447">
        <v>2926054.463960063</v>
      </c>
      <c r="AK157" s="453">
        <v>1.0168</v>
      </c>
      <c r="AL157" s="447">
        <v>2975212.178954592</v>
      </c>
      <c r="AM157" s="447">
        <v>6999073.402655981</v>
      </c>
      <c r="AN157" s="447">
        <v>6929991.162963526</v>
      </c>
      <c r="AO157" s="447">
        <v>6630043.224837862</v>
      </c>
      <c r="AP157" s="447">
        <v>6929991.162963526</v>
      </c>
      <c r="AQ157" s="447">
        <v>45876</v>
      </c>
      <c r="AR157" s="447">
        <v>6975867.162963526</v>
      </c>
      <c r="AS157" s="454">
        <v>608.2367392940558</v>
      </c>
      <c r="AT157" s="450">
        <v>11469</v>
      </c>
      <c r="AU157" s="450">
        <v>6</v>
      </c>
      <c r="AV157" s="450">
        <v>1131</v>
      </c>
      <c r="AW157" s="450">
        <v>341</v>
      </c>
      <c r="AX157" s="450">
        <v>0</v>
      </c>
      <c r="AY157" s="450">
        <v>2263</v>
      </c>
      <c r="AZ157" s="450">
        <v>526</v>
      </c>
      <c r="BA157" s="450">
        <v>290</v>
      </c>
      <c r="BB157" s="450">
        <v>412</v>
      </c>
      <c r="BC157" s="450">
        <v>305</v>
      </c>
      <c r="BD157" s="450">
        <v>2727</v>
      </c>
      <c r="BE157" s="450">
        <v>984</v>
      </c>
      <c r="BF157" s="450">
        <v>1971</v>
      </c>
      <c r="BG157" s="450">
        <v>513</v>
      </c>
      <c r="BH157" s="450">
        <v>0</v>
      </c>
      <c r="BI157" s="450">
        <v>0</v>
      </c>
      <c r="BJ157" s="452">
        <v>1.7544754971122303</v>
      </c>
      <c r="BK157" s="452">
        <v>15.931285319186944</v>
      </c>
      <c r="BL157" s="452">
        <v>8.755513622991273</v>
      </c>
      <c r="BM157" s="452">
        <v>14.351543392391344</v>
      </c>
      <c r="BN157" s="449">
        <v>8514</v>
      </c>
      <c r="BO157" s="449">
        <v>2955</v>
      </c>
      <c r="BP157" s="447">
        <v>3874613.5139061003</v>
      </c>
      <c r="BQ157" s="447">
        <v>12418077</v>
      </c>
      <c r="BR157" s="447">
        <v>15986277</v>
      </c>
      <c r="BS157" s="448">
        <v>0.12777923097044205</v>
      </c>
      <c r="BT157" s="449">
        <v>1399</v>
      </c>
      <c r="BU157" s="449">
        <v>1532</v>
      </c>
      <c r="BV157" s="447">
        <v>2042714.1811404654</v>
      </c>
      <c r="BW157" s="448">
        <v>0.003963687358519064</v>
      </c>
      <c r="BX157" s="447">
        <v>11446.692178068603</v>
      </c>
      <c r="BY157" s="447">
        <v>18346851.387224633</v>
      </c>
      <c r="BZ157" s="455">
        <v>0.9333333333333332</v>
      </c>
      <c r="CA157" s="447">
        <v>17123727.961409654</v>
      </c>
      <c r="CB157" s="447">
        <v>12877507.581761817</v>
      </c>
      <c r="CC157" s="447">
        <v>12861746.53589898</v>
      </c>
      <c r="CD157" s="447">
        <v>12179036.201632714</v>
      </c>
      <c r="CE157" s="447">
        <v>12861746.53589898</v>
      </c>
      <c r="CF157" s="454">
        <v>1121.4357429504735</v>
      </c>
      <c r="CG157" s="450">
        <v>11469</v>
      </c>
      <c r="CH157" s="450">
        <v>6</v>
      </c>
      <c r="CI157" s="450">
        <v>1131</v>
      </c>
      <c r="CJ157" s="450">
        <v>341</v>
      </c>
      <c r="CK157" s="450">
        <v>0</v>
      </c>
      <c r="CL157" s="450">
        <v>2263</v>
      </c>
      <c r="CM157" s="450">
        <v>526</v>
      </c>
      <c r="CN157" s="450">
        <v>290</v>
      </c>
      <c r="CO157" s="450">
        <v>412</v>
      </c>
      <c r="CP157" s="450">
        <v>305</v>
      </c>
      <c r="CQ157" s="450">
        <v>2727</v>
      </c>
      <c r="CR157" s="450">
        <v>984</v>
      </c>
      <c r="CS157" s="450">
        <v>1971</v>
      </c>
      <c r="CT157" s="450">
        <v>513</v>
      </c>
      <c r="CU157" s="450">
        <v>0</v>
      </c>
      <c r="CV157" s="450">
        <v>0</v>
      </c>
      <c r="CW157" s="447">
        <v>9074530.81249385</v>
      </c>
      <c r="CX157" s="452">
        <v>0.9111324575965377</v>
      </c>
      <c r="CY157" s="452">
        <v>0.9333333333333332</v>
      </c>
      <c r="CZ157" s="447">
        <v>8268099.560723027</v>
      </c>
      <c r="DA157" s="454">
        <v>720.9084977524656</v>
      </c>
      <c r="DB157" s="449">
        <v>11469</v>
      </c>
      <c r="DC157" s="452">
        <v>0.9916732060336559</v>
      </c>
      <c r="DD157" s="454">
        <v>307.3</v>
      </c>
      <c r="DE157" s="447">
        <v>28799</v>
      </c>
      <c r="DF157" s="454">
        <v>46.31057493696888</v>
      </c>
      <c r="DG157" s="454">
        <v>48.30192965925853</v>
      </c>
      <c r="DH157" s="454">
        <v>49.364572111762214</v>
      </c>
      <c r="DI157" s="454">
        <v>50.45059269822097</v>
      </c>
      <c r="DJ157" s="454">
        <v>52.11546225726226</v>
      </c>
      <c r="DK157" s="454">
        <v>53.99161889852369</v>
      </c>
      <c r="DL157" s="454">
        <v>55.71935070327644</v>
      </c>
      <c r="DM157" s="454">
        <v>58.00384408211077</v>
      </c>
      <c r="DN157" s="454">
        <v>60.55601322172363</v>
      </c>
      <c r="DO157" s="454">
        <v>63.886593948918424</v>
      </c>
      <c r="DP157" s="454">
        <v>63.31161460337816</v>
      </c>
      <c r="DQ157" s="454">
        <v>66.54050694815044</v>
      </c>
      <c r="DR157" s="454">
        <v>70.59947787198762</v>
      </c>
      <c r="DS157" s="454">
        <v>36.9</v>
      </c>
      <c r="DT157" s="454">
        <v>38.877077211176214</v>
      </c>
      <c r="DU157" s="454">
        <v>40.92328621964418</v>
      </c>
      <c r="DV157" s="454">
        <v>43.50396811393866</v>
      </c>
      <c r="DW157" s="454">
        <v>46.34461209925234</v>
      </c>
      <c r="DX157" s="454">
        <v>49.142924855903075</v>
      </c>
      <c r="DY157" s="454">
        <v>52.52699663641823</v>
      </c>
      <c r="DZ157" s="454">
        <v>55.47349879212096</v>
      </c>
      <c r="EA157" s="454">
        <v>57.16233294468058</v>
      </c>
      <c r="EB157" s="454">
        <v>58.81847216159856</v>
      </c>
      <c r="EC157" s="454">
        <v>62.762672783102154</v>
      </c>
      <c r="ED157" s="454">
        <v>67.59326633515045</v>
      </c>
      <c r="EE157" s="454">
        <v>-1.33</v>
      </c>
      <c r="EF157" s="454">
        <v>66.26326633515045</v>
      </c>
      <c r="EG157" s="454">
        <v>3445.6898494278234</v>
      </c>
      <c r="EH157" s="447">
        <v>38728244.54542595</v>
      </c>
      <c r="EI157" s="454">
        <v>38.24</v>
      </c>
      <c r="EJ157" s="454">
        <v>40.10960921117621</v>
      </c>
      <c r="EK157" s="454">
        <v>42.04297306764418</v>
      </c>
      <c r="EL157" s="454">
        <v>44.51602506367467</v>
      </c>
      <c r="EM157" s="454">
        <v>47.24331867061791</v>
      </c>
      <c r="EN157" s="454">
        <v>49.915812507277465</v>
      </c>
      <c r="EO157" s="454">
        <v>53.17065747248282</v>
      </c>
      <c r="EP157" s="454">
        <v>56.0708160479889</v>
      </c>
      <c r="EQ157" s="454">
        <v>57.73197450102664</v>
      </c>
      <c r="ER157" s="454">
        <v>59.19910590734501</v>
      </c>
      <c r="ES157" s="454">
        <v>63.08270963652576</v>
      </c>
      <c r="ET157" s="454">
        <v>67.84793566126228</v>
      </c>
      <c r="EU157" s="447">
        <v>172890055</v>
      </c>
      <c r="EV157" s="447">
        <v>0</v>
      </c>
      <c r="EW157" s="447">
        <v>0</v>
      </c>
      <c r="EX157" s="447">
        <v>0</v>
      </c>
      <c r="EY157" s="447">
        <v>0</v>
      </c>
      <c r="EZ157" s="447">
        <v>0</v>
      </c>
      <c r="FA157" s="447">
        <v>0</v>
      </c>
      <c r="FB157" s="447">
        <v>0</v>
      </c>
      <c r="FC157" s="447">
        <v>0</v>
      </c>
      <c r="FD157" s="447">
        <v>172890055</v>
      </c>
      <c r="FE157" s="447">
        <v>125037.0634549777</v>
      </c>
      <c r="FF157" s="447">
        <v>0</v>
      </c>
      <c r="FG157" s="447">
        <v>0</v>
      </c>
      <c r="FH157" s="447">
        <v>63560</v>
      </c>
      <c r="FI157" s="456">
        <v>0.0535</v>
      </c>
      <c r="FJ157" s="447">
        <v>3400.46</v>
      </c>
      <c r="FK157" s="471">
        <v>3400.46</v>
      </c>
      <c r="FL157" s="446">
        <v>66.53</v>
      </c>
      <c r="FM157" s="450">
        <v>62.74</v>
      </c>
      <c r="FN157" s="450">
        <v>61.14</v>
      </c>
      <c r="FO157" s="450">
        <v>-1.6</v>
      </c>
      <c r="FP157" s="472">
        <v>61.41</v>
      </c>
      <c r="FQ157" s="446">
        <v>21493</v>
      </c>
      <c r="FR157" s="450">
        <v>19460</v>
      </c>
      <c r="FS157" s="450">
        <v>14048</v>
      </c>
      <c r="FT157" s="450">
        <v>0</v>
      </c>
      <c r="FU157" s="450">
        <v>0</v>
      </c>
      <c r="FV157" s="450">
        <v>0</v>
      </c>
      <c r="FW157" s="450">
        <v>0</v>
      </c>
      <c r="FX157" s="450">
        <v>0</v>
      </c>
      <c r="FY157" s="450">
        <v>0</v>
      </c>
      <c r="FZ157" s="450">
        <v>0</v>
      </c>
      <c r="GA157" s="450">
        <v>0</v>
      </c>
      <c r="GB157" s="450">
        <v>0</v>
      </c>
      <c r="GC157" s="450">
        <v>0</v>
      </c>
      <c r="GD157" s="450">
        <v>0</v>
      </c>
      <c r="GE157" s="450">
        <v>0</v>
      </c>
      <c r="GF157" s="450">
        <v>0</v>
      </c>
      <c r="GG157" s="450">
        <v>0</v>
      </c>
      <c r="GH157" s="450">
        <v>0</v>
      </c>
      <c r="GI157" s="450">
        <v>0</v>
      </c>
      <c r="GJ157" s="450">
        <v>0</v>
      </c>
      <c r="GK157" s="450">
        <v>0</v>
      </c>
      <c r="GL157" s="450">
        <v>0</v>
      </c>
      <c r="GM157" s="450">
        <v>0</v>
      </c>
      <c r="GN157" s="450">
        <v>0</v>
      </c>
      <c r="GO157" s="450">
        <v>0</v>
      </c>
      <c r="GP157" s="450">
        <v>0</v>
      </c>
      <c r="GQ157" s="450">
        <v>0</v>
      </c>
      <c r="GR157" s="450">
        <v>0</v>
      </c>
      <c r="GS157" s="450">
        <v>0</v>
      </c>
      <c r="GT157" s="450">
        <v>0</v>
      </c>
      <c r="GU157" s="450">
        <v>0</v>
      </c>
      <c r="GV157" s="450">
        <v>0</v>
      </c>
      <c r="GW157" s="450">
        <v>0</v>
      </c>
      <c r="GX157" s="450">
        <v>144952684</v>
      </c>
      <c r="GY157" s="450">
        <v>151263061</v>
      </c>
      <c r="GZ157" s="450">
        <v>0</v>
      </c>
      <c r="HA157" s="450" t="s">
        <v>888</v>
      </c>
      <c r="HB157" s="450" t="s">
        <v>888</v>
      </c>
      <c r="HC157" s="450">
        <v>0</v>
      </c>
      <c r="HD157" s="450">
        <v>0</v>
      </c>
      <c r="HE157" s="450">
        <v>0</v>
      </c>
      <c r="HF157" s="450">
        <v>0</v>
      </c>
      <c r="HG157" s="472">
        <v>0</v>
      </c>
    </row>
    <row r="158" spans="2:215" ht="12.75">
      <c r="B158" s="445" t="s">
        <v>3</v>
      </c>
      <c r="C158" s="446">
        <v>19183</v>
      </c>
      <c r="D158" s="447">
        <v>4500439</v>
      </c>
      <c r="E158" s="447">
        <v>3861376.662</v>
      </c>
      <c r="F158" s="447">
        <v>331528.53608830454</v>
      </c>
      <c r="G158" s="447">
        <v>639062.3380000001</v>
      </c>
      <c r="H158" s="448">
        <v>0.25551894906948863</v>
      </c>
      <c r="I158" s="449">
        <v>2818.63</v>
      </c>
      <c r="J158" s="449">
        <v>2082.99</v>
      </c>
      <c r="K158" s="447">
        <v>4192905.1980883046</v>
      </c>
      <c r="L158" s="447">
        <v>3354324.1584706437</v>
      </c>
      <c r="M158" s="447">
        <v>896966.5286711637</v>
      </c>
      <c r="N158" s="447">
        <v>838581.0396176607</v>
      </c>
      <c r="O158" s="450">
        <v>1.069624146379607</v>
      </c>
      <c r="P158" s="451">
        <v>0.9470885680029193</v>
      </c>
      <c r="Q158" s="452">
        <v>0.053276338424646824</v>
      </c>
      <c r="R158" s="447">
        <v>4251290.687141808</v>
      </c>
      <c r="S158" s="447">
        <v>2873872.504507862</v>
      </c>
      <c r="T158" s="447">
        <v>475858.08698715817</v>
      </c>
      <c r="U158" s="447">
        <v>1557274.6561722711</v>
      </c>
      <c r="V158" s="447">
        <v>969294.2766683322</v>
      </c>
      <c r="W158" s="450">
        <v>1.606606676276838</v>
      </c>
      <c r="X158" s="452">
        <v>28.203178593775714</v>
      </c>
      <c r="Y158" s="447">
        <v>475858.08698715817</v>
      </c>
      <c r="Z158" s="447">
        <v>408123.90596561355</v>
      </c>
      <c r="AA158" s="448">
        <v>1.1659647475471617</v>
      </c>
      <c r="AB158" s="448">
        <v>0.09172183704321535</v>
      </c>
      <c r="AC158" s="449">
        <v>1511</v>
      </c>
      <c r="AD158" s="449">
        <v>2008</v>
      </c>
      <c r="AE158" s="447">
        <v>4907005.247667291</v>
      </c>
      <c r="AF158" s="447">
        <v>1053813.2772947624</v>
      </c>
      <c r="AG158" s="451">
        <v>1</v>
      </c>
      <c r="AH158" s="450">
        <v>0.6069901743031343</v>
      </c>
      <c r="AI158" s="452">
        <v>0.511152446269989</v>
      </c>
      <c r="AJ158" s="447">
        <v>5960818.524962054</v>
      </c>
      <c r="AK158" s="453">
        <v>1</v>
      </c>
      <c r="AL158" s="447">
        <v>5960818.524962054</v>
      </c>
      <c r="AM158" s="447">
        <v>14022598.687660757</v>
      </c>
      <c r="AN158" s="447">
        <v>13884192.863357717</v>
      </c>
      <c r="AO158" s="447">
        <v>12966075.101461625</v>
      </c>
      <c r="AP158" s="447">
        <v>13884192.863357717</v>
      </c>
      <c r="AQ158" s="447">
        <v>76732</v>
      </c>
      <c r="AR158" s="447">
        <v>13960924.863357717</v>
      </c>
      <c r="AS158" s="454">
        <v>727.7758882008923</v>
      </c>
      <c r="AT158" s="450">
        <v>19183</v>
      </c>
      <c r="AU158" s="450">
        <v>643</v>
      </c>
      <c r="AV158" s="450">
        <v>3572</v>
      </c>
      <c r="AW158" s="450">
        <v>473</v>
      </c>
      <c r="AX158" s="450">
        <v>0</v>
      </c>
      <c r="AY158" s="450">
        <v>5935</v>
      </c>
      <c r="AZ158" s="450">
        <v>757</v>
      </c>
      <c r="BA158" s="450">
        <v>667</v>
      </c>
      <c r="BB158" s="450">
        <v>403</v>
      </c>
      <c r="BC158" s="450">
        <v>6</v>
      </c>
      <c r="BD158" s="450">
        <v>2139</v>
      </c>
      <c r="BE158" s="450">
        <v>471</v>
      </c>
      <c r="BF158" s="450">
        <v>551</v>
      </c>
      <c r="BG158" s="450">
        <v>3566</v>
      </c>
      <c r="BH158" s="450">
        <v>0</v>
      </c>
      <c r="BI158" s="450">
        <v>0</v>
      </c>
      <c r="BJ158" s="452">
        <v>1.7605024038232084</v>
      </c>
      <c r="BK158" s="452">
        <v>23.063343961289277</v>
      </c>
      <c r="BL158" s="452">
        <v>16.732454761716035</v>
      </c>
      <c r="BM158" s="452">
        <v>12.661778399146485</v>
      </c>
      <c r="BN158" s="449">
        <v>18161</v>
      </c>
      <c r="BO158" s="449">
        <v>1022</v>
      </c>
      <c r="BP158" s="447">
        <v>7789459.078874438</v>
      </c>
      <c r="BQ158" s="447">
        <v>19317202</v>
      </c>
      <c r="BR158" s="447">
        <v>27749329</v>
      </c>
      <c r="BS158" s="448">
        <v>0.09172183704321535</v>
      </c>
      <c r="BT158" s="449">
        <v>1511</v>
      </c>
      <c r="BU158" s="449">
        <v>2008</v>
      </c>
      <c r="BV158" s="447">
        <v>2545219.43259657</v>
      </c>
      <c r="BW158" s="448">
        <v>0.016173814952550707</v>
      </c>
      <c r="BX158" s="447">
        <v>113098.15412348734</v>
      </c>
      <c r="BY158" s="447">
        <v>29764978.665594496</v>
      </c>
      <c r="BZ158" s="455">
        <v>0.93</v>
      </c>
      <c r="CA158" s="447">
        <v>27681430.15900288</v>
      </c>
      <c r="CB158" s="447">
        <v>20817185.81081831</v>
      </c>
      <c r="CC158" s="447">
        <v>20791707.229795054</v>
      </c>
      <c r="CD158" s="447">
        <v>19712923.95364542</v>
      </c>
      <c r="CE158" s="447">
        <v>20791707.229795054</v>
      </c>
      <c r="CF158" s="454">
        <v>1083.8610868891756</v>
      </c>
      <c r="CG158" s="450">
        <v>19183</v>
      </c>
      <c r="CH158" s="450">
        <v>643</v>
      </c>
      <c r="CI158" s="450">
        <v>3572</v>
      </c>
      <c r="CJ158" s="450">
        <v>473</v>
      </c>
      <c r="CK158" s="450">
        <v>0</v>
      </c>
      <c r="CL158" s="450">
        <v>5935</v>
      </c>
      <c r="CM158" s="450">
        <v>757</v>
      </c>
      <c r="CN158" s="450">
        <v>667</v>
      </c>
      <c r="CO158" s="450">
        <v>403</v>
      </c>
      <c r="CP158" s="450">
        <v>6</v>
      </c>
      <c r="CQ158" s="450">
        <v>2139</v>
      </c>
      <c r="CR158" s="450">
        <v>471</v>
      </c>
      <c r="CS158" s="450">
        <v>551</v>
      </c>
      <c r="CT158" s="450">
        <v>3566</v>
      </c>
      <c r="CU158" s="450">
        <v>0</v>
      </c>
      <c r="CV158" s="450">
        <v>0</v>
      </c>
      <c r="CW158" s="447">
        <v>13407522.32849874</v>
      </c>
      <c r="CX158" s="452">
        <v>0.9078784131051217</v>
      </c>
      <c r="CY158" s="452">
        <v>0.93</v>
      </c>
      <c r="CZ158" s="447">
        <v>12172400.095268922</v>
      </c>
      <c r="DA158" s="454">
        <v>634.5410048099318</v>
      </c>
      <c r="DB158" s="449">
        <v>19183</v>
      </c>
      <c r="DC158" s="452">
        <v>1.015842151905333</v>
      </c>
      <c r="DD158" s="454">
        <v>296.2</v>
      </c>
      <c r="DE158" s="447">
        <v>21891</v>
      </c>
      <c r="DF158" s="454">
        <v>43.57022548948886</v>
      </c>
      <c r="DG158" s="454">
        <v>45.44374518553688</v>
      </c>
      <c r="DH158" s="454">
        <v>46.44350757961868</v>
      </c>
      <c r="DI158" s="454">
        <v>47.46526474637028</v>
      </c>
      <c r="DJ158" s="454">
        <v>49.03161848300049</v>
      </c>
      <c r="DK158" s="454">
        <v>50.7967567483885</v>
      </c>
      <c r="DL158" s="454">
        <v>52.42225296433693</v>
      </c>
      <c r="DM158" s="454">
        <v>54.57156533587474</v>
      </c>
      <c r="DN158" s="454">
        <v>56.972714210653216</v>
      </c>
      <c r="DO158" s="454">
        <v>60.10621349223914</v>
      </c>
      <c r="DP158" s="454">
        <v>59.56525757080899</v>
      </c>
      <c r="DQ158" s="454">
        <v>62.60308570692024</v>
      </c>
      <c r="DR158" s="454">
        <v>66.42187393504237</v>
      </c>
      <c r="DS158" s="454">
        <v>34.81</v>
      </c>
      <c r="DT158" s="454">
        <v>36.66258875796186</v>
      </c>
      <c r="DU158" s="454">
        <v>38.579843381274046</v>
      </c>
      <c r="DV158" s="454">
        <v>41.00030824662414</v>
      </c>
      <c r="DW158" s="454">
        <v>43.6649532584863</v>
      </c>
      <c r="DX158" s="454">
        <v>46.28890196302103</v>
      </c>
      <c r="DY158" s="454">
        <v>49.46371062197886</v>
      </c>
      <c r="DZ158" s="454">
        <v>52.23262503615785</v>
      </c>
      <c r="EA158" s="454">
        <v>53.81959430896515</v>
      </c>
      <c r="EB158" s="454">
        <v>55.36454682358008</v>
      </c>
      <c r="EC158" s="454">
        <v>59.07112811065018</v>
      </c>
      <c r="ED158" s="454">
        <v>63.611318677810466</v>
      </c>
      <c r="EE158" s="454">
        <v>0</v>
      </c>
      <c r="EF158" s="454">
        <v>63.611318677810466</v>
      </c>
      <c r="EG158" s="454">
        <v>3307.7885712461443</v>
      </c>
      <c r="EH158" s="447">
        <v>62184241.998970486</v>
      </c>
      <c r="EI158" s="454">
        <v>42.78</v>
      </c>
      <c r="EJ158" s="454">
        <v>43.99339475796186</v>
      </c>
      <c r="EK158" s="454">
        <v>45.239473365274044</v>
      </c>
      <c r="EL158" s="454">
        <v>47.01978129841214</v>
      </c>
      <c r="EM158" s="454">
        <v>49.01024532847404</v>
      </c>
      <c r="EN158" s="454">
        <v>50.88585314321049</v>
      </c>
      <c r="EO158" s="454">
        <v>53.29205156484064</v>
      </c>
      <c r="EP158" s="454">
        <v>55.78532543113358</v>
      </c>
      <c r="EQ158" s="454">
        <v>57.207686252307</v>
      </c>
      <c r="ER158" s="454">
        <v>57.62846544566905</v>
      </c>
      <c r="ES158" s="454">
        <v>60.97463088810258</v>
      </c>
      <c r="ET158" s="454">
        <v>65.12603101296821</v>
      </c>
      <c r="EU158" s="447">
        <v>109554227</v>
      </c>
      <c r="EV158" s="447">
        <v>0</v>
      </c>
      <c r="EW158" s="447">
        <v>0</v>
      </c>
      <c r="EX158" s="447">
        <v>0</v>
      </c>
      <c r="EY158" s="447">
        <v>0</v>
      </c>
      <c r="EZ158" s="447">
        <v>0</v>
      </c>
      <c r="FA158" s="447">
        <v>0</v>
      </c>
      <c r="FB158" s="447">
        <v>0</v>
      </c>
      <c r="FC158" s="447">
        <v>0</v>
      </c>
      <c r="FD158" s="447">
        <v>109554227</v>
      </c>
      <c r="FE158" s="447">
        <v>94076.33444910128</v>
      </c>
      <c r="FF158" s="447">
        <v>0</v>
      </c>
      <c r="FG158" s="447">
        <v>0</v>
      </c>
      <c r="FH158" s="447">
        <v>75808</v>
      </c>
      <c r="FI158" s="456">
        <v>0.050199999999999995</v>
      </c>
      <c r="FJ158" s="447">
        <v>3805.5615999999995</v>
      </c>
      <c r="FK158" s="471">
        <v>3805.5615999999995</v>
      </c>
      <c r="FL158" s="446">
        <v>62.6</v>
      </c>
      <c r="FM158" s="450">
        <v>60.1</v>
      </c>
      <c r="FN158" s="450">
        <v>59.95</v>
      </c>
      <c r="FO158" s="450">
        <v>-0.15</v>
      </c>
      <c r="FP158" s="472">
        <v>60.56</v>
      </c>
      <c r="FQ158" s="446">
        <v>0</v>
      </c>
      <c r="FR158" s="450">
        <v>93248</v>
      </c>
      <c r="FS158" s="450">
        <v>0</v>
      </c>
      <c r="FT158" s="450">
        <v>0</v>
      </c>
      <c r="FU158" s="450">
        <v>0</v>
      </c>
      <c r="FV158" s="450">
        <v>0</v>
      </c>
      <c r="FW158" s="450">
        <v>0</v>
      </c>
      <c r="FX158" s="450">
        <v>0</v>
      </c>
      <c r="FY158" s="450">
        <v>0</v>
      </c>
      <c r="FZ158" s="450">
        <v>0</v>
      </c>
      <c r="GA158" s="450">
        <v>0</v>
      </c>
      <c r="GB158" s="450">
        <v>0</v>
      </c>
      <c r="GC158" s="450">
        <v>0</v>
      </c>
      <c r="GD158" s="450">
        <v>0</v>
      </c>
      <c r="GE158" s="450">
        <v>0</v>
      </c>
      <c r="GF158" s="450">
        <v>0</v>
      </c>
      <c r="GG158" s="450">
        <v>0</v>
      </c>
      <c r="GH158" s="450">
        <v>0</v>
      </c>
      <c r="GI158" s="450">
        <v>0</v>
      </c>
      <c r="GJ158" s="450">
        <v>0</v>
      </c>
      <c r="GK158" s="450">
        <v>0</v>
      </c>
      <c r="GL158" s="450">
        <v>0</v>
      </c>
      <c r="GM158" s="450">
        <v>0</v>
      </c>
      <c r="GN158" s="450">
        <v>0</v>
      </c>
      <c r="GO158" s="450">
        <v>0</v>
      </c>
      <c r="GP158" s="450">
        <v>0</v>
      </c>
      <c r="GQ158" s="450">
        <v>0</v>
      </c>
      <c r="GR158" s="450">
        <v>0</v>
      </c>
      <c r="GS158" s="450">
        <v>0</v>
      </c>
      <c r="GT158" s="450">
        <v>0</v>
      </c>
      <c r="GU158" s="450">
        <v>0</v>
      </c>
      <c r="GV158" s="450">
        <v>0</v>
      </c>
      <c r="GW158" s="450">
        <v>0</v>
      </c>
      <c r="GX158" s="450">
        <v>94271542</v>
      </c>
      <c r="GY158" s="450">
        <v>94521542</v>
      </c>
      <c r="GZ158" s="450">
        <v>0</v>
      </c>
      <c r="HA158" s="450" t="s">
        <v>888</v>
      </c>
      <c r="HB158" s="450" t="s">
        <v>888</v>
      </c>
      <c r="HC158" s="450">
        <v>0</v>
      </c>
      <c r="HD158" s="450">
        <v>0</v>
      </c>
      <c r="HE158" s="450">
        <v>0</v>
      </c>
      <c r="HF158" s="450">
        <v>0</v>
      </c>
      <c r="HG158" s="472">
        <v>0</v>
      </c>
    </row>
    <row r="159" spans="2:215" ht="12.75">
      <c r="B159" s="445" t="s">
        <v>4</v>
      </c>
      <c r="C159" s="446">
        <v>5216</v>
      </c>
      <c r="D159" s="447">
        <v>1246128</v>
      </c>
      <c r="E159" s="447">
        <v>1069177.824</v>
      </c>
      <c r="F159" s="447">
        <v>127996.42643358481</v>
      </c>
      <c r="G159" s="447">
        <v>176950.176</v>
      </c>
      <c r="H159" s="448">
        <v>0.3562806748466258</v>
      </c>
      <c r="I159" s="449">
        <v>1382.17</v>
      </c>
      <c r="J159" s="449">
        <v>476.19</v>
      </c>
      <c r="K159" s="447">
        <v>1197174.250433585</v>
      </c>
      <c r="L159" s="447">
        <v>957739.400346868</v>
      </c>
      <c r="M159" s="447">
        <v>266169.2934706326</v>
      </c>
      <c r="N159" s="447">
        <v>239434.85008671694</v>
      </c>
      <c r="O159" s="450">
        <v>1.1116564417177914</v>
      </c>
      <c r="P159" s="451">
        <v>0.9141104294478528</v>
      </c>
      <c r="Q159" s="452">
        <v>0.08588957055214724</v>
      </c>
      <c r="R159" s="447">
        <v>1223908.6938175005</v>
      </c>
      <c r="S159" s="447">
        <v>827362.2770206304</v>
      </c>
      <c r="T159" s="447">
        <v>122127.75704755934</v>
      </c>
      <c r="U159" s="447">
        <v>166874.19494712466</v>
      </c>
      <c r="V159" s="447">
        <v>279051.18219039013</v>
      </c>
      <c r="W159" s="450">
        <v>0.5980056907025403</v>
      </c>
      <c r="X159" s="452">
        <v>10.497691528372426</v>
      </c>
      <c r="Y159" s="447">
        <v>122127.75704755934</v>
      </c>
      <c r="Z159" s="447">
        <v>117495.23460648005</v>
      </c>
      <c r="AA159" s="448">
        <v>1.0394273219385852</v>
      </c>
      <c r="AB159" s="448">
        <v>0.08176763803680982</v>
      </c>
      <c r="AC159" s="449">
        <v>412</v>
      </c>
      <c r="AD159" s="449">
        <v>441</v>
      </c>
      <c r="AE159" s="447">
        <v>1116364.2290153145</v>
      </c>
      <c r="AF159" s="447">
        <v>0</v>
      </c>
      <c r="AG159" s="451">
        <v>0</v>
      </c>
      <c r="AH159" s="450">
        <v>0</v>
      </c>
      <c r="AI159" s="452">
        <v>0</v>
      </c>
      <c r="AJ159" s="447">
        <v>1116364.2290153145</v>
      </c>
      <c r="AK159" s="453">
        <v>1.0136</v>
      </c>
      <c r="AL159" s="447">
        <v>1131546.782529923</v>
      </c>
      <c r="AM159" s="447">
        <v>2661920.734758799</v>
      </c>
      <c r="AN159" s="447">
        <v>2635647.0502777733</v>
      </c>
      <c r="AO159" s="447">
        <v>2573706.2570440513</v>
      </c>
      <c r="AP159" s="447">
        <v>2635647.0502777733</v>
      </c>
      <c r="AQ159" s="447">
        <v>20864</v>
      </c>
      <c r="AR159" s="447">
        <v>2656511.0502777733</v>
      </c>
      <c r="AS159" s="454">
        <v>509.30043141828475</v>
      </c>
      <c r="AT159" s="450">
        <v>5215</v>
      </c>
      <c r="AU159" s="450">
        <v>237</v>
      </c>
      <c r="AV159" s="450">
        <v>507</v>
      </c>
      <c r="AW159" s="450">
        <v>25</v>
      </c>
      <c r="AX159" s="450">
        <v>93</v>
      </c>
      <c r="AY159" s="450">
        <v>785</v>
      </c>
      <c r="AZ159" s="450">
        <v>173</v>
      </c>
      <c r="BA159" s="450">
        <v>170</v>
      </c>
      <c r="BB159" s="450">
        <v>377</v>
      </c>
      <c r="BC159" s="450">
        <v>27</v>
      </c>
      <c r="BD159" s="450">
        <v>1078</v>
      </c>
      <c r="BE159" s="450">
        <v>448</v>
      </c>
      <c r="BF159" s="450">
        <v>0</v>
      </c>
      <c r="BG159" s="450">
        <v>1295</v>
      </c>
      <c r="BH159" s="450">
        <v>0</v>
      </c>
      <c r="BI159" s="450">
        <v>0</v>
      </c>
      <c r="BJ159" s="452">
        <v>1.3079554136674703</v>
      </c>
      <c r="BK159" s="452">
        <v>8.731137438392023</v>
      </c>
      <c r="BL159" s="452">
        <v>5.90600938810866</v>
      </c>
      <c r="BM159" s="452">
        <v>5.650256100566726</v>
      </c>
      <c r="BN159" s="449">
        <v>4767</v>
      </c>
      <c r="BO159" s="449">
        <v>448</v>
      </c>
      <c r="BP159" s="447">
        <v>1434891.1786084846</v>
      </c>
      <c r="BQ159" s="447">
        <v>5314640</v>
      </c>
      <c r="BR159" s="447">
        <v>6978569</v>
      </c>
      <c r="BS159" s="448">
        <v>0.08178331735378715</v>
      </c>
      <c r="BT159" s="449">
        <v>412</v>
      </c>
      <c r="BU159" s="449">
        <v>441</v>
      </c>
      <c r="BV159" s="447">
        <v>570730.523202301</v>
      </c>
      <c r="BW159" s="448">
        <v>0.021756357816829303</v>
      </c>
      <c r="BX159" s="447">
        <v>15657.253181311902</v>
      </c>
      <c r="BY159" s="447">
        <v>7335918.954992098</v>
      </c>
      <c r="BZ159" s="455">
        <v>1.0366666666666668</v>
      </c>
      <c r="CA159" s="447">
        <v>7604902.650008476</v>
      </c>
      <c r="CB159" s="447">
        <v>5719092.930858658</v>
      </c>
      <c r="CC159" s="447">
        <v>5712093.215626126</v>
      </c>
      <c r="CD159" s="447">
        <v>5501986.076164398</v>
      </c>
      <c r="CE159" s="447">
        <v>5712093.215626126</v>
      </c>
      <c r="CF159" s="454">
        <v>1095.3198879436484</v>
      </c>
      <c r="CG159" s="450">
        <v>5215</v>
      </c>
      <c r="CH159" s="450">
        <v>237</v>
      </c>
      <c r="CI159" s="450">
        <v>507</v>
      </c>
      <c r="CJ159" s="450">
        <v>25</v>
      </c>
      <c r="CK159" s="450">
        <v>93</v>
      </c>
      <c r="CL159" s="450">
        <v>785</v>
      </c>
      <c r="CM159" s="450">
        <v>173</v>
      </c>
      <c r="CN159" s="450">
        <v>170</v>
      </c>
      <c r="CO159" s="450">
        <v>377</v>
      </c>
      <c r="CP159" s="450">
        <v>27</v>
      </c>
      <c r="CQ159" s="450">
        <v>1078</v>
      </c>
      <c r="CR159" s="450">
        <v>448</v>
      </c>
      <c r="CS159" s="450">
        <v>0</v>
      </c>
      <c r="CT159" s="450">
        <v>1295</v>
      </c>
      <c r="CU159" s="450">
        <v>0</v>
      </c>
      <c r="CV159" s="450">
        <v>0</v>
      </c>
      <c r="CW159" s="447">
        <v>3687102.0735054673</v>
      </c>
      <c r="CX159" s="452">
        <v>1.0120078368304404</v>
      </c>
      <c r="CY159" s="452">
        <v>1.0366666666666668</v>
      </c>
      <c r="CZ159" s="447">
        <v>3731376.1935812994</v>
      </c>
      <c r="DA159" s="454">
        <v>715.5083784432022</v>
      </c>
      <c r="DB159" s="449">
        <v>5216</v>
      </c>
      <c r="DC159" s="452">
        <v>1.000881901840491</v>
      </c>
      <c r="DD159" s="454">
        <v>308</v>
      </c>
      <c r="DE159" s="447">
        <v>41709</v>
      </c>
      <c r="DF159" s="454">
        <v>50.98932278949966</v>
      </c>
      <c r="DG159" s="454">
        <v>53.18186366944814</v>
      </c>
      <c r="DH159" s="454">
        <v>54.35186467017599</v>
      </c>
      <c r="DI159" s="454">
        <v>55.54760569291985</v>
      </c>
      <c r="DJ159" s="454">
        <v>57.3806766807862</v>
      </c>
      <c r="DK159" s="454">
        <v>59.446381041294494</v>
      </c>
      <c r="DL159" s="454">
        <v>61.34866523461591</v>
      </c>
      <c r="DM159" s="454">
        <v>63.863960509235156</v>
      </c>
      <c r="DN159" s="454">
        <v>66.6739747716415</v>
      </c>
      <c r="DO159" s="454">
        <v>70.34104338408177</v>
      </c>
      <c r="DP159" s="454">
        <v>69.70797399362503</v>
      </c>
      <c r="DQ159" s="454">
        <v>73.2630806672999</v>
      </c>
      <c r="DR159" s="454">
        <v>77.7321285880052</v>
      </c>
      <c r="DS159" s="454">
        <v>41.3</v>
      </c>
      <c r="DT159" s="454">
        <v>43.42292646701759</v>
      </c>
      <c r="DU159" s="454">
        <v>45.61927249858395</v>
      </c>
      <c r="DV159" s="454">
        <v>48.406704514755845</v>
      </c>
      <c r="DW159" s="454">
        <v>51.47749375785954</v>
      </c>
      <c r="DX159" s="454">
        <v>54.49542217086185</v>
      </c>
      <c r="DY159" s="454">
        <v>58.15657968574078</v>
      </c>
      <c r="DZ159" s="454">
        <v>61.377525367438714</v>
      </c>
      <c r="EA159" s="454">
        <v>63.22310291768617</v>
      </c>
      <c r="EB159" s="454">
        <v>64.95177544816903</v>
      </c>
      <c r="EC159" s="454">
        <v>69.2640689302805</v>
      </c>
      <c r="ED159" s="454">
        <v>74.549914998272</v>
      </c>
      <c r="EE159" s="454">
        <v>0</v>
      </c>
      <c r="EF159" s="454">
        <v>74.549914998272</v>
      </c>
      <c r="EG159" s="454">
        <v>3876.595579910144</v>
      </c>
      <c r="EH159" s="447">
        <v>19815916.093915086</v>
      </c>
      <c r="EI159" s="454">
        <v>48.36</v>
      </c>
      <c r="EJ159" s="454">
        <v>49.91671446701759</v>
      </c>
      <c r="EK159" s="454">
        <v>51.518518130583956</v>
      </c>
      <c r="EL159" s="454">
        <v>53.738885160379844</v>
      </c>
      <c r="EM159" s="454">
        <v>56.21247017117365</v>
      </c>
      <c r="EN159" s="454">
        <v>58.56750188631198</v>
      </c>
      <c r="EO159" s="454">
        <v>61.54780767276765</v>
      </c>
      <c r="EP159" s="454">
        <v>64.52458493939963</v>
      </c>
      <c r="EQ159" s="454">
        <v>66.22434872947957</v>
      </c>
      <c r="ER159" s="454">
        <v>66.95720398919138</v>
      </c>
      <c r="ES159" s="454">
        <v>70.95023324757209</v>
      </c>
      <c r="ET159" s="454">
        <v>75.89168025375679</v>
      </c>
      <c r="EU159" s="447">
        <v>4025163</v>
      </c>
      <c r="EV159" s="447">
        <v>0</v>
      </c>
      <c r="EW159" s="447">
        <v>0</v>
      </c>
      <c r="EX159" s="447">
        <v>0</v>
      </c>
      <c r="EY159" s="447">
        <v>0</v>
      </c>
      <c r="EZ159" s="447">
        <v>0</v>
      </c>
      <c r="FA159" s="447">
        <v>0</v>
      </c>
      <c r="FB159" s="447">
        <v>0</v>
      </c>
      <c r="FC159" s="447">
        <v>0</v>
      </c>
      <c r="FD159" s="447">
        <v>4025163</v>
      </c>
      <c r="FE159" s="447">
        <v>42490.10188658093</v>
      </c>
      <c r="FF159" s="447">
        <v>0</v>
      </c>
      <c r="FG159" s="447">
        <v>0</v>
      </c>
      <c r="FH159" s="447">
        <v>3328</v>
      </c>
      <c r="FI159" s="456">
        <v>0.0313</v>
      </c>
      <c r="FJ159" s="447">
        <v>104.16640000000001</v>
      </c>
      <c r="FK159" s="471">
        <v>104.16640000000001</v>
      </c>
      <c r="FL159" s="446">
        <v>73.25</v>
      </c>
      <c r="FM159" s="450">
        <v>71.22</v>
      </c>
      <c r="FN159" s="450">
        <v>71.22</v>
      </c>
      <c r="FO159" s="450">
        <v>0</v>
      </c>
      <c r="FP159" s="472">
        <v>71.22</v>
      </c>
      <c r="FQ159" s="446">
        <v>0</v>
      </c>
      <c r="FR159" s="450">
        <v>0</v>
      </c>
      <c r="FS159" s="450">
        <v>0</v>
      </c>
      <c r="FT159" s="450">
        <v>0</v>
      </c>
      <c r="FU159" s="450">
        <v>0</v>
      </c>
      <c r="FV159" s="450">
        <v>0</v>
      </c>
      <c r="FW159" s="450">
        <v>0</v>
      </c>
      <c r="FX159" s="450">
        <v>0</v>
      </c>
      <c r="FY159" s="450">
        <v>0</v>
      </c>
      <c r="FZ159" s="450">
        <v>0</v>
      </c>
      <c r="GA159" s="450">
        <v>0</v>
      </c>
      <c r="GB159" s="450">
        <v>0</v>
      </c>
      <c r="GC159" s="450">
        <v>0</v>
      </c>
      <c r="GD159" s="450">
        <v>0</v>
      </c>
      <c r="GE159" s="450">
        <v>0</v>
      </c>
      <c r="GF159" s="450">
        <v>0</v>
      </c>
      <c r="GG159" s="450">
        <v>0</v>
      </c>
      <c r="GH159" s="450">
        <v>0</v>
      </c>
      <c r="GI159" s="450">
        <v>0</v>
      </c>
      <c r="GJ159" s="450">
        <v>0</v>
      </c>
      <c r="GK159" s="450">
        <v>0</v>
      </c>
      <c r="GL159" s="450">
        <v>0</v>
      </c>
      <c r="GM159" s="450">
        <v>0</v>
      </c>
      <c r="GN159" s="450">
        <v>0</v>
      </c>
      <c r="GO159" s="450">
        <v>0</v>
      </c>
      <c r="GP159" s="450">
        <v>0</v>
      </c>
      <c r="GQ159" s="450">
        <v>0</v>
      </c>
      <c r="GR159" s="450">
        <v>0</v>
      </c>
      <c r="GS159" s="450">
        <v>0</v>
      </c>
      <c r="GT159" s="450">
        <v>0</v>
      </c>
      <c r="GU159" s="450">
        <v>0</v>
      </c>
      <c r="GV159" s="450">
        <v>0</v>
      </c>
      <c r="GW159" s="450">
        <v>0</v>
      </c>
      <c r="GX159" s="450">
        <v>-6736874</v>
      </c>
      <c r="GY159" s="450">
        <v>-6737874</v>
      </c>
      <c r="GZ159" s="450">
        <v>43</v>
      </c>
      <c r="HA159" s="450" t="s">
        <v>888</v>
      </c>
      <c r="HB159" s="450" t="s">
        <v>888</v>
      </c>
      <c r="HC159" s="450">
        <v>40</v>
      </c>
      <c r="HD159" s="450">
        <v>19</v>
      </c>
      <c r="HE159" s="450">
        <v>0</v>
      </c>
      <c r="HF159" s="450">
        <v>0</v>
      </c>
      <c r="HG159" s="472">
        <v>0</v>
      </c>
    </row>
    <row r="160" spans="2:215" ht="12.75">
      <c r="B160" s="445" t="s">
        <v>5</v>
      </c>
      <c r="C160" s="446">
        <v>6376.5</v>
      </c>
      <c r="D160" s="447">
        <v>1516524.5</v>
      </c>
      <c r="E160" s="447">
        <v>1301178.021</v>
      </c>
      <c r="F160" s="447">
        <v>234798.73203529415</v>
      </c>
      <c r="G160" s="447">
        <v>215346.47900000002</v>
      </c>
      <c r="H160" s="448">
        <v>0.5370359915314044</v>
      </c>
      <c r="I160" s="449">
        <v>3039.35</v>
      </c>
      <c r="J160" s="449">
        <v>385.06</v>
      </c>
      <c r="K160" s="447">
        <v>1535976.7530352941</v>
      </c>
      <c r="L160" s="447">
        <v>1228781.4024282354</v>
      </c>
      <c r="M160" s="447">
        <v>438740.383906294</v>
      </c>
      <c r="N160" s="447">
        <v>307195.35060705873</v>
      </c>
      <c r="O160" s="450">
        <v>1.428212969497373</v>
      </c>
      <c r="P160" s="451">
        <v>0.6707441386340469</v>
      </c>
      <c r="Q160" s="452">
        <v>0.32933427428840273</v>
      </c>
      <c r="R160" s="447">
        <v>1667521.7863345295</v>
      </c>
      <c r="S160" s="447">
        <v>1127244.727562142</v>
      </c>
      <c r="T160" s="447">
        <v>149354.7070527276</v>
      </c>
      <c r="U160" s="447">
        <v>289290.03840508964</v>
      </c>
      <c r="V160" s="447">
        <v>380194.9672842727</v>
      </c>
      <c r="W160" s="450">
        <v>0.7608991788383848</v>
      </c>
      <c r="X160" s="452">
        <v>13.357205437716274</v>
      </c>
      <c r="Y160" s="447">
        <v>149354.7070527276</v>
      </c>
      <c r="Z160" s="447">
        <v>160082.09148811485</v>
      </c>
      <c r="AA160" s="448">
        <v>0.93298822912878</v>
      </c>
      <c r="AB160" s="448">
        <v>0.07339449541284404</v>
      </c>
      <c r="AC160" s="449">
        <v>482</v>
      </c>
      <c r="AD160" s="449">
        <v>454</v>
      </c>
      <c r="AE160" s="447">
        <v>1565889.4730199594</v>
      </c>
      <c r="AF160" s="447">
        <v>0</v>
      </c>
      <c r="AG160" s="451">
        <v>0</v>
      </c>
      <c r="AH160" s="450">
        <v>0.05661103171940494</v>
      </c>
      <c r="AI160" s="452">
        <v>0.047672711312770844</v>
      </c>
      <c r="AJ160" s="447">
        <v>1565889.4730199594</v>
      </c>
      <c r="AK160" s="453">
        <v>1.1108</v>
      </c>
      <c r="AL160" s="447">
        <v>1739390.0266305709</v>
      </c>
      <c r="AM160" s="447">
        <v>4091848.829589276</v>
      </c>
      <c r="AN160" s="447">
        <v>4051461.4718107865</v>
      </c>
      <c r="AO160" s="447">
        <v>3983568.342900425</v>
      </c>
      <c r="AP160" s="447">
        <v>4051461.4718107865</v>
      </c>
      <c r="AQ160" s="447">
        <v>25506</v>
      </c>
      <c r="AR160" s="447">
        <v>4076967.4718107865</v>
      </c>
      <c r="AS160" s="454">
        <v>639.3738683934425</v>
      </c>
      <c r="AT160" s="450">
        <v>6369</v>
      </c>
      <c r="AU160" s="450">
        <v>642</v>
      </c>
      <c r="AV160" s="450">
        <v>232</v>
      </c>
      <c r="AW160" s="450">
        <v>1577</v>
      </c>
      <c r="AX160" s="450">
        <v>4</v>
      </c>
      <c r="AY160" s="450">
        <v>132</v>
      </c>
      <c r="AZ160" s="450">
        <v>62</v>
      </c>
      <c r="BA160" s="450">
        <v>102</v>
      </c>
      <c r="BB160" s="450">
        <v>97</v>
      </c>
      <c r="BC160" s="450">
        <v>546</v>
      </c>
      <c r="BD160" s="450">
        <v>769</v>
      </c>
      <c r="BE160" s="450">
        <v>1845</v>
      </c>
      <c r="BF160" s="450">
        <v>255</v>
      </c>
      <c r="BG160" s="450">
        <v>106</v>
      </c>
      <c r="BH160" s="450">
        <v>0</v>
      </c>
      <c r="BI160" s="450">
        <v>0</v>
      </c>
      <c r="BJ160" s="452">
        <v>1.553350982467197</v>
      </c>
      <c r="BK160" s="452">
        <v>10.554018095924224</v>
      </c>
      <c r="BL160" s="452">
        <v>5.651292850047639</v>
      </c>
      <c r="BM160" s="452">
        <v>9.805450491753172</v>
      </c>
      <c r="BN160" s="449">
        <v>4269</v>
      </c>
      <c r="BO160" s="449">
        <v>2100</v>
      </c>
      <c r="BP160" s="447">
        <v>1942658.0190970558</v>
      </c>
      <c r="BQ160" s="447">
        <v>7411719</v>
      </c>
      <c r="BR160" s="447">
        <v>8761122</v>
      </c>
      <c r="BS160" s="448">
        <v>0.07348092322185587</v>
      </c>
      <c r="BT160" s="449">
        <v>482</v>
      </c>
      <c r="BU160" s="449">
        <v>454</v>
      </c>
      <c r="BV160" s="447">
        <v>643775.3330193124</v>
      </c>
      <c r="BW160" s="448">
        <v>0.00853807422246116</v>
      </c>
      <c r="BX160" s="447">
        <v>9070.960030497665</v>
      </c>
      <c r="BY160" s="447">
        <v>10007223.312146867</v>
      </c>
      <c r="BZ160" s="455">
        <v>1.1433333333333333</v>
      </c>
      <c r="CA160" s="447">
        <v>11441591.986887917</v>
      </c>
      <c r="CB160" s="447">
        <v>8604387.309271712</v>
      </c>
      <c r="CC160" s="447">
        <v>8593856.223023694</v>
      </c>
      <c r="CD160" s="447">
        <v>8454698.849769073</v>
      </c>
      <c r="CE160" s="447">
        <v>8593856.223023694</v>
      </c>
      <c r="CF160" s="454">
        <v>1349.3258318454536</v>
      </c>
      <c r="CG160" s="450">
        <v>6369</v>
      </c>
      <c r="CH160" s="450">
        <v>642</v>
      </c>
      <c r="CI160" s="450">
        <v>232</v>
      </c>
      <c r="CJ160" s="450">
        <v>1577</v>
      </c>
      <c r="CK160" s="450">
        <v>4</v>
      </c>
      <c r="CL160" s="450">
        <v>132</v>
      </c>
      <c r="CM160" s="450">
        <v>62</v>
      </c>
      <c r="CN160" s="450">
        <v>102</v>
      </c>
      <c r="CO160" s="450">
        <v>97</v>
      </c>
      <c r="CP160" s="450">
        <v>546</v>
      </c>
      <c r="CQ160" s="450">
        <v>769</v>
      </c>
      <c r="CR160" s="450">
        <v>1845</v>
      </c>
      <c r="CS160" s="450">
        <v>255</v>
      </c>
      <c r="CT160" s="450">
        <v>106</v>
      </c>
      <c r="CU160" s="450">
        <v>0</v>
      </c>
      <c r="CV160" s="450">
        <v>0</v>
      </c>
      <c r="CW160" s="447">
        <v>4332013.434355965</v>
      </c>
      <c r="CX160" s="452">
        <v>1.116137260555759</v>
      </c>
      <c r="CY160" s="452">
        <v>1.1433333333333333</v>
      </c>
      <c r="CZ160" s="447">
        <v>4835121.607312812</v>
      </c>
      <c r="DA160" s="454">
        <v>759.1649564001902</v>
      </c>
      <c r="DB160" s="449">
        <v>6376.5</v>
      </c>
      <c r="DC160" s="452">
        <v>1.0005253665804124</v>
      </c>
      <c r="DD160" s="454">
        <v>354.1</v>
      </c>
      <c r="DE160" s="447">
        <v>70377</v>
      </c>
      <c r="DF160" s="454">
        <v>65.99202465428401</v>
      </c>
      <c r="DG160" s="454">
        <v>68.82968171441821</v>
      </c>
      <c r="DH160" s="454">
        <v>70.34393471213541</v>
      </c>
      <c r="DI160" s="454">
        <v>71.89150127580237</v>
      </c>
      <c r="DJ160" s="454">
        <v>74.26392081790384</v>
      </c>
      <c r="DK160" s="454">
        <v>76.93742196734836</v>
      </c>
      <c r="DL160" s="454">
        <v>79.39941947030349</v>
      </c>
      <c r="DM160" s="454">
        <v>82.65479566858592</v>
      </c>
      <c r="DN160" s="454">
        <v>86.29160667800369</v>
      </c>
      <c r="DO160" s="454">
        <v>91.03764504529389</v>
      </c>
      <c r="DP160" s="454">
        <v>90.21830623988625</v>
      </c>
      <c r="DQ160" s="454">
        <v>94.81943985812043</v>
      </c>
      <c r="DR160" s="454">
        <v>100.60342568946578</v>
      </c>
      <c r="DS160" s="454">
        <v>51.33</v>
      </c>
      <c r="DT160" s="454">
        <v>54.24772747121353</v>
      </c>
      <c r="DU160" s="454">
        <v>57.268991231160456</v>
      </c>
      <c r="DV160" s="454">
        <v>61.04699955130314</v>
      </c>
      <c r="DW160" s="454">
        <v>65.20079588260694</v>
      </c>
      <c r="DX160" s="454">
        <v>69.30592103742586</v>
      </c>
      <c r="DY160" s="454">
        <v>74.24893017368544</v>
      </c>
      <c r="DZ160" s="454">
        <v>78.49096349873605</v>
      </c>
      <c r="EA160" s="454">
        <v>80.92339185964754</v>
      </c>
      <c r="EB160" s="454">
        <v>83.45997543941739</v>
      </c>
      <c r="EC160" s="454">
        <v>89.13703532108622</v>
      </c>
      <c r="ED160" s="454">
        <v>96.0816522791208</v>
      </c>
      <c r="EE160" s="454">
        <v>-1.82</v>
      </c>
      <c r="EF160" s="454">
        <v>94.26165227912081</v>
      </c>
      <c r="EG160" s="454">
        <v>4901.605918514282</v>
      </c>
      <c r="EH160" s="447">
        <v>30629988.336618192</v>
      </c>
      <c r="EI160" s="454">
        <v>53.42</v>
      </c>
      <c r="EJ160" s="454">
        <v>56.17010947121353</v>
      </c>
      <c r="EK160" s="454">
        <v>59.01536847916045</v>
      </c>
      <c r="EL160" s="454">
        <v>62.625506286339125</v>
      </c>
      <c r="EM160" s="454">
        <v>66.6025098633189</v>
      </c>
      <c r="EN160" s="454">
        <v>70.51139506083815</v>
      </c>
      <c r="EO160" s="454">
        <v>75.2528489403832</v>
      </c>
      <c r="EP160" s="454">
        <v>79.42260011423157</v>
      </c>
      <c r="EQ160" s="454">
        <v>81.81186264529178</v>
      </c>
      <c r="ER160" s="454">
        <v>84.05365046076822</v>
      </c>
      <c r="ES160" s="454">
        <v>89.63619727903802</v>
      </c>
      <c r="ET160" s="454">
        <v>96.47886040716094</v>
      </c>
      <c r="EU160" s="447">
        <v>32744284</v>
      </c>
      <c r="EV160" s="447">
        <v>0</v>
      </c>
      <c r="EW160" s="447">
        <v>0</v>
      </c>
      <c r="EX160" s="447">
        <v>0</v>
      </c>
      <c r="EY160" s="447">
        <v>0</v>
      </c>
      <c r="EZ160" s="447">
        <v>0</v>
      </c>
      <c r="FA160" s="447">
        <v>0</v>
      </c>
      <c r="FB160" s="447">
        <v>0</v>
      </c>
      <c r="FC160" s="447">
        <v>0</v>
      </c>
      <c r="FD160" s="447">
        <v>32744284</v>
      </c>
      <c r="FE160" s="447">
        <v>56528.99504777833</v>
      </c>
      <c r="FF160" s="447">
        <v>0</v>
      </c>
      <c r="FG160" s="447">
        <v>0</v>
      </c>
      <c r="FH160" s="447">
        <v>10000</v>
      </c>
      <c r="FI160" s="456">
        <v>0.052000000000000005</v>
      </c>
      <c r="FJ160" s="447">
        <v>520</v>
      </c>
      <c r="FK160" s="471">
        <v>520</v>
      </c>
      <c r="FL160" s="446">
        <v>94.69</v>
      </c>
      <c r="FM160" s="450">
        <v>90.73</v>
      </c>
      <c r="FN160" s="450">
        <v>88.91</v>
      </c>
      <c r="FO160" s="450">
        <v>-1.82</v>
      </c>
      <c r="FP160" s="472">
        <v>86.81</v>
      </c>
      <c r="FQ160" s="446">
        <v>14000</v>
      </c>
      <c r="FR160" s="450">
        <v>0</v>
      </c>
      <c r="FS160" s="450">
        <v>0</v>
      </c>
      <c r="FT160" s="450">
        <v>0</v>
      </c>
      <c r="FU160" s="450">
        <v>0</v>
      </c>
      <c r="FV160" s="450">
        <v>0</v>
      </c>
      <c r="FW160" s="450">
        <v>0</v>
      </c>
      <c r="FX160" s="450">
        <v>0</v>
      </c>
      <c r="FY160" s="450">
        <v>0</v>
      </c>
      <c r="FZ160" s="450">
        <v>0</v>
      </c>
      <c r="GA160" s="450">
        <v>0</v>
      </c>
      <c r="GB160" s="450">
        <v>0</v>
      </c>
      <c r="GC160" s="450">
        <v>0</v>
      </c>
      <c r="GD160" s="450">
        <v>0</v>
      </c>
      <c r="GE160" s="450">
        <v>0</v>
      </c>
      <c r="GF160" s="450">
        <v>0</v>
      </c>
      <c r="GG160" s="450">
        <v>0</v>
      </c>
      <c r="GH160" s="450">
        <v>0</v>
      </c>
      <c r="GI160" s="450">
        <v>0</v>
      </c>
      <c r="GJ160" s="450">
        <v>0</v>
      </c>
      <c r="GK160" s="450">
        <v>0</v>
      </c>
      <c r="GL160" s="450">
        <v>0</v>
      </c>
      <c r="GM160" s="450">
        <v>0</v>
      </c>
      <c r="GN160" s="450">
        <v>0</v>
      </c>
      <c r="GO160" s="450">
        <v>0</v>
      </c>
      <c r="GP160" s="450">
        <v>0</v>
      </c>
      <c r="GQ160" s="450">
        <v>0</v>
      </c>
      <c r="GR160" s="450">
        <v>0</v>
      </c>
      <c r="GS160" s="450">
        <v>0</v>
      </c>
      <c r="GT160" s="450">
        <v>0</v>
      </c>
      <c r="GU160" s="450">
        <v>0</v>
      </c>
      <c r="GV160" s="450">
        <v>0</v>
      </c>
      <c r="GW160" s="450">
        <v>0</v>
      </c>
      <c r="GX160" s="450">
        <v>7383000</v>
      </c>
      <c r="GY160" s="450">
        <v>17915000</v>
      </c>
      <c r="GZ160" s="450">
        <v>43</v>
      </c>
      <c r="HA160" s="450" t="s">
        <v>888</v>
      </c>
      <c r="HB160" s="450" t="s">
        <v>888</v>
      </c>
      <c r="HC160" s="450">
        <v>46</v>
      </c>
      <c r="HD160" s="450">
        <v>85</v>
      </c>
      <c r="HE160" s="450">
        <v>0</v>
      </c>
      <c r="HF160" s="450">
        <v>0</v>
      </c>
      <c r="HG160" s="472">
        <v>0</v>
      </c>
    </row>
    <row r="161" spans="2:215" ht="12.75">
      <c r="B161" s="445" t="s">
        <v>6</v>
      </c>
      <c r="C161" s="446">
        <v>10466</v>
      </c>
      <c r="D161" s="447">
        <v>2469378</v>
      </c>
      <c r="E161" s="447">
        <v>2118726.324</v>
      </c>
      <c r="F161" s="447">
        <v>307297.8101786376</v>
      </c>
      <c r="G161" s="447">
        <v>350651.67600000004</v>
      </c>
      <c r="H161" s="448">
        <v>0.4316472386776228</v>
      </c>
      <c r="I161" s="449">
        <v>3697.06</v>
      </c>
      <c r="J161" s="449">
        <v>820.56</v>
      </c>
      <c r="K161" s="447">
        <v>2426024.1341786375</v>
      </c>
      <c r="L161" s="447">
        <v>1940819.3073429102</v>
      </c>
      <c r="M161" s="447">
        <v>588263.3334338376</v>
      </c>
      <c r="N161" s="447">
        <v>485204.8268357274</v>
      </c>
      <c r="O161" s="450">
        <v>1.2124020638257214</v>
      </c>
      <c r="P161" s="451">
        <v>0.8366137970571373</v>
      </c>
      <c r="Q161" s="452">
        <v>0.1633862029428626</v>
      </c>
      <c r="R161" s="447">
        <v>2529082.640776748</v>
      </c>
      <c r="S161" s="447">
        <v>1709659.8651650816</v>
      </c>
      <c r="T161" s="447">
        <v>241370.88487810772</v>
      </c>
      <c r="U161" s="447">
        <v>526491.7427913924</v>
      </c>
      <c r="V161" s="447">
        <v>576630.8420970985</v>
      </c>
      <c r="W161" s="450">
        <v>0.9130481832651206</v>
      </c>
      <c r="X161" s="452">
        <v>16.02810529645245</v>
      </c>
      <c r="Y161" s="447">
        <v>241370.88487810772</v>
      </c>
      <c r="Z161" s="447">
        <v>242791.9335145678</v>
      </c>
      <c r="AA161" s="448">
        <v>0.9941470516920002</v>
      </c>
      <c r="AB161" s="448">
        <v>0.07820561819224155</v>
      </c>
      <c r="AC161" s="449">
        <v>845</v>
      </c>
      <c r="AD161" s="449">
        <v>792</v>
      </c>
      <c r="AE161" s="447">
        <v>2477522.4928345815</v>
      </c>
      <c r="AF161" s="447">
        <v>54933.204278990306</v>
      </c>
      <c r="AG161" s="451">
        <v>0.25</v>
      </c>
      <c r="AH161" s="450">
        <v>0.16333226809246149</v>
      </c>
      <c r="AI161" s="452">
        <v>0.137543722987175</v>
      </c>
      <c r="AJ161" s="447">
        <v>2532455.6971135717</v>
      </c>
      <c r="AK161" s="453">
        <v>1.0206</v>
      </c>
      <c r="AL161" s="447">
        <v>2584624.284474111</v>
      </c>
      <c r="AM161" s="447">
        <v>6080230.248209665</v>
      </c>
      <c r="AN161" s="447">
        <v>6020217.172302683</v>
      </c>
      <c r="AO161" s="447">
        <v>5778461.748084022</v>
      </c>
      <c r="AP161" s="447">
        <v>6020217.172302683</v>
      </c>
      <c r="AQ161" s="447">
        <v>41864</v>
      </c>
      <c r="AR161" s="447">
        <v>6062081.172302683</v>
      </c>
      <c r="AS161" s="454">
        <v>579.2166226163465</v>
      </c>
      <c r="AT161" s="450">
        <v>10466</v>
      </c>
      <c r="AU161" s="450">
        <v>131</v>
      </c>
      <c r="AV161" s="450">
        <v>342</v>
      </c>
      <c r="AW161" s="450">
        <v>255</v>
      </c>
      <c r="AX161" s="450">
        <v>7</v>
      </c>
      <c r="AY161" s="450">
        <v>477</v>
      </c>
      <c r="AZ161" s="450">
        <v>330</v>
      </c>
      <c r="BA161" s="450">
        <v>753</v>
      </c>
      <c r="BB161" s="450">
        <v>2954</v>
      </c>
      <c r="BC161" s="450">
        <v>174</v>
      </c>
      <c r="BD161" s="450">
        <v>2270</v>
      </c>
      <c r="BE161" s="450">
        <v>1448</v>
      </c>
      <c r="BF161" s="450">
        <v>262</v>
      </c>
      <c r="BG161" s="450">
        <v>1063</v>
      </c>
      <c r="BH161" s="450">
        <v>0</v>
      </c>
      <c r="BI161" s="450">
        <v>0</v>
      </c>
      <c r="BJ161" s="452">
        <v>1.5270123751155538</v>
      </c>
      <c r="BK161" s="452">
        <v>12.941113712249066</v>
      </c>
      <c r="BL161" s="452">
        <v>9.15481725388234</v>
      </c>
      <c r="BM161" s="452">
        <v>7.572592916733451</v>
      </c>
      <c r="BN161" s="449">
        <v>8756</v>
      </c>
      <c r="BO161" s="449">
        <v>1710</v>
      </c>
      <c r="BP161" s="447">
        <v>3196659.9221659014</v>
      </c>
      <c r="BQ161" s="447">
        <v>11558269</v>
      </c>
      <c r="BR161" s="447">
        <v>14446176</v>
      </c>
      <c r="BS161" s="448">
        <v>0.07820561819224155</v>
      </c>
      <c r="BT161" s="449">
        <v>845</v>
      </c>
      <c r="BU161" s="449">
        <v>792</v>
      </c>
      <c r="BV161" s="447">
        <v>1129772.124593923</v>
      </c>
      <c r="BW161" s="448">
        <v>0.009099139717647352</v>
      </c>
      <c r="BX161" s="447">
        <v>19478.565115307065</v>
      </c>
      <c r="BY161" s="447">
        <v>15904179.611875132</v>
      </c>
      <c r="BZ161" s="455">
        <v>1.03</v>
      </c>
      <c r="CA161" s="447">
        <v>16381305.000231385</v>
      </c>
      <c r="CB161" s="447">
        <v>12319185.390881825</v>
      </c>
      <c r="CC161" s="447">
        <v>12304107.687008953</v>
      </c>
      <c r="CD161" s="447">
        <v>11573514.784577187</v>
      </c>
      <c r="CE161" s="447">
        <v>12304107.687008953</v>
      </c>
      <c r="CF161" s="454">
        <v>1175.6265705149008</v>
      </c>
      <c r="CG161" s="450">
        <v>10466</v>
      </c>
      <c r="CH161" s="450">
        <v>131</v>
      </c>
      <c r="CI161" s="450">
        <v>342</v>
      </c>
      <c r="CJ161" s="450">
        <v>255</v>
      </c>
      <c r="CK161" s="450">
        <v>7</v>
      </c>
      <c r="CL161" s="450">
        <v>477</v>
      </c>
      <c r="CM161" s="450">
        <v>330</v>
      </c>
      <c r="CN161" s="450">
        <v>753</v>
      </c>
      <c r="CO161" s="450">
        <v>2954</v>
      </c>
      <c r="CP161" s="450">
        <v>174</v>
      </c>
      <c r="CQ161" s="450">
        <v>2270</v>
      </c>
      <c r="CR161" s="450">
        <v>1448</v>
      </c>
      <c r="CS161" s="450">
        <v>262</v>
      </c>
      <c r="CT161" s="450">
        <v>1063</v>
      </c>
      <c r="CU161" s="450">
        <v>0</v>
      </c>
      <c r="CV161" s="450">
        <v>0</v>
      </c>
      <c r="CW161" s="447">
        <v>7561130.9287626175</v>
      </c>
      <c r="CX161" s="452">
        <v>1.005499747847608</v>
      </c>
      <c r="CY161" s="452">
        <v>1.03</v>
      </c>
      <c r="CZ161" s="447">
        <v>7602715.242313562</v>
      </c>
      <c r="DA161" s="454">
        <v>726.4203365482097</v>
      </c>
      <c r="DB161" s="449">
        <v>10466</v>
      </c>
      <c r="DC161" s="452">
        <v>1.004548060386012</v>
      </c>
      <c r="DD161" s="454">
        <v>313.9</v>
      </c>
      <c r="DE161" s="447">
        <v>40008</v>
      </c>
      <c r="DF161" s="454">
        <v>51.28172309530253</v>
      </c>
      <c r="DG161" s="454">
        <v>53.486837188400536</v>
      </c>
      <c r="DH161" s="454">
        <v>54.663547606545336</v>
      </c>
      <c r="DI161" s="454">
        <v>55.86614565388932</v>
      </c>
      <c r="DJ161" s="454">
        <v>57.70972846046766</v>
      </c>
      <c r="DK161" s="454">
        <v>59.787278685044484</v>
      </c>
      <c r="DL161" s="454">
        <v>61.7004716029659</v>
      </c>
      <c r="DM161" s="454">
        <v>64.2301909386875</v>
      </c>
      <c r="DN161" s="454">
        <v>67.05631933998974</v>
      </c>
      <c r="DO161" s="454">
        <v>70.74441690368917</v>
      </c>
      <c r="DP161" s="454">
        <v>70.10771715155597</v>
      </c>
      <c r="DQ161" s="454">
        <v>73.68321072628532</v>
      </c>
      <c r="DR161" s="454">
        <v>78.17788658058872</v>
      </c>
      <c r="DS161" s="454">
        <v>39.67</v>
      </c>
      <c r="DT161" s="454">
        <v>41.95482076065453</v>
      </c>
      <c r="DU161" s="454">
        <v>44.320973354777855</v>
      </c>
      <c r="DV161" s="454">
        <v>47.27433584860829</v>
      </c>
      <c r="DW161" s="454">
        <v>50.52065004571336</v>
      </c>
      <c r="DX161" s="454">
        <v>53.73117097314113</v>
      </c>
      <c r="DY161" s="454">
        <v>57.593357374169436</v>
      </c>
      <c r="DZ161" s="454">
        <v>60.89733779211698</v>
      </c>
      <c r="EA161" s="454">
        <v>62.79205560132817</v>
      </c>
      <c r="EB161" s="454">
        <v>64.79395969070116</v>
      </c>
      <c r="EC161" s="454">
        <v>69.2154034531986</v>
      </c>
      <c r="ED161" s="454">
        <v>74.62262894302997</v>
      </c>
      <c r="EE161" s="454">
        <v>-1.62</v>
      </c>
      <c r="EF161" s="454">
        <v>73.00262894302996</v>
      </c>
      <c r="EG161" s="454">
        <v>3796.136705037558</v>
      </c>
      <c r="EH161" s="447">
        <v>38935759.41982462</v>
      </c>
      <c r="EI161" s="454">
        <v>41.9</v>
      </c>
      <c r="EJ161" s="454">
        <v>44.005974760654524</v>
      </c>
      <c r="EK161" s="454">
        <v>46.184332810777846</v>
      </c>
      <c r="EL161" s="454">
        <v>48.95857987690028</v>
      </c>
      <c r="EM161" s="454">
        <v>52.016258742836655</v>
      </c>
      <c r="EN161" s="454">
        <v>55.01739445266716</v>
      </c>
      <c r="EO161" s="454">
        <v>58.66452428791871</v>
      </c>
      <c r="EP161" s="454">
        <v>61.891380688076296</v>
      </c>
      <c r="EQ161" s="454">
        <v>63.74004117644137</v>
      </c>
      <c r="ER161" s="454">
        <v>65.42740241683144</v>
      </c>
      <c r="ES161" s="454">
        <v>69.74800209732894</v>
      </c>
      <c r="ET161" s="454">
        <v>75.04644431409668</v>
      </c>
      <c r="EU161" s="447">
        <v>31147005</v>
      </c>
      <c r="EV161" s="447">
        <v>0</v>
      </c>
      <c r="EW161" s="447">
        <v>0</v>
      </c>
      <c r="EX161" s="447">
        <v>0</v>
      </c>
      <c r="EY161" s="447">
        <v>0</v>
      </c>
      <c r="EZ161" s="447">
        <v>0</v>
      </c>
      <c r="FA161" s="447">
        <v>0</v>
      </c>
      <c r="FB161" s="447">
        <v>0</v>
      </c>
      <c r="FC161" s="447">
        <v>0</v>
      </c>
      <c r="FD161" s="447">
        <v>31147005</v>
      </c>
      <c r="FE161" s="447">
        <v>55748.19018854798</v>
      </c>
      <c r="FF161" s="447">
        <v>0</v>
      </c>
      <c r="FG161" s="447">
        <v>0</v>
      </c>
      <c r="FH161" s="447">
        <v>65095</v>
      </c>
      <c r="FI161" s="456">
        <v>0.0507</v>
      </c>
      <c r="FJ161" s="447">
        <v>3300.3165</v>
      </c>
      <c r="FK161" s="471">
        <v>3300.3165</v>
      </c>
      <c r="FL161" s="446">
        <v>73.67</v>
      </c>
      <c r="FM161" s="450">
        <v>70.29</v>
      </c>
      <c r="FN161" s="450">
        <v>65.45</v>
      </c>
      <c r="FO161" s="450">
        <v>-4.84</v>
      </c>
      <c r="FP161" s="472">
        <v>68.67</v>
      </c>
      <c r="FQ161" s="446">
        <v>207784</v>
      </c>
      <c r="FR161" s="450">
        <v>0</v>
      </c>
      <c r="FS161" s="450">
        <v>0</v>
      </c>
      <c r="FT161" s="450">
        <v>0</v>
      </c>
      <c r="FU161" s="450">
        <v>0</v>
      </c>
      <c r="FV161" s="450">
        <v>0</v>
      </c>
      <c r="FW161" s="450">
        <v>0</v>
      </c>
      <c r="FX161" s="450">
        <v>0</v>
      </c>
      <c r="FY161" s="450">
        <v>0</v>
      </c>
      <c r="FZ161" s="450">
        <v>0</v>
      </c>
      <c r="GA161" s="450">
        <v>0</v>
      </c>
      <c r="GB161" s="450">
        <v>0</v>
      </c>
      <c r="GC161" s="450">
        <v>0</v>
      </c>
      <c r="GD161" s="450">
        <v>0</v>
      </c>
      <c r="GE161" s="450">
        <v>0</v>
      </c>
      <c r="GF161" s="450">
        <v>0</v>
      </c>
      <c r="GG161" s="450">
        <v>0</v>
      </c>
      <c r="GH161" s="450">
        <v>0</v>
      </c>
      <c r="GI161" s="450">
        <v>0</v>
      </c>
      <c r="GJ161" s="450">
        <v>0</v>
      </c>
      <c r="GK161" s="450">
        <v>0</v>
      </c>
      <c r="GL161" s="450">
        <v>0</v>
      </c>
      <c r="GM161" s="450">
        <v>0</v>
      </c>
      <c r="GN161" s="450">
        <v>0</v>
      </c>
      <c r="GO161" s="450">
        <v>0</v>
      </c>
      <c r="GP161" s="450">
        <v>0</v>
      </c>
      <c r="GQ161" s="450">
        <v>0</v>
      </c>
      <c r="GR161" s="450">
        <v>0</v>
      </c>
      <c r="GS161" s="450">
        <v>0</v>
      </c>
      <c r="GT161" s="450">
        <v>0</v>
      </c>
      <c r="GU161" s="450">
        <v>0</v>
      </c>
      <c r="GV161" s="450">
        <v>0</v>
      </c>
      <c r="GW161" s="450">
        <v>2683662</v>
      </c>
      <c r="GX161" s="450">
        <v>11915000</v>
      </c>
      <c r="GY161" s="450">
        <v>11915000</v>
      </c>
      <c r="GZ161" s="450">
        <v>0</v>
      </c>
      <c r="HA161" s="450" t="s">
        <v>889</v>
      </c>
      <c r="HB161" s="450" t="s">
        <v>888</v>
      </c>
      <c r="HC161" s="450">
        <v>33</v>
      </c>
      <c r="HD161" s="450">
        <v>0</v>
      </c>
      <c r="HE161" s="450">
        <v>0</v>
      </c>
      <c r="HF161" s="450">
        <v>0</v>
      </c>
      <c r="HG161" s="472">
        <v>0</v>
      </c>
    </row>
    <row r="162" spans="2:215" ht="12.75">
      <c r="B162" s="445" t="s">
        <v>7</v>
      </c>
      <c r="C162" s="446">
        <v>4532</v>
      </c>
      <c r="D162" s="447">
        <v>1086756</v>
      </c>
      <c r="E162" s="447">
        <v>932436.6479999999</v>
      </c>
      <c r="F162" s="447">
        <v>127423.08225779318</v>
      </c>
      <c r="G162" s="447">
        <v>154319.352</v>
      </c>
      <c r="H162" s="448">
        <v>0.4066990291262136</v>
      </c>
      <c r="I162" s="449">
        <v>1468.5</v>
      </c>
      <c r="J162" s="449">
        <v>374.66</v>
      </c>
      <c r="K162" s="447">
        <v>1059859.730257793</v>
      </c>
      <c r="L162" s="447">
        <v>847887.7842062345</v>
      </c>
      <c r="M162" s="447">
        <v>258547.77656306385</v>
      </c>
      <c r="N162" s="447">
        <v>211971.94605155857</v>
      </c>
      <c r="O162" s="450">
        <v>1.2197263901147395</v>
      </c>
      <c r="P162" s="451">
        <v>0.8309796999117387</v>
      </c>
      <c r="Q162" s="452">
        <v>0.16902030008826124</v>
      </c>
      <c r="R162" s="447">
        <v>1106435.5607692983</v>
      </c>
      <c r="S162" s="447">
        <v>747950.4390800457</v>
      </c>
      <c r="T162" s="447">
        <v>99212.03696511194</v>
      </c>
      <c r="U162" s="447">
        <v>305080.44680967</v>
      </c>
      <c r="V162" s="447">
        <v>252267.30785540002</v>
      </c>
      <c r="W162" s="450">
        <v>1.2093538770570404</v>
      </c>
      <c r="X162" s="452">
        <v>21.229603910744377</v>
      </c>
      <c r="Y162" s="447">
        <v>99212.03696511194</v>
      </c>
      <c r="Z162" s="447">
        <v>106217.81383385265</v>
      </c>
      <c r="AA162" s="448">
        <v>0.9340432963561155</v>
      </c>
      <c r="AB162" s="448">
        <v>0.073477493380406</v>
      </c>
      <c r="AC162" s="449">
        <v>343</v>
      </c>
      <c r="AD162" s="449">
        <v>323</v>
      </c>
      <c r="AE162" s="447">
        <v>1152242.9228548277</v>
      </c>
      <c r="AF162" s="447">
        <v>0</v>
      </c>
      <c r="AG162" s="451">
        <v>0</v>
      </c>
      <c r="AH162" s="450">
        <v>0.13624244953023232</v>
      </c>
      <c r="AI162" s="452">
        <v>0.11473111808300018</v>
      </c>
      <c r="AJ162" s="447">
        <v>1152242.9228548277</v>
      </c>
      <c r="AK162" s="453">
        <v>1</v>
      </c>
      <c r="AL162" s="447">
        <v>1152242.9228548277</v>
      </c>
      <c r="AM162" s="447">
        <v>2710607.617096238</v>
      </c>
      <c r="AN162" s="447">
        <v>2683853.3834507703</v>
      </c>
      <c r="AO162" s="447">
        <v>2622697.5903401687</v>
      </c>
      <c r="AP162" s="447">
        <v>2683853.3834507703</v>
      </c>
      <c r="AQ162" s="447">
        <v>18128</v>
      </c>
      <c r="AR162" s="447">
        <v>2701981.3834507703</v>
      </c>
      <c r="AS162" s="454">
        <v>596.2006583077605</v>
      </c>
      <c r="AT162" s="450">
        <v>4532</v>
      </c>
      <c r="AU162" s="450">
        <v>0</v>
      </c>
      <c r="AV162" s="450">
        <v>249</v>
      </c>
      <c r="AW162" s="450">
        <v>88</v>
      </c>
      <c r="AX162" s="450">
        <v>6</v>
      </c>
      <c r="AY162" s="450">
        <v>227</v>
      </c>
      <c r="AZ162" s="450">
        <v>175</v>
      </c>
      <c r="BA162" s="450">
        <v>810</v>
      </c>
      <c r="BB162" s="450">
        <v>974</v>
      </c>
      <c r="BC162" s="450">
        <v>44</v>
      </c>
      <c r="BD162" s="450">
        <v>840</v>
      </c>
      <c r="BE162" s="450">
        <v>453</v>
      </c>
      <c r="BF162" s="450">
        <v>313</v>
      </c>
      <c r="BG162" s="450">
        <v>353</v>
      </c>
      <c r="BH162" s="450">
        <v>0</v>
      </c>
      <c r="BI162" s="450">
        <v>0</v>
      </c>
      <c r="BJ162" s="452">
        <v>1.6753234852126044</v>
      </c>
      <c r="BK162" s="452">
        <v>16.423076484048334</v>
      </c>
      <c r="BL162" s="452">
        <v>11.494494581509167</v>
      </c>
      <c r="BM162" s="452">
        <v>9.857163805078331</v>
      </c>
      <c r="BN162" s="449">
        <v>3766</v>
      </c>
      <c r="BO162" s="449">
        <v>766</v>
      </c>
      <c r="BP162" s="447">
        <v>1567963.730309725</v>
      </c>
      <c r="BQ162" s="447">
        <v>4952628</v>
      </c>
      <c r="BR162" s="447">
        <v>6441159</v>
      </c>
      <c r="BS162" s="448">
        <v>0.073477493380406</v>
      </c>
      <c r="BT162" s="449">
        <v>343</v>
      </c>
      <c r="BU162" s="449">
        <v>323</v>
      </c>
      <c r="BV162" s="447">
        <v>473280.21778464253</v>
      </c>
      <c r="BW162" s="448">
        <v>0.008449564733726652</v>
      </c>
      <c r="BX162" s="447">
        <v>9939.922498893868</v>
      </c>
      <c r="BY162" s="447">
        <v>7003811.870593261</v>
      </c>
      <c r="BZ162" s="455">
        <v>0.93</v>
      </c>
      <c r="CA162" s="447">
        <v>6513545.039651733</v>
      </c>
      <c r="CB162" s="447">
        <v>4898362.425593993</v>
      </c>
      <c r="CC162" s="447">
        <v>4892367.2192737935</v>
      </c>
      <c r="CD162" s="447">
        <v>4745998.762543331</v>
      </c>
      <c r="CE162" s="447">
        <v>4892367.2192737935</v>
      </c>
      <c r="CF162" s="454">
        <v>1079.5161560621787</v>
      </c>
      <c r="CG162" s="450">
        <v>4532</v>
      </c>
      <c r="CH162" s="450">
        <v>0</v>
      </c>
      <c r="CI162" s="450">
        <v>249</v>
      </c>
      <c r="CJ162" s="450">
        <v>88</v>
      </c>
      <c r="CK162" s="450">
        <v>6</v>
      </c>
      <c r="CL162" s="450">
        <v>227</v>
      </c>
      <c r="CM162" s="450">
        <v>175</v>
      </c>
      <c r="CN162" s="450">
        <v>810</v>
      </c>
      <c r="CO162" s="450">
        <v>974</v>
      </c>
      <c r="CP162" s="450">
        <v>44</v>
      </c>
      <c r="CQ162" s="450">
        <v>840</v>
      </c>
      <c r="CR162" s="450">
        <v>453</v>
      </c>
      <c r="CS162" s="450">
        <v>313</v>
      </c>
      <c r="CT162" s="450">
        <v>353</v>
      </c>
      <c r="CU162" s="450">
        <v>0</v>
      </c>
      <c r="CV162" s="450">
        <v>0</v>
      </c>
      <c r="CW162" s="447">
        <v>3270444.2122293087</v>
      </c>
      <c r="CX162" s="452">
        <v>0.9078784131051217</v>
      </c>
      <c r="CY162" s="452">
        <v>0.93</v>
      </c>
      <c r="CZ162" s="447">
        <v>2969165.7015475747</v>
      </c>
      <c r="DA162" s="454">
        <v>655.155715257629</v>
      </c>
      <c r="DB162" s="449">
        <v>4532</v>
      </c>
      <c r="DC162" s="452">
        <v>1.0246028243601062</v>
      </c>
      <c r="DD162" s="454">
        <v>296.2</v>
      </c>
      <c r="DE162" s="447">
        <v>39400</v>
      </c>
      <c r="DF162" s="454">
        <v>49.6506802932162</v>
      </c>
      <c r="DG162" s="454">
        <v>51.78565954582449</v>
      </c>
      <c r="DH162" s="454">
        <v>52.92494405583262</v>
      </c>
      <c r="DI162" s="454">
        <v>54.08929282506092</v>
      </c>
      <c r="DJ162" s="454">
        <v>55.87423948828793</v>
      </c>
      <c r="DK162" s="454">
        <v>57.88571210986628</v>
      </c>
      <c r="DL162" s="454">
        <v>59.73805489738199</v>
      </c>
      <c r="DM162" s="454">
        <v>62.18731514817465</v>
      </c>
      <c r="DN162" s="454">
        <v>64.92355701469432</v>
      </c>
      <c r="DO162" s="454">
        <v>68.4943526505025</v>
      </c>
      <c r="DP162" s="454">
        <v>67.87790347664799</v>
      </c>
      <c r="DQ162" s="454">
        <v>71.33967655395703</v>
      </c>
      <c r="DR162" s="454">
        <v>75.6913968237484</v>
      </c>
      <c r="DS162" s="454">
        <v>39.67</v>
      </c>
      <c r="DT162" s="454">
        <v>41.78096040558326</v>
      </c>
      <c r="DU162" s="454">
        <v>43.96560278901217</v>
      </c>
      <c r="DV162" s="454">
        <v>46.72368915695437</v>
      </c>
      <c r="DW162" s="454">
        <v>49.76002341564209</v>
      </c>
      <c r="DX162" s="454">
        <v>52.74996262034919</v>
      </c>
      <c r="DY162" s="454">
        <v>56.36763189986173</v>
      </c>
      <c r="DZ162" s="454">
        <v>59.522890960259936</v>
      </c>
      <c r="EA162" s="454">
        <v>61.33128718913473</v>
      </c>
      <c r="EB162" s="454">
        <v>63.09155246834635</v>
      </c>
      <c r="EC162" s="454">
        <v>67.31531262617702</v>
      </c>
      <c r="ED162" s="454">
        <v>72.48900922821745</v>
      </c>
      <c r="EE162" s="454">
        <v>0</v>
      </c>
      <c r="EF162" s="454">
        <v>72.48900922821745</v>
      </c>
      <c r="EG162" s="454">
        <v>3769.4284798673075</v>
      </c>
      <c r="EH162" s="447">
        <v>16741388.873343464</v>
      </c>
      <c r="EI162" s="454">
        <v>45.76</v>
      </c>
      <c r="EJ162" s="454">
        <v>47.38254240558325</v>
      </c>
      <c r="EK162" s="454">
        <v>49.054328837012164</v>
      </c>
      <c r="EL162" s="454">
        <v>51.32326141359036</v>
      </c>
      <c r="EM162" s="454">
        <v>53.84444357953484</v>
      </c>
      <c r="EN162" s="454">
        <v>56.26256396129695</v>
      </c>
      <c r="EO162" s="454">
        <v>59.29292629660302</v>
      </c>
      <c r="EP162" s="454">
        <v>62.23756416043585</v>
      </c>
      <c r="EQ162" s="454">
        <v>63.920180531035825</v>
      </c>
      <c r="ER162" s="454">
        <v>64.82144762625373</v>
      </c>
      <c r="ES162" s="454">
        <v>68.76980847494553</v>
      </c>
      <c r="ET162" s="454">
        <v>73.64642429987501</v>
      </c>
      <c r="EU162" s="447">
        <v>34739361</v>
      </c>
      <c r="EV162" s="447">
        <v>0</v>
      </c>
      <c r="EW162" s="447">
        <v>0</v>
      </c>
      <c r="EX162" s="447">
        <v>0</v>
      </c>
      <c r="EY162" s="447">
        <v>0</v>
      </c>
      <c r="EZ162" s="447">
        <v>0</v>
      </c>
      <c r="FA162" s="447">
        <v>0</v>
      </c>
      <c r="FB162" s="447">
        <v>0</v>
      </c>
      <c r="FC162" s="447">
        <v>0</v>
      </c>
      <c r="FD162" s="447">
        <v>34739361</v>
      </c>
      <c r="FE162" s="447">
        <v>57504.25723812748</v>
      </c>
      <c r="FF162" s="447">
        <v>0</v>
      </c>
      <c r="FG162" s="447">
        <v>0</v>
      </c>
      <c r="FH162" s="447">
        <v>33882</v>
      </c>
      <c r="FI162" s="456">
        <v>0.0716</v>
      </c>
      <c r="FJ162" s="447">
        <v>2425.9512</v>
      </c>
      <c r="FK162" s="471">
        <v>2425.9512</v>
      </c>
      <c r="FL162" s="446">
        <v>71.34</v>
      </c>
      <c r="FM162" s="450">
        <v>68.19</v>
      </c>
      <c r="FN162" s="450">
        <v>67.92</v>
      </c>
      <c r="FO162" s="450">
        <v>-0.27</v>
      </c>
      <c r="FP162" s="472">
        <v>68.56</v>
      </c>
      <c r="FQ162" s="446">
        <v>2562</v>
      </c>
      <c r="FR162" s="450">
        <v>0</v>
      </c>
      <c r="FS162" s="450">
        <v>0</v>
      </c>
      <c r="FT162" s="450">
        <v>0</v>
      </c>
      <c r="FU162" s="450">
        <v>0</v>
      </c>
      <c r="FV162" s="450">
        <v>0</v>
      </c>
      <c r="FW162" s="450">
        <v>0</v>
      </c>
      <c r="FX162" s="450">
        <v>0</v>
      </c>
      <c r="FY162" s="450">
        <v>0</v>
      </c>
      <c r="FZ162" s="450">
        <v>0</v>
      </c>
      <c r="GA162" s="450">
        <v>0</v>
      </c>
      <c r="GB162" s="450">
        <v>0</v>
      </c>
      <c r="GC162" s="450">
        <v>0</v>
      </c>
      <c r="GD162" s="450">
        <v>0</v>
      </c>
      <c r="GE162" s="450">
        <v>0</v>
      </c>
      <c r="GF162" s="450">
        <v>0</v>
      </c>
      <c r="GG162" s="450">
        <v>0</v>
      </c>
      <c r="GH162" s="450">
        <v>0</v>
      </c>
      <c r="GI162" s="450">
        <v>0</v>
      </c>
      <c r="GJ162" s="450">
        <v>0</v>
      </c>
      <c r="GK162" s="450">
        <v>0</v>
      </c>
      <c r="GL162" s="450">
        <v>0</v>
      </c>
      <c r="GM162" s="450">
        <v>0</v>
      </c>
      <c r="GN162" s="450">
        <v>0</v>
      </c>
      <c r="GO162" s="450">
        <v>0</v>
      </c>
      <c r="GP162" s="450">
        <v>0</v>
      </c>
      <c r="GQ162" s="450">
        <v>0</v>
      </c>
      <c r="GR162" s="450">
        <v>0</v>
      </c>
      <c r="GS162" s="450">
        <v>0</v>
      </c>
      <c r="GT162" s="450">
        <v>0</v>
      </c>
      <c r="GU162" s="450">
        <v>0</v>
      </c>
      <c r="GV162" s="450">
        <v>0</v>
      </c>
      <c r="GW162" s="450">
        <v>0</v>
      </c>
      <c r="GX162" s="450">
        <v>23394770</v>
      </c>
      <c r="GY162" s="450">
        <v>23394770</v>
      </c>
      <c r="GZ162" s="450">
        <v>0</v>
      </c>
      <c r="HA162" s="450" t="s">
        <v>888</v>
      </c>
      <c r="HB162" s="450" t="s">
        <v>888</v>
      </c>
      <c r="HC162" s="450">
        <v>0</v>
      </c>
      <c r="HD162" s="450">
        <v>0</v>
      </c>
      <c r="HE162" s="450">
        <v>0</v>
      </c>
      <c r="HF162" s="450">
        <v>0</v>
      </c>
      <c r="HG162" s="472">
        <v>0</v>
      </c>
    </row>
    <row r="163" spans="2:215" ht="12.75">
      <c r="B163" s="445" t="s">
        <v>8</v>
      </c>
      <c r="C163" s="446">
        <v>2669</v>
      </c>
      <c r="D163" s="447">
        <v>652677</v>
      </c>
      <c r="E163" s="447">
        <v>559996.866</v>
      </c>
      <c r="F163" s="447">
        <v>104242.85510234845</v>
      </c>
      <c r="G163" s="447">
        <v>92680.134</v>
      </c>
      <c r="H163" s="448">
        <v>0.5539940052454103</v>
      </c>
      <c r="I163" s="449">
        <v>1325.21</v>
      </c>
      <c r="J163" s="449">
        <v>153.4</v>
      </c>
      <c r="K163" s="447">
        <v>664239.7211023485</v>
      </c>
      <c r="L163" s="447">
        <v>531391.7768818788</v>
      </c>
      <c r="M163" s="447">
        <v>154718.82720678454</v>
      </c>
      <c r="N163" s="447">
        <v>132847.94422046968</v>
      </c>
      <c r="O163" s="450">
        <v>1.1646309479205694</v>
      </c>
      <c r="P163" s="451">
        <v>0.8733608092918697</v>
      </c>
      <c r="Q163" s="452">
        <v>0.12663919070813037</v>
      </c>
      <c r="R163" s="447">
        <v>686110.6040886634</v>
      </c>
      <c r="S163" s="447">
        <v>463810.76836393645</v>
      </c>
      <c r="T163" s="447">
        <v>59448.19606633766</v>
      </c>
      <c r="U163" s="447">
        <v>83889.25893501479</v>
      </c>
      <c r="V163" s="447">
        <v>156433.21773221524</v>
      </c>
      <c r="W163" s="450">
        <v>0.536262439340842</v>
      </c>
      <c r="X163" s="452">
        <v>9.41381955720037</v>
      </c>
      <c r="Y163" s="447">
        <v>59448.19606633766</v>
      </c>
      <c r="Z163" s="447">
        <v>65866.61799251169</v>
      </c>
      <c r="AA163" s="448">
        <v>0.9025542509727198</v>
      </c>
      <c r="AB163" s="448">
        <v>0.07100037467216186</v>
      </c>
      <c r="AC163" s="449">
        <v>184</v>
      </c>
      <c r="AD163" s="449">
        <v>195</v>
      </c>
      <c r="AE163" s="447">
        <v>607148.2233652889</v>
      </c>
      <c r="AF163" s="447">
        <v>0</v>
      </c>
      <c r="AG163" s="451">
        <v>0</v>
      </c>
      <c r="AH163" s="450">
        <v>0</v>
      </c>
      <c r="AI163" s="452">
        <v>0</v>
      </c>
      <c r="AJ163" s="447">
        <v>607148.2233652889</v>
      </c>
      <c r="AK163" s="453">
        <v>1.104</v>
      </c>
      <c r="AL163" s="447">
        <v>670291.6385952791</v>
      </c>
      <c r="AM163" s="447">
        <v>1576835.5658463826</v>
      </c>
      <c r="AN163" s="447">
        <v>1561271.8867350805</v>
      </c>
      <c r="AO163" s="447">
        <v>1503878.7724200615</v>
      </c>
      <c r="AP163" s="447">
        <v>1561271.8867350805</v>
      </c>
      <c r="AQ163" s="447">
        <v>10676</v>
      </c>
      <c r="AR163" s="447">
        <v>1571947.8867350805</v>
      </c>
      <c r="AS163" s="454">
        <v>588.9651130517349</v>
      </c>
      <c r="AT163" s="450">
        <v>2669</v>
      </c>
      <c r="AU163" s="450">
        <v>43</v>
      </c>
      <c r="AV163" s="450">
        <v>188</v>
      </c>
      <c r="AW163" s="450">
        <v>110</v>
      </c>
      <c r="AX163" s="450">
        <v>28</v>
      </c>
      <c r="AY163" s="450">
        <v>522</v>
      </c>
      <c r="AZ163" s="450">
        <v>39</v>
      </c>
      <c r="BA163" s="450">
        <v>74</v>
      </c>
      <c r="BB163" s="450">
        <v>22</v>
      </c>
      <c r="BC163" s="450">
        <v>50</v>
      </c>
      <c r="BD163" s="450">
        <v>1099</v>
      </c>
      <c r="BE163" s="450">
        <v>333</v>
      </c>
      <c r="BF163" s="450">
        <v>0</v>
      </c>
      <c r="BG163" s="450">
        <v>154</v>
      </c>
      <c r="BH163" s="450">
        <v>0</v>
      </c>
      <c r="BI163" s="450">
        <v>7</v>
      </c>
      <c r="BJ163" s="452">
        <v>1.3276008705100146</v>
      </c>
      <c r="BK163" s="452">
        <v>8.619752005052852</v>
      </c>
      <c r="BL163" s="452">
        <v>5.153817574364486</v>
      </c>
      <c r="BM163" s="452">
        <v>6.931868861376734</v>
      </c>
      <c r="BN163" s="449">
        <v>2336</v>
      </c>
      <c r="BO163" s="449">
        <v>333</v>
      </c>
      <c r="BP163" s="447">
        <v>664307.5787875422</v>
      </c>
      <c r="BQ163" s="447">
        <v>2789768</v>
      </c>
      <c r="BR163" s="447">
        <v>3525632</v>
      </c>
      <c r="BS163" s="448">
        <v>0.07100037467216186</v>
      </c>
      <c r="BT163" s="449">
        <v>184</v>
      </c>
      <c r="BU163" s="449">
        <v>195</v>
      </c>
      <c r="BV163" s="447">
        <v>250321.19295616337</v>
      </c>
      <c r="BW163" s="448">
        <v>0.01548358665955364</v>
      </c>
      <c r="BX163" s="447">
        <v>5630.139532043979</v>
      </c>
      <c r="BY163" s="447">
        <v>3710026.911275749</v>
      </c>
      <c r="BZ163" s="455">
        <v>1.116666666666667</v>
      </c>
      <c r="CA163" s="447">
        <v>4142863.3842579206</v>
      </c>
      <c r="CB163" s="447">
        <v>3115545.5611777278</v>
      </c>
      <c r="CC163" s="447">
        <v>3111732.3810133436</v>
      </c>
      <c r="CD163" s="447">
        <v>3005560.7234971975</v>
      </c>
      <c r="CE163" s="447">
        <v>3111732.3810133436</v>
      </c>
      <c r="CF163" s="454">
        <v>1165.8794983189748</v>
      </c>
      <c r="CG163" s="450">
        <v>2669</v>
      </c>
      <c r="CH163" s="450">
        <v>43</v>
      </c>
      <c r="CI163" s="450">
        <v>188</v>
      </c>
      <c r="CJ163" s="450">
        <v>110</v>
      </c>
      <c r="CK163" s="450">
        <v>28</v>
      </c>
      <c r="CL163" s="450">
        <v>522</v>
      </c>
      <c r="CM163" s="450">
        <v>39</v>
      </c>
      <c r="CN163" s="450">
        <v>74</v>
      </c>
      <c r="CO163" s="450">
        <v>22</v>
      </c>
      <c r="CP163" s="450">
        <v>50</v>
      </c>
      <c r="CQ163" s="450">
        <v>1099</v>
      </c>
      <c r="CR163" s="450">
        <v>333</v>
      </c>
      <c r="CS163" s="450">
        <v>0</v>
      </c>
      <c r="CT163" s="450">
        <v>154</v>
      </c>
      <c r="CU163" s="450">
        <v>0</v>
      </c>
      <c r="CV163" s="450">
        <v>7</v>
      </c>
      <c r="CW163" s="447">
        <v>2038712.1587261145</v>
      </c>
      <c r="CX163" s="452">
        <v>1.0901049046244295</v>
      </c>
      <c r="CY163" s="452">
        <v>1.116666666666667</v>
      </c>
      <c r="CZ163" s="447">
        <v>2222410.123344796</v>
      </c>
      <c r="DA163" s="454">
        <v>832.67520544953</v>
      </c>
      <c r="DB163" s="449">
        <v>2669</v>
      </c>
      <c r="DC163" s="452">
        <v>0.9877107530910453</v>
      </c>
      <c r="DD163" s="454">
        <v>333.2</v>
      </c>
      <c r="DE163" s="447">
        <v>63683</v>
      </c>
      <c r="DF163" s="454">
        <v>60.7443762342041</v>
      </c>
      <c r="DG163" s="454">
        <v>63.35638441227487</v>
      </c>
      <c r="DH163" s="454">
        <v>64.7502248693449</v>
      </c>
      <c r="DI163" s="454">
        <v>66.17472981647047</v>
      </c>
      <c r="DJ163" s="454">
        <v>68.358495900414</v>
      </c>
      <c r="DK163" s="454">
        <v>70.8194017528289</v>
      </c>
      <c r="DL163" s="454">
        <v>73.08562260891941</v>
      </c>
      <c r="DM163" s="454">
        <v>76.0821331358851</v>
      </c>
      <c r="DN163" s="454">
        <v>79.42974699386403</v>
      </c>
      <c r="DO163" s="454">
        <v>83.79838307852654</v>
      </c>
      <c r="DP163" s="454">
        <v>83.0441976308198</v>
      </c>
      <c r="DQ163" s="454">
        <v>87.2794517099916</v>
      </c>
      <c r="DR163" s="454">
        <v>92.6034982643011</v>
      </c>
      <c r="DS163" s="454">
        <v>50.03</v>
      </c>
      <c r="DT163" s="454">
        <v>52.49261648693448</v>
      </c>
      <c r="DU163" s="454">
        <v>55.03937357929408</v>
      </c>
      <c r="DV163" s="454">
        <v>58.29352578153618</v>
      </c>
      <c r="DW163" s="454">
        <v>61.88170828726539</v>
      </c>
      <c r="DX163" s="454">
        <v>65.3992062285348</v>
      </c>
      <c r="DY163" s="454">
        <v>69.68088557430079</v>
      </c>
      <c r="DZ163" s="454">
        <v>73.48938925671379</v>
      </c>
      <c r="EA163" s="454">
        <v>75.67093975972115</v>
      </c>
      <c r="EB163" s="454">
        <v>77.61345059469673</v>
      </c>
      <c r="EC163" s="454">
        <v>82.71327960201933</v>
      </c>
      <c r="ED163" s="454">
        <v>88.96996680938214</v>
      </c>
      <c r="EE163" s="454">
        <v>-1.49</v>
      </c>
      <c r="EF163" s="454">
        <v>87.47996680938215</v>
      </c>
      <c r="EG163" s="454">
        <v>4548.958274087871</v>
      </c>
      <c r="EH163" s="447">
        <v>11898346.240869718</v>
      </c>
      <c r="EI163" s="454">
        <v>50.03</v>
      </c>
      <c r="EJ163" s="454">
        <v>52.49261648693448</v>
      </c>
      <c r="EK163" s="454">
        <v>55.03937357929408</v>
      </c>
      <c r="EL163" s="454">
        <v>58.29352578153618</v>
      </c>
      <c r="EM163" s="454">
        <v>61.88170828726539</v>
      </c>
      <c r="EN163" s="454">
        <v>65.3992062285348</v>
      </c>
      <c r="EO163" s="454">
        <v>69.68088557430079</v>
      </c>
      <c r="EP163" s="454">
        <v>73.48938925671379</v>
      </c>
      <c r="EQ163" s="454">
        <v>75.67093975972115</v>
      </c>
      <c r="ER163" s="454">
        <v>77.61345059469673</v>
      </c>
      <c r="ES163" s="454">
        <v>82.71327960201933</v>
      </c>
      <c r="ET163" s="454">
        <v>88.96996680938214</v>
      </c>
      <c r="EU163" s="447">
        <v>2421672</v>
      </c>
      <c r="EV163" s="447">
        <v>0</v>
      </c>
      <c r="EW163" s="447">
        <v>0</v>
      </c>
      <c r="EX163" s="447">
        <v>0</v>
      </c>
      <c r="EY163" s="447">
        <v>0</v>
      </c>
      <c r="EZ163" s="447">
        <v>0</v>
      </c>
      <c r="FA163" s="447">
        <v>0</v>
      </c>
      <c r="FB163" s="447">
        <v>0</v>
      </c>
      <c r="FC163" s="447">
        <v>0</v>
      </c>
      <c r="FD163" s="447">
        <v>2421672</v>
      </c>
      <c r="FE163" s="447">
        <v>41706.26038830035</v>
      </c>
      <c r="FF163" s="447">
        <v>0</v>
      </c>
      <c r="FG163" s="447">
        <v>0</v>
      </c>
      <c r="FH163" s="447">
        <v>0</v>
      </c>
      <c r="FI163" s="456">
        <v>0</v>
      </c>
      <c r="FJ163" s="447">
        <v>0</v>
      </c>
      <c r="FK163" s="471">
        <v>0</v>
      </c>
      <c r="FL163" s="446">
        <v>87.12</v>
      </c>
      <c r="FM163" s="450">
        <v>83.12</v>
      </c>
      <c r="FN163" s="450">
        <v>81.63</v>
      </c>
      <c r="FO163" s="450">
        <v>-1.49</v>
      </c>
      <c r="FP163" s="472">
        <v>80.58</v>
      </c>
      <c r="FQ163" s="446">
        <v>0</v>
      </c>
      <c r="FR163" s="450">
        <v>0</v>
      </c>
      <c r="FS163" s="450">
        <v>0</v>
      </c>
      <c r="FT163" s="450">
        <v>0</v>
      </c>
      <c r="FU163" s="450">
        <v>0</v>
      </c>
      <c r="FV163" s="450">
        <v>0</v>
      </c>
      <c r="FW163" s="450">
        <v>0</v>
      </c>
      <c r="FX163" s="450">
        <v>0</v>
      </c>
      <c r="FY163" s="450">
        <v>0</v>
      </c>
      <c r="FZ163" s="450">
        <v>0</v>
      </c>
      <c r="GA163" s="450">
        <v>0</v>
      </c>
      <c r="GB163" s="450">
        <v>0</v>
      </c>
      <c r="GC163" s="450">
        <v>0</v>
      </c>
      <c r="GD163" s="450">
        <v>0</v>
      </c>
      <c r="GE163" s="450">
        <v>0</v>
      </c>
      <c r="GF163" s="450">
        <v>0</v>
      </c>
      <c r="GG163" s="450">
        <v>0</v>
      </c>
      <c r="GH163" s="450">
        <v>0</v>
      </c>
      <c r="GI163" s="450">
        <v>0</v>
      </c>
      <c r="GJ163" s="450">
        <v>0</v>
      </c>
      <c r="GK163" s="450">
        <v>0</v>
      </c>
      <c r="GL163" s="450">
        <v>0</v>
      </c>
      <c r="GM163" s="450">
        <v>0</v>
      </c>
      <c r="GN163" s="450">
        <v>0</v>
      </c>
      <c r="GO163" s="450">
        <v>0</v>
      </c>
      <c r="GP163" s="450">
        <v>0</v>
      </c>
      <c r="GQ163" s="450">
        <v>0</v>
      </c>
      <c r="GR163" s="450">
        <v>0</v>
      </c>
      <c r="GS163" s="450">
        <v>0</v>
      </c>
      <c r="GT163" s="450">
        <v>0</v>
      </c>
      <c r="GU163" s="450">
        <v>0</v>
      </c>
      <c r="GV163" s="450">
        <v>0</v>
      </c>
      <c r="GW163" s="450">
        <v>0</v>
      </c>
      <c r="GX163" s="450">
        <v>2888760</v>
      </c>
      <c r="GY163" s="450">
        <v>2888760</v>
      </c>
      <c r="GZ163" s="450">
        <v>0</v>
      </c>
      <c r="HA163" s="450" t="s">
        <v>888</v>
      </c>
      <c r="HB163" s="450" t="s">
        <v>888</v>
      </c>
      <c r="HC163" s="450">
        <v>0</v>
      </c>
      <c r="HD163" s="450">
        <v>0</v>
      </c>
      <c r="HE163" s="450">
        <v>0</v>
      </c>
      <c r="HF163" s="450">
        <v>0</v>
      </c>
      <c r="HG163" s="472">
        <v>0</v>
      </c>
    </row>
    <row r="164" spans="2:215" ht="12.75">
      <c r="B164" s="445" t="s">
        <v>9</v>
      </c>
      <c r="C164" s="446">
        <v>6015</v>
      </c>
      <c r="D164" s="447">
        <v>1432295</v>
      </c>
      <c r="E164" s="447">
        <v>1228909.11</v>
      </c>
      <c r="F164" s="447">
        <v>164028.58532594464</v>
      </c>
      <c r="G164" s="447">
        <v>203385.89</v>
      </c>
      <c r="H164" s="448">
        <v>0.3972319201995013</v>
      </c>
      <c r="I164" s="449">
        <v>1882.35</v>
      </c>
      <c r="J164" s="449">
        <v>507</v>
      </c>
      <c r="K164" s="447">
        <v>1392937.6953259446</v>
      </c>
      <c r="L164" s="447">
        <v>1114350.1562607556</v>
      </c>
      <c r="M164" s="447">
        <v>297734.3534707664</v>
      </c>
      <c r="N164" s="447">
        <v>278587.53906518884</v>
      </c>
      <c r="O164" s="450">
        <v>1.068728179551122</v>
      </c>
      <c r="P164" s="451">
        <v>0.9471321695760598</v>
      </c>
      <c r="Q164" s="452">
        <v>0.05286783042394015</v>
      </c>
      <c r="R164" s="447">
        <v>1412084.509731522</v>
      </c>
      <c r="S164" s="447">
        <v>954569.128578509</v>
      </c>
      <c r="T164" s="447">
        <v>132644.71680264382</v>
      </c>
      <c r="U164" s="447">
        <v>246723.57173949978</v>
      </c>
      <c r="V164" s="447">
        <v>321955.26821878704</v>
      </c>
      <c r="W164" s="450">
        <v>0.7663287297781908</v>
      </c>
      <c r="X164" s="452">
        <v>13.452518495417626</v>
      </c>
      <c r="Y164" s="447">
        <v>132644.71680264382</v>
      </c>
      <c r="Z164" s="447">
        <v>135560.1129342261</v>
      </c>
      <c r="AA164" s="448">
        <v>0.9784937023990468</v>
      </c>
      <c r="AB164" s="448">
        <v>0.0769742310889443</v>
      </c>
      <c r="AC164" s="449">
        <v>448</v>
      </c>
      <c r="AD164" s="449">
        <v>478</v>
      </c>
      <c r="AE164" s="447">
        <v>1333937.4171206525</v>
      </c>
      <c r="AF164" s="447">
        <v>0</v>
      </c>
      <c r="AG164" s="451">
        <v>0</v>
      </c>
      <c r="AH164" s="450">
        <v>0.06637834825378355</v>
      </c>
      <c r="AI164" s="452">
        <v>0.05589786544442177</v>
      </c>
      <c r="AJ164" s="447">
        <v>1333937.4171206525</v>
      </c>
      <c r="AK164" s="453">
        <v>1</v>
      </c>
      <c r="AL164" s="447">
        <v>1333937.4171206525</v>
      </c>
      <c r="AM164" s="447">
        <v>3138036.998846013</v>
      </c>
      <c r="AN164" s="447">
        <v>3107063.9526088056</v>
      </c>
      <c r="AO164" s="447">
        <v>2975038.9336852054</v>
      </c>
      <c r="AP164" s="447">
        <v>3107063.9526088056</v>
      </c>
      <c r="AQ164" s="447">
        <v>24060</v>
      </c>
      <c r="AR164" s="447">
        <v>3131123.9526088056</v>
      </c>
      <c r="AS164" s="454">
        <v>520.55261057503</v>
      </c>
      <c r="AT164" s="450">
        <v>6014</v>
      </c>
      <c r="AU164" s="450">
        <v>61</v>
      </c>
      <c r="AV164" s="450">
        <v>949</v>
      </c>
      <c r="AW164" s="450">
        <v>132</v>
      </c>
      <c r="AX164" s="450">
        <v>6</v>
      </c>
      <c r="AY164" s="450">
        <v>469</v>
      </c>
      <c r="AZ164" s="450">
        <v>92</v>
      </c>
      <c r="BA164" s="450">
        <v>427</v>
      </c>
      <c r="BB164" s="450">
        <v>899</v>
      </c>
      <c r="BC164" s="450">
        <v>125</v>
      </c>
      <c r="BD164" s="450">
        <v>1672</v>
      </c>
      <c r="BE164" s="450">
        <v>318</v>
      </c>
      <c r="BF164" s="450">
        <v>0</v>
      </c>
      <c r="BG164" s="450">
        <v>864</v>
      </c>
      <c r="BH164" s="450">
        <v>0</v>
      </c>
      <c r="BI164" s="450">
        <v>0</v>
      </c>
      <c r="BJ164" s="452">
        <v>1.3100185859815834</v>
      </c>
      <c r="BK164" s="452">
        <v>9.409793297518362</v>
      </c>
      <c r="BL164" s="452">
        <v>6.516145612256978</v>
      </c>
      <c r="BM164" s="452">
        <v>5.787295370522767</v>
      </c>
      <c r="BN164" s="449">
        <v>5696</v>
      </c>
      <c r="BO164" s="449">
        <v>318</v>
      </c>
      <c r="BP164" s="447">
        <v>1662353.3247556742</v>
      </c>
      <c r="BQ164" s="447">
        <v>6238999</v>
      </c>
      <c r="BR164" s="447">
        <v>8226985</v>
      </c>
      <c r="BS164" s="448">
        <v>0.07698703026272032</v>
      </c>
      <c r="BT164" s="449">
        <v>448</v>
      </c>
      <c r="BU164" s="449">
        <v>478</v>
      </c>
      <c r="BV164" s="447">
        <v>633371.1431659461</v>
      </c>
      <c r="BW164" s="448">
        <v>0.01074078993923067</v>
      </c>
      <c r="BX164" s="447">
        <v>9606.91557998283</v>
      </c>
      <c r="BY164" s="447">
        <v>8544330.383501604</v>
      </c>
      <c r="BZ164" s="455">
        <v>1.0033333333333332</v>
      </c>
      <c r="CA164" s="447">
        <v>8572811.48477994</v>
      </c>
      <c r="CB164" s="447">
        <v>6446986.610687807</v>
      </c>
      <c r="CC164" s="447">
        <v>6439096.011439234</v>
      </c>
      <c r="CD164" s="447">
        <v>6174946.134681062</v>
      </c>
      <c r="CE164" s="447">
        <v>6439096.011439234</v>
      </c>
      <c r="CF164" s="454">
        <v>1070.6844049616286</v>
      </c>
      <c r="CG164" s="450">
        <v>6014</v>
      </c>
      <c r="CH164" s="450">
        <v>61</v>
      </c>
      <c r="CI164" s="450">
        <v>949</v>
      </c>
      <c r="CJ164" s="450">
        <v>132</v>
      </c>
      <c r="CK164" s="450">
        <v>6</v>
      </c>
      <c r="CL164" s="450">
        <v>469</v>
      </c>
      <c r="CM164" s="450">
        <v>92</v>
      </c>
      <c r="CN164" s="450">
        <v>427</v>
      </c>
      <c r="CO164" s="450">
        <v>899</v>
      </c>
      <c r="CP164" s="450">
        <v>125</v>
      </c>
      <c r="CQ164" s="450">
        <v>1672</v>
      </c>
      <c r="CR164" s="450">
        <v>318</v>
      </c>
      <c r="CS164" s="450">
        <v>0</v>
      </c>
      <c r="CT164" s="450">
        <v>864</v>
      </c>
      <c r="CU164" s="450">
        <v>0</v>
      </c>
      <c r="CV164" s="450">
        <v>0</v>
      </c>
      <c r="CW164" s="447">
        <v>4159136.5801900853</v>
      </c>
      <c r="CX164" s="452">
        <v>0.9794673919162781</v>
      </c>
      <c r="CY164" s="452">
        <v>1.0033333333333332</v>
      </c>
      <c r="CZ164" s="447">
        <v>4073738.6588223707</v>
      </c>
      <c r="DA164" s="454">
        <v>677.3758993718608</v>
      </c>
      <c r="DB164" s="449">
        <v>6015</v>
      </c>
      <c r="DC164" s="452">
        <v>1.007281795511222</v>
      </c>
      <c r="DD164" s="454">
        <v>299.7</v>
      </c>
      <c r="DE164" s="447">
        <v>43469</v>
      </c>
      <c r="DF164" s="454">
        <v>50.796924307815424</v>
      </c>
      <c r="DG164" s="454">
        <v>52.98119205305148</v>
      </c>
      <c r="DH164" s="454">
        <v>54.146778278218605</v>
      </c>
      <c r="DI164" s="454">
        <v>55.3380074003394</v>
      </c>
      <c r="DJ164" s="454">
        <v>57.164161644550596</v>
      </c>
      <c r="DK164" s="454">
        <v>59.2220714637544</v>
      </c>
      <c r="DL164" s="454">
        <v>61.117177750594536</v>
      </c>
      <c r="DM164" s="454">
        <v>63.62298203836891</v>
      </c>
      <c r="DN164" s="454">
        <v>66.42239324805713</v>
      </c>
      <c r="DO164" s="454">
        <v>70.07562487670027</v>
      </c>
      <c r="DP164" s="454">
        <v>69.44494425280998</v>
      </c>
      <c r="DQ164" s="454">
        <v>72.98663640970328</v>
      </c>
      <c r="DR164" s="454">
        <v>77.43882123069518</v>
      </c>
      <c r="DS164" s="454">
        <v>41.42</v>
      </c>
      <c r="DT164" s="454">
        <v>43.51279382782185</v>
      </c>
      <c r="DU164" s="454">
        <v>45.677623304067865</v>
      </c>
      <c r="DV164" s="454">
        <v>48.43238196953317</v>
      </c>
      <c r="DW164" s="454">
        <v>51.46825111233893</v>
      </c>
      <c r="DX164" s="454">
        <v>54.44889224837723</v>
      </c>
      <c r="DY164" s="454">
        <v>58.06963387212233</v>
      </c>
      <c r="DZ164" s="454">
        <v>61.2688861497803</v>
      </c>
      <c r="EA164" s="454">
        <v>63.10180274995383</v>
      </c>
      <c r="EB164" s="454">
        <v>64.78504539413119</v>
      </c>
      <c r="EC164" s="454">
        <v>69.06859344932616</v>
      </c>
      <c r="ED164" s="454">
        <v>74.32103854497508</v>
      </c>
      <c r="EE164" s="454">
        <v>-0.64</v>
      </c>
      <c r="EF164" s="454">
        <v>73.68103854497508</v>
      </c>
      <c r="EG164" s="454">
        <v>3831.414004338704</v>
      </c>
      <c r="EH164" s="447">
        <v>22585036.13137536</v>
      </c>
      <c r="EI164" s="454">
        <v>43.94</v>
      </c>
      <c r="EJ164" s="454">
        <v>45.83068982782185</v>
      </c>
      <c r="EK164" s="454">
        <v>47.783303048067864</v>
      </c>
      <c r="EL164" s="454">
        <v>50.33565324814116</v>
      </c>
      <c r="EM164" s="454">
        <v>53.15835600774283</v>
      </c>
      <c r="EN164" s="454">
        <v>55.90238245842458</v>
      </c>
      <c r="EO164" s="454">
        <v>59.280100519049775</v>
      </c>
      <c r="EP164" s="454">
        <v>62.39219919812898</v>
      </c>
      <c r="EQ164" s="454">
        <v>64.1730689603957</v>
      </c>
      <c r="ER164" s="454">
        <v>65.50086408016186</v>
      </c>
      <c r="ES164" s="454">
        <v>69.67045380054074</v>
      </c>
      <c r="ET164" s="454">
        <v>74.79996891945409</v>
      </c>
      <c r="EU164" s="447">
        <v>30585299</v>
      </c>
      <c r="EV164" s="447">
        <v>0</v>
      </c>
      <c r="EW164" s="447">
        <v>0</v>
      </c>
      <c r="EX164" s="447">
        <v>0</v>
      </c>
      <c r="EY164" s="447">
        <v>0</v>
      </c>
      <c r="EZ164" s="447">
        <v>0</v>
      </c>
      <c r="FA164" s="447">
        <v>0</v>
      </c>
      <c r="FB164" s="447">
        <v>0</v>
      </c>
      <c r="FC164" s="447">
        <v>0</v>
      </c>
      <c r="FD164" s="447">
        <v>30585299</v>
      </c>
      <c r="FE164" s="447">
        <v>55473.60899499392</v>
      </c>
      <c r="FF164" s="447">
        <v>0</v>
      </c>
      <c r="FG164" s="447">
        <v>0</v>
      </c>
      <c r="FH164" s="447">
        <v>0</v>
      </c>
      <c r="FI164" s="456">
        <v>0</v>
      </c>
      <c r="FJ164" s="447">
        <v>0</v>
      </c>
      <c r="FK164" s="471">
        <v>0</v>
      </c>
      <c r="FL164" s="446">
        <v>73.01</v>
      </c>
      <c r="FM164" s="450">
        <v>69.15</v>
      </c>
      <c r="FN164" s="450">
        <v>67.93</v>
      </c>
      <c r="FO164" s="450">
        <v>-1.22</v>
      </c>
      <c r="FP164" s="472">
        <v>68.51</v>
      </c>
      <c r="FQ164" s="446">
        <v>38951</v>
      </c>
      <c r="FR164" s="450">
        <v>0</v>
      </c>
      <c r="FS164" s="450">
        <v>0</v>
      </c>
      <c r="FT164" s="450">
        <v>0</v>
      </c>
      <c r="FU164" s="450">
        <v>0</v>
      </c>
      <c r="FV164" s="450">
        <v>0</v>
      </c>
      <c r="FW164" s="450">
        <v>0</v>
      </c>
      <c r="FX164" s="450">
        <v>0</v>
      </c>
      <c r="FY164" s="450">
        <v>0</v>
      </c>
      <c r="FZ164" s="450">
        <v>0</v>
      </c>
      <c r="GA164" s="450">
        <v>0</v>
      </c>
      <c r="GB164" s="450">
        <v>0</v>
      </c>
      <c r="GC164" s="450">
        <v>0</v>
      </c>
      <c r="GD164" s="450">
        <v>0</v>
      </c>
      <c r="GE164" s="450">
        <v>0</v>
      </c>
      <c r="GF164" s="450">
        <v>0</v>
      </c>
      <c r="GG164" s="450">
        <v>0</v>
      </c>
      <c r="GH164" s="450">
        <v>0</v>
      </c>
      <c r="GI164" s="450">
        <v>0</v>
      </c>
      <c r="GJ164" s="450">
        <v>0</v>
      </c>
      <c r="GK164" s="450">
        <v>0</v>
      </c>
      <c r="GL164" s="450">
        <v>0</v>
      </c>
      <c r="GM164" s="450">
        <v>0</v>
      </c>
      <c r="GN164" s="450">
        <v>0</v>
      </c>
      <c r="GO164" s="450">
        <v>0</v>
      </c>
      <c r="GP164" s="450">
        <v>0</v>
      </c>
      <c r="GQ164" s="450">
        <v>0</v>
      </c>
      <c r="GR164" s="450">
        <v>0</v>
      </c>
      <c r="GS164" s="450">
        <v>0</v>
      </c>
      <c r="GT164" s="450">
        <v>0</v>
      </c>
      <c r="GU164" s="450">
        <v>0</v>
      </c>
      <c r="GV164" s="450">
        <v>0</v>
      </c>
      <c r="GW164" s="450">
        <v>0</v>
      </c>
      <c r="GX164" s="450">
        <v>14451342</v>
      </c>
      <c r="GY164" s="450">
        <v>14451342</v>
      </c>
      <c r="GZ164" s="450">
        <v>18</v>
      </c>
      <c r="HA164" s="450" t="s">
        <v>888</v>
      </c>
      <c r="HB164" s="450" t="s">
        <v>888</v>
      </c>
      <c r="HC164" s="450">
        <v>18</v>
      </c>
      <c r="HD164" s="450">
        <v>0</v>
      </c>
      <c r="HE164" s="450">
        <v>0</v>
      </c>
      <c r="HF164" s="450">
        <v>0</v>
      </c>
      <c r="HG164" s="472">
        <v>0</v>
      </c>
    </row>
    <row r="165" spans="2:215" ht="12.75">
      <c r="B165" s="445" t="s">
        <v>10</v>
      </c>
      <c r="C165" s="446">
        <v>3241.98</v>
      </c>
      <c r="D165" s="447">
        <v>786181.34</v>
      </c>
      <c r="E165" s="447">
        <v>674543.58972</v>
      </c>
      <c r="F165" s="447">
        <v>125583.96595985717</v>
      </c>
      <c r="G165" s="447">
        <v>111637.75028000002</v>
      </c>
      <c r="H165" s="448">
        <v>0.5540749788709369</v>
      </c>
      <c r="I165" s="449">
        <v>1610.01</v>
      </c>
      <c r="J165" s="449">
        <v>186.29</v>
      </c>
      <c r="K165" s="447">
        <v>800127.5556798573</v>
      </c>
      <c r="L165" s="447">
        <v>640102.0445438859</v>
      </c>
      <c r="M165" s="447">
        <v>188324.83008441498</v>
      </c>
      <c r="N165" s="447">
        <v>160025.5111359714</v>
      </c>
      <c r="O165" s="450">
        <v>1.1768425468386603</v>
      </c>
      <c r="P165" s="451">
        <v>0.86397818617018</v>
      </c>
      <c r="Q165" s="452">
        <v>0.1360279828993393</v>
      </c>
      <c r="R165" s="447">
        <v>828426.8746283008</v>
      </c>
      <c r="S165" s="447">
        <v>560016.5672487314</v>
      </c>
      <c r="T165" s="447">
        <v>114132.37163021628</v>
      </c>
      <c r="U165" s="447">
        <v>139767.44238552466</v>
      </c>
      <c r="V165" s="447">
        <v>188881.32741525257</v>
      </c>
      <c r="W165" s="450">
        <v>0.7399749053978648</v>
      </c>
      <c r="X165" s="452">
        <v>12.989890257528204</v>
      </c>
      <c r="Y165" s="447">
        <v>114132.37163021628</v>
      </c>
      <c r="Z165" s="447">
        <v>79528.97996431688</v>
      </c>
      <c r="AA165" s="448">
        <v>1.435104180657482</v>
      </c>
      <c r="AB165" s="448">
        <v>0.11289397220217275</v>
      </c>
      <c r="AC165" s="449">
        <v>367</v>
      </c>
      <c r="AD165" s="449">
        <v>365</v>
      </c>
      <c r="AE165" s="447">
        <v>813916.3812644723</v>
      </c>
      <c r="AF165" s="447">
        <v>18040.159637931793</v>
      </c>
      <c r="AG165" s="451">
        <v>0.25</v>
      </c>
      <c r="AH165" s="450">
        <v>0.17984574887494992</v>
      </c>
      <c r="AI165" s="452">
        <v>0.15144988894462585</v>
      </c>
      <c r="AJ165" s="447">
        <v>831956.5409024041</v>
      </c>
      <c r="AK165" s="453">
        <v>1.0076</v>
      </c>
      <c r="AL165" s="447">
        <v>838279.4106132624</v>
      </c>
      <c r="AM165" s="447">
        <v>1972020.405240134</v>
      </c>
      <c r="AN165" s="447">
        <v>1952556.1735517632</v>
      </c>
      <c r="AO165" s="447">
        <v>1907690.2129093215</v>
      </c>
      <c r="AP165" s="447">
        <v>1952556.1735517632</v>
      </c>
      <c r="AQ165" s="447">
        <v>12967.92</v>
      </c>
      <c r="AR165" s="447">
        <v>1965524.093551763</v>
      </c>
      <c r="AS165" s="454">
        <v>606.2727387435342</v>
      </c>
      <c r="AT165" s="450">
        <v>3218</v>
      </c>
      <c r="AU165" s="450">
        <v>23</v>
      </c>
      <c r="AV165" s="450">
        <v>221</v>
      </c>
      <c r="AW165" s="450">
        <v>135</v>
      </c>
      <c r="AX165" s="450">
        <v>8</v>
      </c>
      <c r="AY165" s="450">
        <v>361</v>
      </c>
      <c r="AZ165" s="450">
        <v>46</v>
      </c>
      <c r="BA165" s="450">
        <v>136</v>
      </c>
      <c r="BB165" s="450">
        <v>124</v>
      </c>
      <c r="BC165" s="450">
        <v>22</v>
      </c>
      <c r="BD165" s="450">
        <v>1346</v>
      </c>
      <c r="BE165" s="450">
        <v>441</v>
      </c>
      <c r="BF165" s="450">
        <v>0</v>
      </c>
      <c r="BG165" s="450">
        <v>355</v>
      </c>
      <c r="BH165" s="450">
        <v>0</v>
      </c>
      <c r="BI165" s="450">
        <v>0</v>
      </c>
      <c r="BJ165" s="452">
        <v>1.3961429504391407</v>
      </c>
      <c r="BK165" s="452">
        <v>10.191538570228081</v>
      </c>
      <c r="BL165" s="452">
        <v>6.590344242911005</v>
      </c>
      <c r="BM165" s="452">
        <v>7.202388654634153</v>
      </c>
      <c r="BN165" s="449">
        <v>2777</v>
      </c>
      <c r="BO165" s="449">
        <v>441</v>
      </c>
      <c r="BP165" s="447">
        <v>845367.3487768006</v>
      </c>
      <c r="BQ165" s="447">
        <v>3401875</v>
      </c>
      <c r="BR165" s="447">
        <v>4154324</v>
      </c>
      <c r="BS165" s="448">
        <v>0.11373523927905531</v>
      </c>
      <c r="BT165" s="449">
        <v>367</v>
      </c>
      <c r="BU165" s="449">
        <v>365</v>
      </c>
      <c r="BV165" s="447">
        <v>472493.03418272216</v>
      </c>
      <c r="BW165" s="448">
        <v>0.013783366158004405</v>
      </c>
      <c r="BX165" s="447">
        <v>7144.72191065631</v>
      </c>
      <c r="BY165" s="447">
        <v>4726880.10487018</v>
      </c>
      <c r="BZ165" s="455">
        <v>1.04</v>
      </c>
      <c r="CA165" s="447">
        <v>4915955.309064987</v>
      </c>
      <c r="CB165" s="447">
        <v>3696931.6440177336</v>
      </c>
      <c r="CC165" s="447">
        <v>3692406.8934925883</v>
      </c>
      <c r="CD165" s="447">
        <v>3649710.933891908</v>
      </c>
      <c r="CE165" s="447">
        <v>3692406.8934925883</v>
      </c>
      <c r="CF165" s="454">
        <v>1147.4229004016745</v>
      </c>
      <c r="CG165" s="450">
        <v>3218</v>
      </c>
      <c r="CH165" s="450">
        <v>23</v>
      </c>
      <c r="CI165" s="450">
        <v>221</v>
      </c>
      <c r="CJ165" s="450">
        <v>135</v>
      </c>
      <c r="CK165" s="450">
        <v>8</v>
      </c>
      <c r="CL165" s="450">
        <v>361</v>
      </c>
      <c r="CM165" s="450">
        <v>46</v>
      </c>
      <c r="CN165" s="450">
        <v>136</v>
      </c>
      <c r="CO165" s="450">
        <v>124</v>
      </c>
      <c r="CP165" s="450">
        <v>22</v>
      </c>
      <c r="CQ165" s="450">
        <v>1346</v>
      </c>
      <c r="CR165" s="450">
        <v>441</v>
      </c>
      <c r="CS165" s="450">
        <v>0</v>
      </c>
      <c r="CT165" s="450">
        <v>355</v>
      </c>
      <c r="CU165" s="450">
        <v>0</v>
      </c>
      <c r="CV165" s="450">
        <v>0</v>
      </c>
      <c r="CW165" s="447">
        <v>2431193.5640488034</v>
      </c>
      <c r="CX165" s="452">
        <v>1.0152618813218566</v>
      </c>
      <c r="CY165" s="452">
        <v>1.04</v>
      </c>
      <c r="CZ165" s="447">
        <v>2468298.1516937776</v>
      </c>
      <c r="DA165" s="454">
        <v>767.0286363249775</v>
      </c>
      <c r="DB165" s="449">
        <v>3241.98</v>
      </c>
      <c r="DC165" s="452">
        <v>0.9852497547794867</v>
      </c>
      <c r="DD165" s="454">
        <v>325.9</v>
      </c>
      <c r="DE165" s="447">
        <v>39388</v>
      </c>
      <c r="DF165" s="454">
        <v>51.77419362851079</v>
      </c>
      <c r="DG165" s="454">
        <v>54.00048395453675</v>
      </c>
      <c r="DH165" s="454">
        <v>55.18849460153655</v>
      </c>
      <c r="DI165" s="454">
        <v>56.40264148277034</v>
      </c>
      <c r="DJ165" s="454">
        <v>58.26392865170176</v>
      </c>
      <c r="DK165" s="454">
        <v>60.361430083163015</v>
      </c>
      <c r="DL165" s="454">
        <v>62.29299584582422</v>
      </c>
      <c r="DM165" s="454">
        <v>64.847008675503</v>
      </c>
      <c r="DN165" s="454">
        <v>67.70027705722512</v>
      </c>
      <c r="DO165" s="454">
        <v>71.4237922953725</v>
      </c>
      <c r="DP165" s="454">
        <v>70.78097816471414</v>
      </c>
      <c r="DQ165" s="454">
        <v>74.39080805111456</v>
      </c>
      <c r="DR165" s="454">
        <v>78.92864734223255</v>
      </c>
      <c r="DS165" s="454">
        <v>40.94</v>
      </c>
      <c r="DT165" s="454">
        <v>43.17546146015365</v>
      </c>
      <c r="DU165" s="454">
        <v>45.489468264554056</v>
      </c>
      <c r="DV165" s="454">
        <v>48.39978420908651</v>
      </c>
      <c r="DW165" s="454">
        <v>51.602069818120675</v>
      </c>
      <c r="DX165" s="454">
        <v>54.759946017887806</v>
      </c>
      <c r="DY165" s="454">
        <v>58.573484778797564</v>
      </c>
      <c r="DZ165" s="454">
        <v>61.87844688108248</v>
      </c>
      <c r="EA165" s="454">
        <v>63.77299832861716</v>
      </c>
      <c r="EB165" s="454">
        <v>65.66872760458942</v>
      </c>
      <c r="EC165" s="454">
        <v>70.0924277801617</v>
      </c>
      <c r="ED165" s="454">
        <v>75.50821124162181</v>
      </c>
      <c r="EE165" s="454">
        <v>-1.88</v>
      </c>
      <c r="EF165" s="454">
        <v>73.62821124162181</v>
      </c>
      <c r="EG165" s="454">
        <v>3828.666984564334</v>
      </c>
      <c r="EH165" s="447">
        <v>12164212.55480552</v>
      </c>
      <c r="EI165" s="454">
        <v>45.3</v>
      </c>
      <c r="EJ165" s="454">
        <v>47.18578946015364</v>
      </c>
      <c r="EK165" s="454">
        <v>49.13262845655405</v>
      </c>
      <c r="EL165" s="454">
        <v>51.69274562763051</v>
      </c>
      <c r="EM165" s="454">
        <v>54.52621955778775</v>
      </c>
      <c r="EN165" s="454">
        <v>57.27471479400149</v>
      </c>
      <c r="EO165" s="454">
        <v>60.66778421554504</v>
      </c>
      <c r="EP165" s="454">
        <v>63.82195675838414</v>
      </c>
      <c r="EQ165" s="454">
        <v>65.62645891493717</v>
      </c>
      <c r="ER165" s="454">
        <v>66.9072075534361</v>
      </c>
      <c r="ES165" s="454">
        <v>71.13374172115198</v>
      </c>
      <c r="ET165" s="454">
        <v>76.33683681016483</v>
      </c>
      <c r="EU165" s="447">
        <v>24305319</v>
      </c>
      <c r="EV165" s="447">
        <v>0</v>
      </c>
      <c r="EW165" s="447">
        <v>0</v>
      </c>
      <c r="EX165" s="447">
        <v>0</v>
      </c>
      <c r="EY165" s="447">
        <v>0</v>
      </c>
      <c r="EZ165" s="447">
        <v>0</v>
      </c>
      <c r="FA165" s="447">
        <v>0</v>
      </c>
      <c r="FB165" s="447">
        <v>0</v>
      </c>
      <c r="FC165" s="447">
        <v>0</v>
      </c>
      <c r="FD165" s="447">
        <v>24305319</v>
      </c>
      <c r="FE165" s="447">
        <v>52403.73898488963</v>
      </c>
      <c r="FF165" s="447">
        <v>0</v>
      </c>
      <c r="FG165" s="447">
        <v>0</v>
      </c>
      <c r="FH165" s="447">
        <v>17891</v>
      </c>
      <c r="FI165" s="456">
        <v>0.051500000000000004</v>
      </c>
      <c r="FJ165" s="447">
        <v>921.3865000000001</v>
      </c>
      <c r="FK165" s="471">
        <v>921.3865000000001</v>
      </c>
      <c r="FL165" s="446">
        <v>74.4</v>
      </c>
      <c r="FM165" s="450">
        <v>70.45</v>
      </c>
      <c r="FN165" s="450">
        <v>68.57</v>
      </c>
      <c r="FO165" s="450">
        <v>-1.88</v>
      </c>
      <c r="FP165" s="472">
        <v>68.05</v>
      </c>
      <c r="FQ165" s="446">
        <v>0</v>
      </c>
      <c r="FR165" s="450">
        <v>0</v>
      </c>
      <c r="FS165" s="450">
        <v>0</v>
      </c>
      <c r="FT165" s="450">
        <v>0</v>
      </c>
      <c r="FU165" s="450">
        <v>0</v>
      </c>
      <c r="FV165" s="450">
        <v>0</v>
      </c>
      <c r="FW165" s="450">
        <v>0</v>
      </c>
      <c r="FX165" s="450">
        <v>0</v>
      </c>
      <c r="FY165" s="450">
        <v>0</v>
      </c>
      <c r="FZ165" s="450">
        <v>0</v>
      </c>
      <c r="GA165" s="450">
        <v>0</v>
      </c>
      <c r="GB165" s="450">
        <v>0</v>
      </c>
      <c r="GC165" s="450">
        <v>0</v>
      </c>
      <c r="GD165" s="450">
        <v>0</v>
      </c>
      <c r="GE165" s="450">
        <v>0</v>
      </c>
      <c r="GF165" s="450">
        <v>0</v>
      </c>
      <c r="GG165" s="450">
        <v>0</v>
      </c>
      <c r="GH165" s="450">
        <v>0</v>
      </c>
      <c r="GI165" s="450">
        <v>0</v>
      </c>
      <c r="GJ165" s="450">
        <v>0</v>
      </c>
      <c r="GK165" s="450">
        <v>0</v>
      </c>
      <c r="GL165" s="450">
        <v>0</v>
      </c>
      <c r="GM165" s="450">
        <v>0</v>
      </c>
      <c r="GN165" s="450">
        <v>0</v>
      </c>
      <c r="GO165" s="450">
        <v>0</v>
      </c>
      <c r="GP165" s="450">
        <v>0</v>
      </c>
      <c r="GQ165" s="450">
        <v>0</v>
      </c>
      <c r="GR165" s="450">
        <v>0</v>
      </c>
      <c r="GS165" s="450">
        <v>0</v>
      </c>
      <c r="GT165" s="450">
        <v>0</v>
      </c>
      <c r="GU165" s="450">
        <v>0</v>
      </c>
      <c r="GV165" s="450">
        <v>0</v>
      </c>
      <c r="GW165" s="450">
        <v>0</v>
      </c>
      <c r="GX165" s="450">
        <v>18941154</v>
      </c>
      <c r="GY165" s="450">
        <v>18941154</v>
      </c>
      <c r="GZ165" s="450">
        <v>0</v>
      </c>
      <c r="HA165" s="450" t="s">
        <v>888</v>
      </c>
      <c r="HB165" s="450" t="s">
        <v>888</v>
      </c>
      <c r="HC165" s="450">
        <v>0</v>
      </c>
      <c r="HD165" s="450">
        <v>0</v>
      </c>
      <c r="HE165" s="450">
        <v>0</v>
      </c>
      <c r="HF165" s="450">
        <v>0</v>
      </c>
      <c r="HG165" s="472">
        <v>0</v>
      </c>
    </row>
    <row r="166" spans="2:215" ht="12.75">
      <c r="B166" s="445" t="s">
        <v>11</v>
      </c>
      <c r="C166" s="446">
        <v>3063</v>
      </c>
      <c r="D166" s="447">
        <v>744479</v>
      </c>
      <c r="E166" s="447">
        <v>638762.982</v>
      </c>
      <c r="F166" s="447">
        <v>104909.22855902293</v>
      </c>
      <c r="G166" s="447">
        <v>105716.01800000001</v>
      </c>
      <c r="H166" s="448">
        <v>0.4887855044074437</v>
      </c>
      <c r="I166" s="449">
        <v>1286.94</v>
      </c>
      <c r="J166" s="449">
        <v>210.21</v>
      </c>
      <c r="K166" s="447">
        <v>743672.2105590228</v>
      </c>
      <c r="L166" s="447">
        <v>594937.7684472183</v>
      </c>
      <c r="M166" s="447">
        <v>228146.88306173764</v>
      </c>
      <c r="N166" s="447">
        <v>148734.44211180453</v>
      </c>
      <c r="O166" s="450">
        <v>1.5339209924910218</v>
      </c>
      <c r="P166" s="451">
        <v>0.5892915442376755</v>
      </c>
      <c r="Q166" s="452">
        <v>0.4107084557623245</v>
      </c>
      <c r="R166" s="447">
        <v>823084.651508956</v>
      </c>
      <c r="S166" s="447">
        <v>556405.2244200542</v>
      </c>
      <c r="T166" s="447">
        <v>97231.30455131555</v>
      </c>
      <c r="U166" s="447">
        <v>202249.60207690482</v>
      </c>
      <c r="V166" s="447">
        <v>187663.30054404197</v>
      </c>
      <c r="W166" s="450">
        <v>1.0777259138604975</v>
      </c>
      <c r="X166" s="452">
        <v>18.91894069193465</v>
      </c>
      <c r="Y166" s="447">
        <v>97231.30455131555</v>
      </c>
      <c r="Z166" s="447">
        <v>79016.12654485977</v>
      </c>
      <c r="AA166" s="448">
        <v>1.2305248156667676</v>
      </c>
      <c r="AB166" s="448">
        <v>0.09680052236369573</v>
      </c>
      <c r="AC166" s="449">
        <v>271</v>
      </c>
      <c r="AD166" s="449">
        <v>322</v>
      </c>
      <c r="AE166" s="447">
        <v>855886.1310482747</v>
      </c>
      <c r="AF166" s="447">
        <v>76990.20448331484</v>
      </c>
      <c r="AG166" s="451">
        <v>0.75</v>
      </c>
      <c r="AH166" s="450">
        <v>0.32698134802162476</v>
      </c>
      <c r="AI166" s="452">
        <v>0.2753542363643646</v>
      </c>
      <c r="AJ166" s="447">
        <v>932876.3355315896</v>
      </c>
      <c r="AK166" s="453">
        <v>1.0056</v>
      </c>
      <c r="AL166" s="447">
        <v>938100.4430105665</v>
      </c>
      <c r="AM166" s="447">
        <v>2206845.5843717684</v>
      </c>
      <c r="AN166" s="447">
        <v>2185063.5816903915</v>
      </c>
      <c r="AO166" s="447">
        <v>2100371.0961031984</v>
      </c>
      <c r="AP166" s="447">
        <v>2185063.5816903915</v>
      </c>
      <c r="AQ166" s="447">
        <v>12252</v>
      </c>
      <c r="AR166" s="447">
        <v>2197315.5816903915</v>
      </c>
      <c r="AS166" s="454">
        <v>717.3736799511562</v>
      </c>
      <c r="AT166" s="450">
        <v>3053</v>
      </c>
      <c r="AU166" s="450">
        <v>19</v>
      </c>
      <c r="AV166" s="450">
        <v>430</v>
      </c>
      <c r="AW166" s="450">
        <v>137</v>
      </c>
      <c r="AX166" s="450">
        <v>17</v>
      </c>
      <c r="AY166" s="450">
        <v>502</v>
      </c>
      <c r="AZ166" s="450">
        <v>31</v>
      </c>
      <c r="BA166" s="450">
        <v>376</v>
      </c>
      <c r="BB166" s="450">
        <v>95</v>
      </c>
      <c r="BC166" s="450">
        <v>4</v>
      </c>
      <c r="BD166" s="450">
        <v>184</v>
      </c>
      <c r="BE166" s="450">
        <v>853</v>
      </c>
      <c r="BF166" s="450">
        <v>405</v>
      </c>
      <c r="BG166" s="450">
        <v>0</v>
      </c>
      <c r="BH166" s="450">
        <v>0</v>
      </c>
      <c r="BI166" s="450">
        <v>0</v>
      </c>
      <c r="BJ166" s="452">
        <v>2.0580887005462</v>
      </c>
      <c r="BK166" s="452">
        <v>18.172492520862853</v>
      </c>
      <c r="BL166" s="452">
        <v>11.023067233506533</v>
      </c>
      <c r="BM166" s="452">
        <v>14.298850574712645</v>
      </c>
      <c r="BN166" s="449">
        <v>1795</v>
      </c>
      <c r="BO166" s="449">
        <v>1258</v>
      </c>
      <c r="BP166" s="447">
        <v>1362185.1101418128</v>
      </c>
      <c r="BQ166" s="447">
        <v>3553242</v>
      </c>
      <c r="BR166" s="447">
        <v>4400352</v>
      </c>
      <c r="BS166" s="448">
        <v>0.09711758925646904</v>
      </c>
      <c r="BT166" s="449">
        <v>271</v>
      </c>
      <c r="BU166" s="449">
        <v>322</v>
      </c>
      <c r="BV166" s="447">
        <v>427351.5781198821</v>
      </c>
      <c r="BW166" s="448">
        <v>0.019762977875632737</v>
      </c>
      <c r="BX166" s="447">
        <v>17329.97481738992</v>
      </c>
      <c r="BY166" s="447">
        <v>5360108.663079085</v>
      </c>
      <c r="BZ166" s="455">
        <v>1.0666666666666667</v>
      </c>
      <c r="CA166" s="447">
        <v>5717449.240617691</v>
      </c>
      <c r="CB166" s="447">
        <v>4299676.805793614</v>
      </c>
      <c r="CC166" s="447">
        <v>4294414.343092565</v>
      </c>
      <c r="CD166" s="447">
        <v>4107858.6729797283</v>
      </c>
      <c r="CE166" s="447">
        <v>4294414.343092565</v>
      </c>
      <c r="CF166" s="454">
        <v>1406.62114087539</v>
      </c>
      <c r="CG166" s="450">
        <v>3053</v>
      </c>
      <c r="CH166" s="450">
        <v>19</v>
      </c>
      <c r="CI166" s="450">
        <v>430</v>
      </c>
      <c r="CJ166" s="450">
        <v>137</v>
      </c>
      <c r="CK166" s="450">
        <v>17</v>
      </c>
      <c r="CL166" s="450">
        <v>502</v>
      </c>
      <c r="CM166" s="450">
        <v>31</v>
      </c>
      <c r="CN166" s="450">
        <v>376</v>
      </c>
      <c r="CO166" s="450">
        <v>95</v>
      </c>
      <c r="CP166" s="450">
        <v>4</v>
      </c>
      <c r="CQ166" s="450">
        <v>184</v>
      </c>
      <c r="CR166" s="450">
        <v>853</v>
      </c>
      <c r="CS166" s="450">
        <v>405</v>
      </c>
      <c r="CT166" s="450">
        <v>0</v>
      </c>
      <c r="CU166" s="450">
        <v>0</v>
      </c>
      <c r="CV166" s="450">
        <v>0</v>
      </c>
      <c r="CW166" s="447">
        <v>2315990.309302126</v>
      </c>
      <c r="CX166" s="452">
        <v>1.0412942372531862</v>
      </c>
      <c r="CY166" s="452">
        <v>1.0666666666666667</v>
      </c>
      <c r="CZ166" s="447">
        <v>2411627.3626105282</v>
      </c>
      <c r="DA166" s="454">
        <v>789.9205249297505</v>
      </c>
      <c r="DB166" s="449">
        <v>3063</v>
      </c>
      <c r="DC166" s="452">
        <v>1.013581456088802</v>
      </c>
      <c r="DD166" s="454">
        <v>316.4</v>
      </c>
      <c r="DE166" s="447">
        <v>34646</v>
      </c>
      <c r="DF166" s="454">
        <v>50.16451672878266</v>
      </c>
      <c r="DG166" s="454">
        <v>52.32159094812031</v>
      </c>
      <c r="DH166" s="454">
        <v>53.47266594897894</v>
      </c>
      <c r="DI166" s="454">
        <v>54.649064599856466</v>
      </c>
      <c r="DJ166" s="454">
        <v>56.452483731651725</v>
      </c>
      <c r="DK166" s="454">
        <v>58.48477314599118</v>
      </c>
      <c r="DL166" s="454">
        <v>60.35628588666288</v>
      </c>
      <c r="DM166" s="454">
        <v>62.830893608016055</v>
      </c>
      <c r="DN166" s="454">
        <v>65.59545292676874</v>
      </c>
      <c r="DO166" s="454">
        <v>69.20320283774102</v>
      </c>
      <c r="DP166" s="454">
        <v>68.58037401220135</v>
      </c>
      <c r="DQ166" s="454">
        <v>72.0779730868236</v>
      </c>
      <c r="DR166" s="454">
        <v>76.47472944511983</v>
      </c>
      <c r="DS166" s="454">
        <v>41.37</v>
      </c>
      <c r="DT166" s="454">
        <v>43.39939259489788</v>
      </c>
      <c r="DU166" s="454">
        <v>45.49805538397128</v>
      </c>
      <c r="DV166" s="454">
        <v>48.181115276643496</v>
      </c>
      <c r="DW166" s="454">
        <v>51.13979795794387</v>
      </c>
      <c r="DX166" s="454">
        <v>54.0396072249422</v>
      </c>
      <c r="DY166" s="454">
        <v>57.57036361853507</v>
      </c>
      <c r="DZ166" s="454">
        <v>60.713681096530394</v>
      </c>
      <c r="EA166" s="454">
        <v>62.514160728240554</v>
      </c>
      <c r="EB166" s="454">
        <v>64.11076478999745</v>
      </c>
      <c r="EC166" s="454">
        <v>68.31992565279457</v>
      </c>
      <c r="ED166" s="454">
        <v>73.48426319949124</v>
      </c>
      <c r="EE166" s="454">
        <v>-0.34</v>
      </c>
      <c r="EF166" s="454">
        <v>73.14426319949123</v>
      </c>
      <c r="EG166" s="454">
        <v>3803.501686373544</v>
      </c>
      <c r="EH166" s="447">
        <v>11417123.152054923</v>
      </c>
      <c r="EI166" s="454">
        <v>50.25</v>
      </c>
      <c r="EJ166" s="454">
        <v>51.567216594897886</v>
      </c>
      <c r="EK166" s="454">
        <v>52.91806971997128</v>
      </c>
      <c r="EL166" s="454">
        <v>54.8878807345955</v>
      </c>
      <c r="EM166" s="454">
        <v>57.09540568460525</v>
      </c>
      <c r="EN166" s="454">
        <v>59.161429869870986</v>
      </c>
      <c r="EO166" s="454">
        <v>61.83581751723177</v>
      </c>
      <c r="EP166" s="454">
        <v>64.67202231452093</v>
      </c>
      <c r="EQ166" s="454">
        <v>66.28909880313087</v>
      </c>
      <c r="ER166" s="454">
        <v>66.63317349315307</v>
      </c>
      <c r="ES166" s="454">
        <v>70.44076689040782</v>
      </c>
      <c r="ET166" s="454">
        <v>75.17192261432197</v>
      </c>
      <c r="EU166" s="447">
        <v>28348706</v>
      </c>
      <c r="EV166" s="447">
        <v>0</v>
      </c>
      <c r="EW166" s="447">
        <v>0</v>
      </c>
      <c r="EX166" s="447">
        <v>0</v>
      </c>
      <c r="EY166" s="447">
        <v>0</v>
      </c>
      <c r="EZ166" s="447">
        <v>0</v>
      </c>
      <c r="FA166" s="447">
        <v>0</v>
      </c>
      <c r="FB166" s="447">
        <v>0</v>
      </c>
      <c r="FC166" s="447">
        <v>0</v>
      </c>
      <c r="FD166" s="447">
        <v>28348706</v>
      </c>
      <c r="FE166" s="447">
        <v>54380.285485124594</v>
      </c>
      <c r="FF166" s="447">
        <v>0</v>
      </c>
      <c r="FG166" s="447">
        <v>0</v>
      </c>
      <c r="FH166" s="447">
        <v>32876</v>
      </c>
      <c r="FI166" s="456">
        <v>0.0583</v>
      </c>
      <c r="FJ166" s="447">
        <v>1916.6707999999999</v>
      </c>
      <c r="FK166" s="471">
        <v>1916.6707999999999</v>
      </c>
      <c r="FL166" s="446">
        <v>71.98</v>
      </c>
      <c r="FM166" s="450">
        <v>69.77</v>
      </c>
      <c r="FN166" s="450">
        <v>69.28</v>
      </c>
      <c r="FO166" s="450">
        <v>-0.49</v>
      </c>
      <c r="FP166" s="472">
        <v>69.43</v>
      </c>
      <c r="FQ166" s="446">
        <v>0</v>
      </c>
      <c r="FR166" s="450">
        <v>0</v>
      </c>
      <c r="FS166" s="450">
        <v>4274</v>
      </c>
      <c r="FT166" s="450">
        <v>4381</v>
      </c>
      <c r="FU166" s="450">
        <v>4490</v>
      </c>
      <c r="FV166" s="450">
        <v>4602</v>
      </c>
      <c r="FW166" s="450">
        <v>4717</v>
      </c>
      <c r="FX166" s="450">
        <v>4835</v>
      </c>
      <c r="FY166" s="450">
        <v>4956</v>
      </c>
      <c r="FZ166" s="450">
        <v>5080</v>
      </c>
      <c r="GA166" s="450">
        <v>5207</v>
      </c>
      <c r="GB166" s="450">
        <v>5337</v>
      </c>
      <c r="GC166" s="450">
        <v>5471</v>
      </c>
      <c r="GD166" s="450">
        <v>5607</v>
      </c>
      <c r="GE166" s="450">
        <v>5748</v>
      </c>
      <c r="GF166" s="450">
        <v>5891</v>
      </c>
      <c r="GG166" s="450">
        <v>6039</v>
      </c>
      <c r="GH166" s="450">
        <v>6190</v>
      </c>
      <c r="GI166" s="450">
        <v>6344</v>
      </c>
      <c r="GJ166" s="450">
        <v>6503</v>
      </c>
      <c r="GK166" s="450">
        <v>6666</v>
      </c>
      <c r="GL166" s="450">
        <v>6832</v>
      </c>
      <c r="GM166" s="450">
        <v>7003</v>
      </c>
      <c r="GN166" s="450">
        <v>7178</v>
      </c>
      <c r="GO166" s="450">
        <v>7358</v>
      </c>
      <c r="GP166" s="450">
        <v>7542</v>
      </c>
      <c r="GQ166" s="450">
        <v>7730</v>
      </c>
      <c r="GR166" s="450">
        <v>7923</v>
      </c>
      <c r="GS166" s="450">
        <v>8121</v>
      </c>
      <c r="GT166" s="450">
        <v>8324</v>
      </c>
      <c r="GU166" s="450">
        <v>8533</v>
      </c>
      <c r="GV166" s="450">
        <v>8746</v>
      </c>
      <c r="GW166" s="450">
        <v>367796</v>
      </c>
      <c r="GX166" s="450">
        <v>23966354</v>
      </c>
      <c r="GY166" s="450">
        <v>23966354</v>
      </c>
      <c r="GZ166" s="450">
        <v>0</v>
      </c>
      <c r="HA166" s="450" t="s">
        <v>888</v>
      </c>
      <c r="HB166" s="450" t="s">
        <v>888</v>
      </c>
      <c r="HC166" s="450">
        <v>0</v>
      </c>
      <c r="HD166" s="450">
        <v>0</v>
      </c>
      <c r="HE166" s="450">
        <v>0</v>
      </c>
      <c r="HF166" s="450">
        <v>0</v>
      </c>
      <c r="HG166" s="472">
        <v>0</v>
      </c>
    </row>
    <row r="167" spans="2:215" ht="12.75">
      <c r="B167" s="445" t="s">
        <v>12</v>
      </c>
      <c r="C167" s="446">
        <v>10312</v>
      </c>
      <c r="D167" s="447">
        <v>2433496</v>
      </c>
      <c r="E167" s="447">
        <v>2087939.568</v>
      </c>
      <c r="F167" s="447">
        <v>332776.90694495774</v>
      </c>
      <c r="G167" s="447">
        <v>345556.43200000003</v>
      </c>
      <c r="H167" s="448">
        <v>0.4743289371605896</v>
      </c>
      <c r="I167" s="449">
        <v>4158.08</v>
      </c>
      <c r="J167" s="449">
        <v>733.2</v>
      </c>
      <c r="K167" s="447">
        <v>2420716.4749449575</v>
      </c>
      <c r="L167" s="447">
        <v>1936573.179955966</v>
      </c>
      <c r="M167" s="447">
        <v>656016.042690281</v>
      </c>
      <c r="N167" s="447">
        <v>484143.2949889914</v>
      </c>
      <c r="O167" s="450">
        <v>1.3550038789759502</v>
      </c>
      <c r="P167" s="451">
        <v>0.7269200930954228</v>
      </c>
      <c r="Q167" s="452">
        <v>0.2730799069045772</v>
      </c>
      <c r="R167" s="447">
        <v>2592589.222646247</v>
      </c>
      <c r="S167" s="447">
        <v>1752590.3145088633</v>
      </c>
      <c r="T167" s="447">
        <v>240848.7364907638</v>
      </c>
      <c r="U167" s="447">
        <v>471089.13080428704</v>
      </c>
      <c r="V167" s="447">
        <v>591110.3427633444</v>
      </c>
      <c r="W167" s="450">
        <v>0.7969563323863058</v>
      </c>
      <c r="X167" s="452">
        <v>13.990170777715884</v>
      </c>
      <c r="Y167" s="447">
        <v>240848.7364907638</v>
      </c>
      <c r="Z167" s="447">
        <v>248888.56537403972</v>
      </c>
      <c r="AA167" s="448">
        <v>0.9676970741054602</v>
      </c>
      <c r="AB167" s="448">
        <v>0.07612490302560124</v>
      </c>
      <c r="AC167" s="449">
        <v>759</v>
      </c>
      <c r="AD167" s="449">
        <v>811</v>
      </c>
      <c r="AE167" s="447">
        <v>2464528.181803914</v>
      </c>
      <c r="AF167" s="447">
        <v>0</v>
      </c>
      <c r="AG167" s="451">
        <v>0</v>
      </c>
      <c r="AH167" s="450">
        <v>0.18252026434960852</v>
      </c>
      <c r="AI167" s="452">
        <v>0.15370212495326996</v>
      </c>
      <c r="AJ167" s="447">
        <v>2464528.181803914</v>
      </c>
      <c r="AK167" s="453">
        <v>1.072</v>
      </c>
      <c r="AL167" s="447">
        <v>2641974.210893796</v>
      </c>
      <c r="AM167" s="447">
        <v>6215143.767147105</v>
      </c>
      <c r="AN167" s="447">
        <v>6153799.068107059</v>
      </c>
      <c r="AO167" s="447">
        <v>5872728.710037144</v>
      </c>
      <c r="AP167" s="447">
        <v>6153799.068107059</v>
      </c>
      <c r="AQ167" s="447">
        <v>41248</v>
      </c>
      <c r="AR167" s="447">
        <v>6195047.068107059</v>
      </c>
      <c r="AS167" s="454">
        <v>600.7609647117008</v>
      </c>
      <c r="AT167" s="450">
        <v>10312</v>
      </c>
      <c r="AU167" s="450">
        <v>467</v>
      </c>
      <c r="AV167" s="450">
        <v>1134</v>
      </c>
      <c r="AW167" s="450">
        <v>366</v>
      </c>
      <c r="AX167" s="450">
        <v>182</v>
      </c>
      <c r="AY167" s="450">
        <v>1368</v>
      </c>
      <c r="AZ167" s="450">
        <v>649</v>
      </c>
      <c r="BA167" s="450">
        <v>264</v>
      </c>
      <c r="BB167" s="450">
        <v>679</v>
      </c>
      <c r="BC167" s="450">
        <v>23</v>
      </c>
      <c r="BD167" s="450">
        <v>1833</v>
      </c>
      <c r="BE167" s="450">
        <v>1841</v>
      </c>
      <c r="BF167" s="450">
        <v>975</v>
      </c>
      <c r="BG167" s="450">
        <v>531</v>
      </c>
      <c r="BH167" s="450">
        <v>0</v>
      </c>
      <c r="BI167" s="450">
        <v>0</v>
      </c>
      <c r="BJ167" s="452">
        <v>1.6649943627476542</v>
      </c>
      <c r="BK167" s="452">
        <v>13.727083435850227</v>
      </c>
      <c r="BL167" s="452">
        <v>7.772548340966591</v>
      </c>
      <c r="BM167" s="452">
        <v>11.909070189767272</v>
      </c>
      <c r="BN167" s="449">
        <v>7496</v>
      </c>
      <c r="BO167" s="449">
        <v>2816</v>
      </c>
      <c r="BP167" s="447">
        <v>3454790.042949422</v>
      </c>
      <c r="BQ167" s="447">
        <v>11451918</v>
      </c>
      <c r="BR167" s="447">
        <v>14455202</v>
      </c>
      <c r="BS167" s="448">
        <v>0.07612490302560124</v>
      </c>
      <c r="BT167" s="449">
        <v>759</v>
      </c>
      <c r="BU167" s="449">
        <v>811</v>
      </c>
      <c r="BV167" s="447">
        <v>1100400.850465477</v>
      </c>
      <c r="BW167" s="448">
        <v>0.008307708667243716</v>
      </c>
      <c r="BX167" s="447">
        <v>18586.887924847604</v>
      </c>
      <c r="BY167" s="447">
        <v>16025695.781339746</v>
      </c>
      <c r="BZ167" s="455">
        <v>1.04</v>
      </c>
      <c r="CA167" s="447">
        <v>16666723.612593336</v>
      </c>
      <c r="CB167" s="447">
        <v>12533827.923918445</v>
      </c>
      <c r="CC167" s="447">
        <v>12518487.514643472</v>
      </c>
      <c r="CD167" s="447">
        <v>12214221.551307661</v>
      </c>
      <c r="CE167" s="447">
        <v>12518487.514643472</v>
      </c>
      <c r="CF167" s="454">
        <v>1213.97280010119</v>
      </c>
      <c r="CG167" s="450">
        <v>10312</v>
      </c>
      <c r="CH167" s="450">
        <v>467</v>
      </c>
      <c r="CI167" s="450">
        <v>1134</v>
      </c>
      <c r="CJ167" s="450">
        <v>366</v>
      </c>
      <c r="CK167" s="450">
        <v>182</v>
      </c>
      <c r="CL167" s="450">
        <v>1368</v>
      </c>
      <c r="CM167" s="450">
        <v>649</v>
      </c>
      <c r="CN167" s="450">
        <v>264</v>
      </c>
      <c r="CO167" s="450">
        <v>679</v>
      </c>
      <c r="CP167" s="450">
        <v>23</v>
      </c>
      <c r="CQ167" s="450">
        <v>1833</v>
      </c>
      <c r="CR167" s="450">
        <v>1841</v>
      </c>
      <c r="CS167" s="450">
        <v>975</v>
      </c>
      <c r="CT167" s="450">
        <v>531</v>
      </c>
      <c r="CU167" s="450">
        <v>0</v>
      </c>
      <c r="CV167" s="450">
        <v>0</v>
      </c>
      <c r="CW167" s="447">
        <v>7759535.098819727</v>
      </c>
      <c r="CX167" s="452">
        <v>1.0152618813218566</v>
      </c>
      <c r="CY167" s="452">
        <v>1.04</v>
      </c>
      <c r="CZ167" s="447">
        <v>7877960.202610695</v>
      </c>
      <c r="DA167" s="454">
        <v>763.9604540933567</v>
      </c>
      <c r="DB167" s="449">
        <v>10312</v>
      </c>
      <c r="DC167" s="452">
        <v>1.016398370830101</v>
      </c>
      <c r="DD167" s="454">
        <v>325.9</v>
      </c>
      <c r="DE167" s="447">
        <v>39839</v>
      </c>
      <c r="DF167" s="454">
        <v>53.149432454549924</v>
      </c>
      <c r="DG167" s="454">
        <v>55.43485805009556</v>
      </c>
      <c r="DH167" s="454">
        <v>56.65442492719765</v>
      </c>
      <c r="DI167" s="454">
        <v>57.90082227559599</v>
      </c>
      <c r="DJ167" s="454">
        <v>59.81154941069065</v>
      </c>
      <c r="DK167" s="454">
        <v>61.96476518947551</v>
      </c>
      <c r="DL167" s="454">
        <v>63.94763767553871</v>
      </c>
      <c r="DM167" s="454">
        <v>66.56949082023579</v>
      </c>
      <c r="DN167" s="454">
        <v>69.49854841632614</v>
      </c>
      <c r="DO167" s="454">
        <v>73.32096857922407</v>
      </c>
      <c r="DP167" s="454">
        <v>72.66107986201105</v>
      </c>
      <c r="DQ167" s="454">
        <v>76.36679493497361</v>
      </c>
      <c r="DR167" s="454">
        <v>81.025169426007</v>
      </c>
      <c r="DS167" s="454">
        <v>44.99</v>
      </c>
      <c r="DT167" s="454">
        <v>47.047244492719756</v>
      </c>
      <c r="DU167" s="454">
        <v>49.17323258311918</v>
      </c>
      <c r="DV167" s="454">
        <v>51.922899277403175</v>
      </c>
      <c r="DW167" s="454">
        <v>54.95964387111623</v>
      </c>
      <c r="DX167" s="454">
        <v>57.923233341749736</v>
      </c>
      <c r="DY167" s="454">
        <v>61.55236689105634</v>
      </c>
      <c r="DZ167" s="454">
        <v>64.84265741004762</v>
      </c>
      <c r="EA167" s="454">
        <v>66.72634552199702</v>
      </c>
      <c r="EB167" s="454">
        <v>68.25456132751468</v>
      </c>
      <c r="EC167" s="454">
        <v>72.66179415116906</v>
      </c>
      <c r="ED167" s="454">
        <v>78.07691505229452</v>
      </c>
      <c r="EE167" s="454">
        <v>-0.22</v>
      </c>
      <c r="EF167" s="454">
        <v>77.85691505229453</v>
      </c>
      <c r="EG167" s="454">
        <v>4048.559582719315</v>
      </c>
      <c r="EH167" s="447">
        <v>40913771.48866154</v>
      </c>
      <c r="EI167" s="454">
        <v>46.27</v>
      </c>
      <c r="EJ167" s="454">
        <v>48.22458849271976</v>
      </c>
      <c r="EK167" s="454">
        <v>50.24278419911919</v>
      </c>
      <c r="EL167" s="454">
        <v>52.88964024431519</v>
      </c>
      <c r="EM167" s="454">
        <v>55.81810984973409</v>
      </c>
      <c r="EN167" s="454">
        <v>58.66151408336109</v>
      </c>
      <c r="EO167" s="454">
        <v>62.16720709267027</v>
      </c>
      <c r="EP167" s="454">
        <v>65.41322911714535</v>
      </c>
      <c r="EQ167" s="454">
        <v>67.27048073999923</v>
      </c>
      <c r="ER167" s="454">
        <v>68.6181517712128</v>
      </c>
      <c r="ES167" s="454">
        <v>72.96750099623044</v>
      </c>
      <c r="ET167" s="454">
        <v>78.32018127425212</v>
      </c>
      <c r="EU167" s="447">
        <v>24174917</v>
      </c>
      <c r="EV167" s="447">
        <v>0</v>
      </c>
      <c r="EW167" s="447">
        <v>0</v>
      </c>
      <c r="EX167" s="447">
        <v>2000000</v>
      </c>
      <c r="EY167" s="447">
        <v>0</v>
      </c>
      <c r="EZ167" s="447">
        <v>0</v>
      </c>
      <c r="FA167" s="447">
        <v>0</v>
      </c>
      <c r="FB167" s="447">
        <v>0</v>
      </c>
      <c r="FC167" s="447">
        <v>0</v>
      </c>
      <c r="FD167" s="447">
        <v>26174917</v>
      </c>
      <c r="FE167" s="447">
        <v>53317.66272846062</v>
      </c>
      <c r="FF167" s="447">
        <v>0</v>
      </c>
      <c r="FG167" s="447">
        <v>0</v>
      </c>
      <c r="FH167" s="447">
        <v>41250</v>
      </c>
      <c r="FI167" s="456">
        <v>0.0481</v>
      </c>
      <c r="FJ167" s="447">
        <v>1984.125</v>
      </c>
      <c r="FK167" s="471">
        <v>1984.125</v>
      </c>
      <c r="FL167" s="446">
        <v>76.37</v>
      </c>
      <c r="FM167" s="450">
        <v>73.94</v>
      </c>
      <c r="FN167" s="450">
        <v>73.72</v>
      </c>
      <c r="FO167" s="450">
        <v>-0.22</v>
      </c>
      <c r="FP167" s="472">
        <v>72.57</v>
      </c>
      <c r="FQ167" s="446">
        <v>204308</v>
      </c>
      <c r="FR167" s="450">
        <v>0</v>
      </c>
      <c r="FS167" s="450">
        <v>0</v>
      </c>
      <c r="FT167" s="450">
        <v>0</v>
      </c>
      <c r="FU167" s="450">
        <v>0</v>
      </c>
      <c r="FV167" s="450">
        <v>0</v>
      </c>
      <c r="FW167" s="450">
        <v>0</v>
      </c>
      <c r="FX167" s="450">
        <v>0</v>
      </c>
      <c r="FY167" s="450">
        <v>0</v>
      </c>
      <c r="FZ167" s="450">
        <v>0</v>
      </c>
      <c r="GA167" s="450">
        <v>0</v>
      </c>
      <c r="GB167" s="450">
        <v>0</v>
      </c>
      <c r="GC167" s="450">
        <v>0</v>
      </c>
      <c r="GD167" s="450">
        <v>0</v>
      </c>
      <c r="GE167" s="450">
        <v>0</v>
      </c>
      <c r="GF167" s="450">
        <v>0</v>
      </c>
      <c r="GG167" s="450">
        <v>0</v>
      </c>
      <c r="GH167" s="450">
        <v>0</v>
      </c>
      <c r="GI167" s="450">
        <v>0</v>
      </c>
      <c r="GJ167" s="450">
        <v>0</v>
      </c>
      <c r="GK167" s="450">
        <v>0</v>
      </c>
      <c r="GL167" s="450">
        <v>0</v>
      </c>
      <c r="GM167" s="450">
        <v>0</v>
      </c>
      <c r="GN167" s="450">
        <v>0</v>
      </c>
      <c r="GO167" s="450">
        <v>0</v>
      </c>
      <c r="GP167" s="450">
        <v>0</v>
      </c>
      <c r="GQ167" s="450">
        <v>0</v>
      </c>
      <c r="GR167" s="450">
        <v>0</v>
      </c>
      <c r="GS167" s="450">
        <v>0</v>
      </c>
      <c r="GT167" s="450">
        <v>0</v>
      </c>
      <c r="GU167" s="450">
        <v>0</v>
      </c>
      <c r="GV167" s="450">
        <v>0</v>
      </c>
      <c r="GW167" s="450">
        <v>0</v>
      </c>
      <c r="GX167" s="450">
        <v>5131765</v>
      </c>
      <c r="GY167" s="450">
        <v>5881765</v>
      </c>
      <c r="GZ167" s="450">
        <v>0</v>
      </c>
      <c r="HA167" s="450" t="s">
        <v>888</v>
      </c>
      <c r="HB167" s="450" t="s">
        <v>889</v>
      </c>
      <c r="HC167" s="450">
        <v>0</v>
      </c>
      <c r="HD167" s="450">
        <v>0</v>
      </c>
      <c r="HE167" s="450">
        <v>0</v>
      </c>
      <c r="HF167" s="450">
        <v>0</v>
      </c>
      <c r="HG167" s="472">
        <v>0</v>
      </c>
    </row>
    <row r="168" spans="2:215" ht="12.75">
      <c r="B168" s="445" t="s">
        <v>13</v>
      </c>
      <c r="C168" s="446">
        <v>12507.66</v>
      </c>
      <c r="D168" s="447">
        <v>2945084.78</v>
      </c>
      <c r="E168" s="447">
        <v>2526882.74124</v>
      </c>
      <c r="F168" s="447">
        <v>715085.5003100645</v>
      </c>
      <c r="G168" s="447">
        <v>418202.03876</v>
      </c>
      <c r="H168" s="448">
        <v>0.8422038974516416</v>
      </c>
      <c r="I168" s="449">
        <v>10431.69</v>
      </c>
      <c r="J168" s="449">
        <v>102.31</v>
      </c>
      <c r="K168" s="447">
        <v>3241968.2415500646</v>
      </c>
      <c r="L168" s="447">
        <v>2593574.593240052</v>
      </c>
      <c r="M168" s="447">
        <v>1420517.3142183109</v>
      </c>
      <c r="N168" s="447">
        <v>648393.6483100128</v>
      </c>
      <c r="O168" s="450">
        <v>2.19082546215679</v>
      </c>
      <c r="P168" s="451">
        <v>0.08402850733070774</v>
      </c>
      <c r="Q168" s="452">
        <v>0.9159986760113402</v>
      </c>
      <c r="R168" s="447">
        <v>4014091.907458363</v>
      </c>
      <c r="S168" s="447">
        <v>2713526.1294418536</v>
      </c>
      <c r="T168" s="447">
        <v>285315.06888775516</v>
      </c>
      <c r="U168" s="447">
        <v>1432188.701789155</v>
      </c>
      <c r="V168" s="447">
        <v>915212.9549005068</v>
      </c>
      <c r="W168" s="450">
        <v>1.5648693499370852</v>
      </c>
      <c r="X168" s="452">
        <v>27.470500654508943</v>
      </c>
      <c r="Y168" s="447">
        <v>285315.06888775516</v>
      </c>
      <c r="Z168" s="447">
        <v>385352.82311600284</v>
      </c>
      <c r="AA168" s="448">
        <v>0.7403995812997242</v>
      </c>
      <c r="AB168" s="448">
        <v>0.05824430788812616</v>
      </c>
      <c r="AC168" s="449">
        <v>728</v>
      </c>
      <c r="AD168" s="449">
        <v>729</v>
      </c>
      <c r="AE168" s="447">
        <v>4431029.900118764</v>
      </c>
      <c r="AF168" s="447">
        <v>962493.7791754017</v>
      </c>
      <c r="AG168" s="451">
        <v>1</v>
      </c>
      <c r="AH168" s="450">
        <v>0.8948019076659122</v>
      </c>
      <c r="AI168" s="452">
        <v>0.7535215616226196</v>
      </c>
      <c r="AJ168" s="447">
        <v>5393523.679294165</v>
      </c>
      <c r="AK168" s="453">
        <v>1.1982</v>
      </c>
      <c r="AL168" s="447">
        <v>6462520.072530269</v>
      </c>
      <c r="AM168" s="447">
        <v>15202832.48157117</v>
      </c>
      <c r="AN168" s="447">
        <v>15052777.516138518</v>
      </c>
      <c r="AO168" s="447">
        <v>15328226.84162258</v>
      </c>
      <c r="AP168" s="447">
        <v>15328226.84162258</v>
      </c>
      <c r="AQ168" s="447">
        <v>50030.64</v>
      </c>
      <c r="AR168" s="447">
        <v>15378257.48162258</v>
      </c>
      <c r="AS168" s="454">
        <v>1229.507156544276</v>
      </c>
      <c r="AT168" s="450">
        <v>12507</v>
      </c>
      <c r="AU168" s="450">
        <v>0</v>
      </c>
      <c r="AV168" s="450">
        <v>0</v>
      </c>
      <c r="AW168" s="450">
        <v>209</v>
      </c>
      <c r="AX168" s="450">
        <v>0</v>
      </c>
      <c r="AY168" s="450">
        <v>141</v>
      </c>
      <c r="AZ168" s="450">
        <v>18</v>
      </c>
      <c r="BA168" s="450">
        <v>361</v>
      </c>
      <c r="BB168" s="450">
        <v>0</v>
      </c>
      <c r="BC168" s="450">
        <v>35</v>
      </c>
      <c r="BD168" s="450">
        <v>229</v>
      </c>
      <c r="BE168" s="450">
        <v>7355</v>
      </c>
      <c r="BF168" s="450">
        <v>4102</v>
      </c>
      <c r="BG168" s="450">
        <v>57</v>
      </c>
      <c r="BH168" s="450">
        <v>0</v>
      </c>
      <c r="BI168" s="450">
        <v>0</v>
      </c>
      <c r="BJ168" s="452">
        <v>2.349821830148767</v>
      </c>
      <c r="BK168" s="452">
        <v>14.406541346720644</v>
      </c>
      <c r="BL168" s="452">
        <v>8.321612583040848</v>
      </c>
      <c r="BM168" s="452">
        <v>12.169857527359591</v>
      </c>
      <c r="BN168" s="449">
        <v>1050</v>
      </c>
      <c r="BO168" s="449">
        <v>11457</v>
      </c>
      <c r="BP168" s="447">
        <v>5221790.519709401</v>
      </c>
      <c r="BQ168" s="447">
        <v>16590770</v>
      </c>
      <c r="BR168" s="447">
        <v>16072140</v>
      </c>
      <c r="BS168" s="448">
        <v>0.058247381466378825</v>
      </c>
      <c r="BT168" s="449">
        <v>728</v>
      </c>
      <c r="BU168" s="449">
        <v>729</v>
      </c>
      <c r="BV168" s="447">
        <v>936160.0695610457</v>
      </c>
      <c r="BW168" s="448">
        <v>0.014749538433482355</v>
      </c>
      <c r="BX168" s="447">
        <v>42004.47430616654</v>
      </c>
      <c r="BY168" s="447">
        <v>22790725.063576613</v>
      </c>
      <c r="BZ168" s="455">
        <v>1.1933333333333331</v>
      </c>
      <c r="CA168" s="447">
        <v>27196931.90920142</v>
      </c>
      <c r="CB168" s="447">
        <v>20452829.994186018</v>
      </c>
      <c r="CC168" s="447">
        <v>20427797.355725784</v>
      </c>
      <c r="CD168" s="447">
        <v>20209984.561807774</v>
      </c>
      <c r="CE168" s="447">
        <v>20427797.355725784</v>
      </c>
      <c r="CF168" s="454">
        <v>1633.309135342271</v>
      </c>
      <c r="CG168" s="450">
        <v>12507</v>
      </c>
      <c r="CH168" s="450">
        <v>0</v>
      </c>
      <c r="CI168" s="450">
        <v>0</v>
      </c>
      <c r="CJ168" s="450">
        <v>209</v>
      </c>
      <c r="CK168" s="450">
        <v>0</v>
      </c>
      <c r="CL168" s="450">
        <v>141</v>
      </c>
      <c r="CM168" s="450">
        <v>18</v>
      </c>
      <c r="CN168" s="450">
        <v>361</v>
      </c>
      <c r="CO168" s="450">
        <v>0</v>
      </c>
      <c r="CP168" s="450">
        <v>35</v>
      </c>
      <c r="CQ168" s="450">
        <v>229</v>
      </c>
      <c r="CR168" s="450">
        <v>7355</v>
      </c>
      <c r="CS168" s="450">
        <v>4102</v>
      </c>
      <c r="CT168" s="450">
        <v>57</v>
      </c>
      <c r="CU168" s="450">
        <v>0</v>
      </c>
      <c r="CV168" s="450">
        <v>0</v>
      </c>
      <c r="CW168" s="447">
        <v>11171655.975759927</v>
      </c>
      <c r="CX168" s="452">
        <v>1.1649479279270019</v>
      </c>
      <c r="CY168" s="452">
        <v>1.1933333333333331</v>
      </c>
      <c r="CZ168" s="447">
        <v>13014397.480474835</v>
      </c>
      <c r="DA168" s="454">
        <v>1040.569079753325</v>
      </c>
      <c r="DB168" s="449">
        <v>12507.66</v>
      </c>
      <c r="DC168" s="452">
        <v>0.9913705681158587</v>
      </c>
      <c r="DD168" s="454">
        <v>354.1</v>
      </c>
      <c r="DE168" s="447">
        <v>78987</v>
      </c>
      <c r="DF168" s="454">
        <v>68.4361420652459</v>
      </c>
      <c r="DG168" s="454">
        <v>71.37889617405148</v>
      </c>
      <c r="DH168" s="454">
        <v>72.9492318898806</v>
      </c>
      <c r="DI168" s="454">
        <v>74.55411499145795</v>
      </c>
      <c r="DJ168" s="454">
        <v>77.01440078617605</v>
      </c>
      <c r="DK168" s="454">
        <v>79.78691921447837</v>
      </c>
      <c r="DL168" s="454">
        <v>82.34010062934166</v>
      </c>
      <c r="DM168" s="454">
        <v>85.71604475514467</v>
      </c>
      <c r="DN168" s="454">
        <v>89.48755072437102</v>
      </c>
      <c r="DO168" s="454">
        <v>94.40936601421141</v>
      </c>
      <c r="DP168" s="454">
        <v>93.55968172008352</v>
      </c>
      <c r="DQ168" s="454">
        <v>98.33122548780777</v>
      </c>
      <c r="DR168" s="454">
        <v>104.32943024256404</v>
      </c>
      <c r="DS168" s="454">
        <v>49</v>
      </c>
      <c r="DT168" s="454">
        <v>52.36512318898805</v>
      </c>
      <c r="DU168" s="454">
        <v>55.85459579829158</v>
      </c>
      <c r="DV168" s="454">
        <v>60.112372875452806</v>
      </c>
      <c r="DW168" s="454">
        <v>64.77791842975614</v>
      </c>
      <c r="DX168" s="454">
        <v>69.43235995448055</v>
      </c>
      <c r="DY168" s="454">
        <v>74.96647832112033</v>
      </c>
      <c r="DZ168" s="454">
        <v>79.51195307359644</v>
      </c>
      <c r="EA168" s="454">
        <v>82.1218569821339</v>
      </c>
      <c r="EB168" s="454">
        <v>85.34918419463308</v>
      </c>
      <c r="EC168" s="454">
        <v>91.42783916840905</v>
      </c>
      <c r="ED168" s="454">
        <v>98.8360605789025</v>
      </c>
      <c r="EE168" s="454">
        <v>-1.55</v>
      </c>
      <c r="EF168" s="454">
        <v>97.28606057890251</v>
      </c>
      <c r="EG168" s="454">
        <v>5058.87515010293</v>
      </c>
      <c r="EH168" s="447">
        <v>62009196.55273768</v>
      </c>
      <c r="EI168" s="454">
        <v>52.11</v>
      </c>
      <c r="EJ168" s="454">
        <v>55.225701188988054</v>
      </c>
      <c r="EK168" s="454">
        <v>58.453271990291576</v>
      </c>
      <c r="EL168" s="454">
        <v>62.4612513184968</v>
      </c>
      <c r="EM168" s="454">
        <v>66.8637224871792</v>
      </c>
      <c r="EN168" s="454">
        <v>71.22615144386438</v>
      </c>
      <c r="EO168" s="454">
        <v>76.46034787347918</v>
      </c>
      <c r="EP168" s="454">
        <v>80.89826401818544</v>
      </c>
      <c r="EQ168" s="454">
        <v>83.44393551962362</v>
      </c>
      <c r="ER168" s="454">
        <v>86.23259535080581</v>
      </c>
      <c r="ES168" s="454">
        <v>92.17061126851907</v>
      </c>
      <c r="ET168" s="454">
        <v>99.42712147756505</v>
      </c>
      <c r="EU168" s="447">
        <v>417612324</v>
      </c>
      <c r="EV168" s="447">
        <v>0</v>
      </c>
      <c r="EW168" s="447">
        <v>0</v>
      </c>
      <c r="EX168" s="447">
        <v>0</v>
      </c>
      <c r="EY168" s="447">
        <v>0</v>
      </c>
      <c r="EZ168" s="447">
        <v>0</v>
      </c>
      <c r="FA168" s="447">
        <v>0</v>
      </c>
      <c r="FB168" s="447">
        <v>0</v>
      </c>
      <c r="FC168" s="447">
        <v>0</v>
      </c>
      <c r="FD168" s="447">
        <v>417612324</v>
      </c>
      <c r="FE168" s="447">
        <v>244665.71743282085</v>
      </c>
      <c r="FF168" s="447">
        <v>0</v>
      </c>
      <c r="FG168" s="447">
        <v>0</v>
      </c>
      <c r="FH168" s="447">
        <v>152100</v>
      </c>
      <c r="FI168" s="456">
        <v>0.0542</v>
      </c>
      <c r="FJ168" s="447">
        <v>8243.82</v>
      </c>
      <c r="FK168" s="471">
        <v>8243.82</v>
      </c>
      <c r="FL168" s="446">
        <v>98.35</v>
      </c>
      <c r="FM168" s="450">
        <v>94.71</v>
      </c>
      <c r="FN168" s="450">
        <v>93.16</v>
      </c>
      <c r="FO168" s="450">
        <v>-1.55</v>
      </c>
      <c r="FP168" s="472">
        <v>90.74</v>
      </c>
      <c r="FQ168" s="446">
        <v>818638</v>
      </c>
      <c r="FR168" s="450">
        <v>1095440</v>
      </c>
      <c r="FS168" s="450">
        <v>23000</v>
      </c>
      <c r="FT168" s="450">
        <v>23000</v>
      </c>
      <c r="FU168" s="450">
        <v>23000</v>
      </c>
      <c r="FV168" s="450">
        <v>23000</v>
      </c>
      <c r="FW168" s="450">
        <v>23000</v>
      </c>
      <c r="FX168" s="450">
        <v>23000</v>
      </c>
      <c r="FY168" s="450">
        <v>23000</v>
      </c>
      <c r="FZ168" s="450">
        <v>28750</v>
      </c>
      <c r="GA168" s="450">
        <v>28750</v>
      </c>
      <c r="GB168" s="450">
        <v>28750</v>
      </c>
      <c r="GC168" s="450">
        <v>28750</v>
      </c>
      <c r="GD168" s="450">
        <v>28750</v>
      </c>
      <c r="GE168" s="450">
        <v>28750</v>
      </c>
      <c r="GF168" s="450">
        <v>28750</v>
      </c>
      <c r="GG168" s="450">
        <v>28750</v>
      </c>
      <c r="GH168" s="450">
        <v>28750</v>
      </c>
      <c r="GI168" s="450">
        <v>28750</v>
      </c>
      <c r="GJ168" s="450">
        <v>36000</v>
      </c>
      <c r="GK168" s="450">
        <v>36000</v>
      </c>
      <c r="GL168" s="450">
        <v>36000</v>
      </c>
      <c r="GM168" s="450">
        <v>36000</v>
      </c>
      <c r="GN168" s="450">
        <v>36000</v>
      </c>
      <c r="GO168" s="450">
        <v>36000</v>
      </c>
      <c r="GP168" s="450">
        <v>36000</v>
      </c>
      <c r="GQ168" s="450">
        <v>36000</v>
      </c>
      <c r="GR168" s="450">
        <v>36000</v>
      </c>
      <c r="GS168" s="450">
        <v>36000</v>
      </c>
      <c r="GT168" s="450">
        <v>45000</v>
      </c>
      <c r="GU168" s="450">
        <v>45000</v>
      </c>
      <c r="GV168" s="450">
        <v>45000</v>
      </c>
      <c r="GW168" s="450">
        <v>2966400</v>
      </c>
      <c r="GX168" s="450">
        <v>293374141</v>
      </c>
      <c r="GY168" s="450">
        <v>305874141</v>
      </c>
      <c r="GZ168" s="450">
        <v>0</v>
      </c>
      <c r="HA168" s="450" t="s">
        <v>888</v>
      </c>
      <c r="HB168" s="450" t="s">
        <v>889</v>
      </c>
      <c r="HC168" s="450">
        <v>0</v>
      </c>
      <c r="HD168" s="450">
        <v>131</v>
      </c>
      <c r="HE168" s="450">
        <v>0</v>
      </c>
      <c r="HF168" s="450">
        <v>121</v>
      </c>
      <c r="HG168" s="472">
        <v>0</v>
      </c>
    </row>
    <row r="169" spans="2:215" ht="12.75">
      <c r="B169" s="445" t="s">
        <v>14</v>
      </c>
      <c r="C169" s="446">
        <v>2874</v>
      </c>
      <c r="D169" s="447">
        <v>700442</v>
      </c>
      <c r="E169" s="447">
        <v>600979.236</v>
      </c>
      <c r="F169" s="447">
        <v>66355.22413775203</v>
      </c>
      <c r="G169" s="447">
        <v>99462.76400000001</v>
      </c>
      <c r="H169" s="448">
        <v>0.32859429366736254</v>
      </c>
      <c r="I169" s="449">
        <v>668.39</v>
      </c>
      <c r="J169" s="449">
        <v>275.99</v>
      </c>
      <c r="K169" s="447">
        <v>667334.4601377521</v>
      </c>
      <c r="L169" s="447">
        <v>533867.5681102017</v>
      </c>
      <c r="M169" s="447">
        <v>136364.71181269974</v>
      </c>
      <c r="N169" s="447">
        <v>133466.8920275504</v>
      </c>
      <c r="O169" s="450">
        <v>1.0217118997912318</v>
      </c>
      <c r="P169" s="451">
        <v>0.9832985386221295</v>
      </c>
      <c r="Q169" s="452">
        <v>0.016701461377870562</v>
      </c>
      <c r="R169" s="447">
        <v>670232.2799229014</v>
      </c>
      <c r="S169" s="447">
        <v>453077.02122788137</v>
      </c>
      <c r="T169" s="447">
        <v>61044.955561127106</v>
      </c>
      <c r="U169" s="447">
        <v>80317.56941780387</v>
      </c>
      <c r="V169" s="447">
        <v>152812.95982242152</v>
      </c>
      <c r="W169" s="450">
        <v>0.5255939647470872</v>
      </c>
      <c r="X169" s="452">
        <v>9.22653980868837</v>
      </c>
      <c r="Y169" s="447">
        <v>61044.955561127106</v>
      </c>
      <c r="Z169" s="447">
        <v>64342.298872598534</v>
      </c>
      <c r="AA169" s="448">
        <v>0.9487531006935211</v>
      </c>
      <c r="AB169" s="448">
        <v>0.07463465553235908</v>
      </c>
      <c r="AC169" s="449">
        <v>206</v>
      </c>
      <c r="AD169" s="449">
        <v>223</v>
      </c>
      <c r="AE169" s="447">
        <v>594439.5462068124</v>
      </c>
      <c r="AF169" s="447">
        <v>0</v>
      </c>
      <c r="AG169" s="451">
        <v>0</v>
      </c>
      <c r="AH169" s="450">
        <v>0</v>
      </c>
      <c r="AI169" s="452">
        <v>0</v>
      </c>
      <c r="AJ169" s="447">
        <v>594439.5462068124</v>
      </c>
      <c r="AK169" s="453">
        <v>1.0076</v>
      </c>
      <c r="AL169" s="447">
        <v>598957.2867579842</v>
      </c>
      <c r="AM169" s="447">
        <v>1409024.2184165176</v>
      </c>
      <c r="AN169" s="447">
        <v>1395116.8705164106</v>
      </c>
      <c r="AO169" s="447">
        <v>1377322.933610956</v>
      </c>
      <c r="AP169" s="447">
        <v>1395116.8705164106</v>
      </c>
      <c r="AQ169" s="447">
        <v>11496</v>
      </c>
      <c r="AR169" s="447">
        <v>1406612.8705164106</v>
      </c>
      <c r="AS169" s="454">
        <v>489.42688605303084</v>
      </c>
      <c r="AT169" s="450">
        <v>2874</v>
      </c>
      <c r="AU169" s="450">
        <v>13</v>
      </c>
      <c r="AV169" s="450">
        <v>413</v>
      </c>
      <c r="AW169" s="450">
        <v>17</v>
      </c>
      <c r="AX169" s="450">
        <v>41</v>
      </c>
      <c r="AY169" s="450">
        <v>646</v>
      </c>
      <c r="AZ169" s="450">
        <v>62</v>
      </c>
      <c r="BA169" s="450">
        <v>180</v>
      </c>
      <c r="BB169" s="450">
        <v>0</v>
      </c>
      <c r="BC169" s="450">
        <v>28</v>
      </c>
      <c r="BD169" s="450">
        <v>675</v>
      </c>
      <c r="BE169" s="450">
        <v>48</v>
      </c>
      <c r="BF169" s="450">
        <v>0</v>
      </c>
      <c r="BG169" s="450">
        <v>751</v>
      </c>
      <c r="BH169" s="450">
        <v>0</v>
      </c>
      <c r="BI169" s="450">
        <v>0</v>
      </c>
      <c r="BJ169" s="452">
        <v>1.1605568907046564</v>
      </c>
      <c r="BK169" s="452">
        <v>5.281403680908632</v>
      </c>
      <c r="BL169" s="452">
        <v>2.57009782059287</v>
      </c>
      <c r="BM169" s="452">
        <v>5.422611720631522</v>
      </c>
      <c r="BN169" s="449">
        <v>2826</v>
      </c>
      <c r="BO169" s="449">
        <v>48</v>
      </c>
      <c r="BP169" s="447">
        <v>725948.0646029046</v>
      </c>
      <c r="BQ169" s="447">
        <v>2804848</v>
      </c>
      <c r="BR169" s="447">
        <v>3878834</v>
      </c>
      <c r="BS169" s="448">
        <v>0.07463465553235908</v>
      </c>
      <c r="BT169" s="449">
        <v>206</v>
      </c>
      <c r="BU169" s="449">
        <v>223</v>
      </c>
      <c r="BV169" s="447">
        <v>289495.4394572025</v>
      </c>
      <c r="BW169" s="448">
        <v>0.02992993767159646</v>
      </c>
      <c r="BX169" s="447">
        <v>7180.359424682512</v>
      </c>
      <c r="BY169" s="447">
        <v>3827471.8634847896</v>
      </c>
      <c r="BZ169" s="455">
        <v>1.04</v>
      </c>
      <c r="CA169" s="447">
        <v>3980570.738024181</v>
      </c>
      <c r="CB169" s="447">
        <v>2993497.0921148546</v>
      </c>
      <c r="CC169" s="447">
        <v>2989833.289577016</v>
      </c>
      <c r="CD169" s="447">
        <v>2972924.1319594663</v>
      </c>
      <c r="CE169" s="447">
        <v>2989833.289577016</v>
      </c>
      <c r="CF169" s="454">
        <v>1040.3038585862964</v>
      </c>
      <c r="CG169" s="450">
        <v>2874</v>
      </c>
      <c r="CH169" s="450">
        <v>13</v>
      </c>
      <c r="CI169" s="450">
        <v>413</v>
      </c>
      <c r="CJ169" s="450">
        <v>17</v>
      </c>
      <c r="CK169" s="450">
        <v>41</v>
      </c>
      <c r="CL169" s="450">
        <v>646</v>
      </c>
      <c r="CM169" s="450">
        <v>62</v>
      </c>
      <c r="CN169" s="450">
        <v>180</v>
      </c>
      <c r="CO169" s="450">
        <v>0</v>
      </c>
      <c r="CP169" s="450">
        <v>28</v>
      </c>
      <c r="CQ169" s="450">
        <v>675</v>
      </c>
      <c r="CR169" s="450">
        <v>48</v>
      </c>
      <c r="CS169" s="450">
        <v>0</v>
      </c>
      <c r="CT169" s="450">
        <v>751</v>
      </c>
      <c r="CU169" s="450">
        <v>0</v>
      </c>
      <c r="CV169" s="450">
        <v>0</v>
      </c>
      <c r="CW169" s="447">
        <v>2034176.0743995947</v>
      </c>
      <c r="CX169" s="452">
        <v>1.0152618813218566</v>
      </c>
      <c r="CY169" s="452">
        <v>1.04</v>
      </c>
      <c r="CZ169" s="447">
        <v>2065221.4282348414</v>
      </c>
      <c r="DA169" s="454">
        <v>718.5878316753102</v>
      </c>
      <c r="DB169" s="449">
        <v>2874</v>
      </c>
      <c r="DC169" s="452">
        <v>1.0193806541405706</v>
      </c>
      <c r="DD169" s="454">
        <v>325.9</v>
      </c>
      <c r="DE169" s="447">
        <v>64420</v>
      </c>
      <c r="DF169" s="454">
        <v>61.36304684704877</v>
      </c>
      <c r="DG169" s="454">
        <v>64.00165786147187</v>
      </c>
      <c r="DH169" s="454">
        <v>65.40969433442424</v>
      </c>
      <c r="DI169" s="454">
        <v>66.84870760978157</v>
      </c>
      <c r="DJ169" s="454">
        <v>69.05471496090436</v>
      </c>
      <c r="DK169" s="454">
        <v>71.54068469949691</v>
      </c>
      <c r="DL169" s="454">
        <v>73.82998660988079</v>
      </c>
      <c r="DM169" s="454">
        <v>76.8570160608859</v>
      </c>
      <c r="DN169" s="454">
        <v>80.23872476756486</v>
      </c>
      <c r="DO169" s="454">
        <v>84.65185462978093</v>
      </c>
      <c r="DP169" s="454">
        <v>83.8899879381129</v>
      </c>
      <c r="DQ169" s="454">
        <v>88.16837732295664</v>
      </c>
      <c r="DR169" s="454">
        <v>93.546648339657</v>
      </c>
      <c r="DS169" s="454">
        <v>50.32</v>
      </c>
      <c r="DT169" s="454">
        <v>52.825305433442416</v>
      </c>
      <c r="DU169" s="454">
        <v>55.4164894259563</v>
      </c>
      <c r="DV169" s="454">
        <v>58.721418749999295</v>
      </c>
      <c r="DW169" s="454">
        <v>62.36471766421321</v>
      </c>
      <c r="DX169" s="454">
        <v>65.93865495953682</v>
      </c>
      <c r="DY169" s="454">
        <v>70.28511506247945</v>
      </c>
      <c r="DZ169" s="454">
        <v>74.14000064104368</v>
      </c>
      <c r="EA169" s="454">
        <v>76.3483042533274</v>
      </c>
      <c r="EB169" s="454">
        <v>78.3415663955248</v>
      </c>
      <c r="EC169" s="454">
        <v>83.50326448994858</v>
      </c>
      <c r="ED169" s="454">
        <v>89.83438480279082</v>
      </c>
      <c r="EE169" s="454">
        <v>-4.45</v>
      </c>
      <c r="EF169" s="454">
        <v>85.38438480279082</v>
      </c>
      <c r="EG169" s="454">
        <v>4439.988009745122</v>
      </c>
      <c r="EH169" s="447">
        <v>12505315.029207332</v>
      </c>
      <c r="EI169" s="454">
        <v>54.37</v>
      </c>
      <c r="EJ169" s="454">
        <v>56.55049543344241</v>
      </c>
      <c r="EK169" s="454">
        <v>58.80061758595629</v>
      </c>
      <c r="EL169" s="454">
        <v>61.78024759061928</v>
      </c>
      <c r="EM169" s="454">
        <v>65.08095767468376</v>
      </c>
      <c r="EN169" s="454">
        <v>68.27462136854149</v>
      </c>
      <c r="EO169" s="454">
        <v>72.23050788789853</v>
      </c>
      <c r="EP169" s="454">
        <v>75.94532518303258</v>
      </c>
      <c r="EQ169" s="454">
        <v>78.06998209153747</v>
      </c>
      <c r="ER169" s="454">
        <v>79.49198928378831</v>
      </c>
      <c r="ES169" s="454">
        <v>84.47054005440054</v>
      </c>
      <c r="ET169" s="454">
        <v>90.60409433320348</v>
      </c>
      <c r="EU169" s="447">
        <v>475894</v>
      </c>
      <c r="EV169" s="447">
        <v>0</v>
      </c>
      <c r="EW169" s="447">
        <v>0</v>
      </c>
      <c r="EX169" s="447">
        <v>259218</v>
      </c>
      <c r="EY169" s="447">
        <v>0</v>
      </c>
      <c r="EZ169" s="447">
        <v>0</v>
      </c>
      <c r="FA169" s="447">
        <v>0</v>
      </c>
      <c r="FB169" s="447">
        <v>0</v>
      </c>
      <c r="FC169" s="447">
        <v>0</v>
      </c>
      <c r="FD169" s="447">
        <v>735112</v>
      </c>
      <c r="FE169" s="447">
        <v>40881.81190848966</v>
      </c>
      <c r="FF169" s="447">
        <v>0</v>
      </c>
      <c r="FG169" s="447">
        <v>0</v>
      </c>
      <c r="FH169" s="447">
        <v>0</v>
      </c>
      <c r="FI169" s="456">
        <v>0</v>
      </c>
      <c r="FJ169" s="447">
        <v>0</v>
      </c>
      <c r="FK169" s="471">
        <v>0</v>
      </c>
      <c r="FL169" s="446">
        <v>88.21</v>
      </c>
      <c r="FM169" s="450">
        <v>88.75</v>
      </c>
      <c r="FN169" s="450">
        <v>84.3</v>
      </c>
      <c r="FO169" s="450">
        <v>-4.45</v>
      </c>
      <c r="FP169" s="472">
        <v>82.67</v>
      </c>
      <c r="FQ169" s="446">
        <v>0</v>
      </c>
      <c r="FR169" s="450">
        <v>0</v>
      </c>
      <c r="FS169" s="450">
        <v>0</v>
      </c>
      <c r="FT169" s="450">
        <v>0</v>
      </c>
      <c r="FU169" s="450">
        <v>0</v>
      </c>
      <c r="FV169" s="450">
        <v>0</v>
      </c>
      <c r="FW169" s="450">
        <v>0</v>
      </c>
      <c r="FX169" s="450">
        <v>0</v>
      </c>
      <c r="FY169" s="450">
        <v>0</v>
      </c>
      <c r="FZ169" s="450">
        <v>0</v>
      </c>
      <c r="GA169" s="450">
        <v>0</v>
      </c>
      <c r="GB169" s="450">
        <v>0</v>
      </c>
      <c r="GC169" s="450">
        <v>0</v>
      </c>
      <c r="GD169" s="450">
        <v>0</v>
      </c>
      <c r="GE169" s="450">
        <v>0</v>
      </c>
      <c r="GF169" s="450">
        <v>0</v>
      </c>
      <c r="GG169" s="450">
        <v>0</v>
      </c>
      <c r="GH169" s="450">
        <v>0</v>
      </c>
      <c r="GI169" s="450">
        <v>0</v>
      </c>
      <c r="GJ169" s="450">
        <v>0</v>
      </c>
      <c r="GK169" s="450">
        <v>0</v>
      </c>
      <c r="GL169" s="450">
        <v>0</v>
      </c>
      <c r="GM169" s="450">
        <v>0</v>
      </c>
      <c r="GN169" s="450">
        <v>0</v>
      </c>
      <c r="GO169" s="450">
        <v>0</v>
      </c>
      <c r="GP169" s="450">
        <v>0</v>
      </c>
      <c r="GQ169" s="450">
        <v>0</v>
      </c>
      <c r="GR169" s="450">
        <v>0</v>
      </c>
      <c r="GS169" s="450">
        <v>0</v>
      </c>
      <c r="GT169" s="450">
        <v>0</v>
      </c>
      <c r="GU169" s="450">
        <v>0</v>
      </c>
      <c r="GV169" s="450">
        <v>0</v>
      </c>
      <c r="GW169" s="450">
        <v>389802</v>
      </c>
      <c r="GX169" s="450">
        <v>-332930</v>
      </c>
      <c r="GY169" s="450">
        <v>-332930</v>
      </c>
      <c r="GZ169" s="450">
        <v>18</v>
      </c>
      <c r="HA169" s="450" t="s">
        <v>888</v>
      </c>
      <c r="HB169" s="450" t="s">
        <v>888</v>
      </c>
      <c r="HC169" s="450">
        <v>0</v>
      </c>
      <c r="HD169" s="450">
        <v>27</v>
      </c>
      <c r="HE169" s="450">
        <v>0</v>
      </c>
      <c r="HF169" s="450">
        <v>0</v>
      </c>
      <c r="HG169" s="472">
        <v>0</v>
      </c>
    </row>
    <row r="170" spans="2:215" ht="12.75">
      <c r="B170" s="445" t="s">
        <v>15</v>
      </c>
      <c r="C170" s="446">
        <v>10476</v>
      </c>
      <c r="D170" s="447">
        <v>2471708</v>
      </c>
      <c r="E170" s="447">
        <v>2120725.464</v>
      </c>
      <c r="F170" s="447">
        <v>430781.28595662076</v>
      </c>
      <c r="G170" s="447">
        <v>350982.536</v>
      </c>
      <c r="H170" s="448">
        <v>0.6045284459717449</v>
      </c>
      <c r="I170" s="449">
        <v>5821.49</v>
      </c>
      <c r="J170" s="449">
        <v>511.55</v>
      </c>
      <c r="K170" s="447">
        <v>2551506.749956621</v>
      </c>
      <c r="L170" s="447">
        <v>2041205.3999652967</v>
      </c>
      <c r="M170" s="447">
        <v>813754.3177181237</v>
      </c>
      <c r="N170" s="447">
        <v>510301.34999132407</v>
      </c>
      <c r="O170" s="450">
        <v>1.5946544482626956</v>
      </c>
      <c r="P170" s="451">
        <v>0.5425735013363879</v>
      </c>
      <c r="Q170" s="452">
        <v>0.45742649866361207</v>
      </c>
      <c r="R170" s="447">
        <v>2854959.7176834205</v>
      </c>
      <c r="S170" s="447">
        <v>1929952.7691539924</v>
      </c>
      <c r="T170" s="447">
        <v>263066.10052796087</v>
      </c>
      <c r="U170" s="447">
        <v>939602.2659635625</v>
      </c>
      <c r="V170" s="447">
        <v>650930.8156318199</v>
      </c>
      <c r="W170" s="450">
        <v>1.4434748569270706</v>
      </c>
      <c r="X170" s="452">
        <v>25.339480898885597</v>
      </c>
      <c r="Y170" s="447">
        <v>263066.10052796087</v>
      </c>
      <c r="Z170" s="447">
        <v>274076.1328976084</v>
      </c>
      <c r="AA170" s="448">
        <v>0.9598285620376847</v>
      </c>
      <c r="AB170" s="448">
        <v>0.07550591828942345</v>
      </c>
      <c r="AC170" s="449">
        <v>848</v>
      </c>
      <c r="AD170" s="449">
        <v>734</v>
      </c>
      <c r="AE170" s="447">
        <v>3132621.1356455158</v>
      </c>
      <c r="AF170" s="447">
        <v>492885.9049668537</v>
      </c>
      <c r="AG170" s="451">
        <v>1</v>
      </c>
      <c r="AH170" s="450">
        <v>0.5039092216592843</v>
      </c>
      <c r="AI170" s="452">
        <v>0.4243469536304474</v>
      </c>
      <c r="AJ170" s="447">
        <v>3625507.0406123693</v>
      </c>
      <c r="AK170" s="453">
        <v>1.0703</v>
      </c>
      <c r="AL170" s="447">
        <v>3880380.185567419</v>
      </c>
      <c r="AM170" s="447">
        <v>9128446.683940757</v>
      </c>
      <c r="AN170" s="447">
        <v>9038347.108531177</v>
      </c>
      <c r="AO170" s="447">
        <v>8620480.137270302</v>
      </c>
      <c r="AP170" s="447">
        <v>9038347.108531177</v>
      </c>
      <c r="AQ170" s="447">
        <v>41904</v>
      </c>
      <c r="AR170" s="447">
        <v>9080251.108531177</v>
      </c>
      <c r="AS170" s="454">
        <v>866.7670015780047</v>
      </c>
      <c r="AT170" s="450">
        <v>10475</v>
      </c>
      <c r="AU170" s="450">
        <v>643</v>
      </c>
      <c r="AV170" s="450">
        <v>238</v>
      </c>
      <c r="AW170" s="450">
        <v>1135</v>
      </c>
      <c r="AX170" s="450">
        <v>64</v>
      </c>
      <c r="AY170" s="450">
        <v>545</v>
      </c>
      <c r="AZ170" s="450">
        <v>307</v>
      </c>
      <c r="BA170" s="450">
        <v>645</v>
      </c>
      <c r="BB170" s="450">
        <v>193</v>
      </c>
      <c r="BC170" s="450">
        <v>601</v>
      </c>
      <c r="BD170" s="450">
        <v>1148</v>
      </c>
      <c r="BE170" s="450">
        <v>3785</v>
      </c>
      <c r="BF170" s="450">
        <v>1007</v>
      </c>
      <c r="BG170" s="450">
        <v>151</v>
      </c>
      <c r="BH170" s="450">
        <v>12</v>
      </c>
      <c r="BI170" s="450">
        <v>1</v>
      </c>
      <c r="BJ170" s="452">
        <v>2.252055015274362</v>
      </c>
      <c r="BK170" s="452">
        <v>20.384774625188832</v>
      </c>
      <c r="BL170" s="452">
        <v>7.652790601027074</v>
      </c>
      <c r="BM170" s="452">
        <v>25.46396804832352</v>
      </c>
      <c r="BN170" s="449">
        <v>5683</v>
      </c>
      <c r="BO170" s="449">
        <v>4792</v>
      </c>
      <c r="BP170" s="447">
        <v>4505864.381405623</v>
      </c>
      <c r="BQ170" s="447">
        <v>12342556</v>
      </c>
      <c r="BR170" s="447">
        <v>14154720</v>
      </c>
      <c r="BS170" s="448">
        <v>0.07551312649164678</v>
      </c>
      <c r="BT170" s="449">
        <v>848</v>
      </c>
      <c r="BU170" s="449">
        <v>734</v>
      </c>
      <c r="BV170" s="447">
        <v>1068867.1618138426</v>
      </c>
      <c r="BW170" s="448">
        <v>0.012710373251445313</v>
      </c>
      <c r="BX170" s="447">
        <v>42896.562756301435</v>
      </c>
      <c r="BY170" s="447">
        <v>17960184.105975766</v>
      </c>
      <c r="BZ170" s="455">
        <v>1.1433333333333333</v>
      </c>
      <c r="CA170" s="447">
        <v>20534477.161165625</v>
      </c>
      <c r="CB170" s="447">
        <v>15442483.43154925</v>
      </c>
      <c r="CC170" s="447">
        <v>15423583.05909321</v>
      </c>
      <c r="CD170" s="447">
        <v>14739043.17292722</v>
      </c>
      <c r="CE170" s="447">
        <v>15423583.05909321</v>
      </c>
      <c r="CF170" s="454">
        <v>1472.418430462359</v>
      </c>
      <c r="CG170" s="450">
        <v>10475</v>
      </c>
      <c r="CH170" s="450">
        <v>643</v>
      </c>
      <c r="CI170" s="450">
        <v>238</v>
      </c>
      <c r="CJ170" s="450">
        <v>1135</v>
      </c>
      <c r="CK170" s="450">
        <v>64</v>
      </c>
      <c r="CL170" s="450">
        <v>545</v>
      </c>
      <c r="CM170" s="450">
        <v>307</v>
      </c>
      <c r="CN170" s="450">
        <v>645</v>
      </c>
      <c r="CO170" s="450">
        <v>193</v>
      </c>
      <c r="CP170" s="450">
        <v>601</v>
      </c>
      <c r="CQ170" s="450">
        <v>1148</v>
      </c>
      <c r="CR170" s="450">
        <v>3785</v>
      </c>
      <c r="CS170" s="450">
        <v>1007</v>
      </c>
      <c r="CT170" s="450">
        <v>151</v>
      </c>
      <c r="CU170" s="450">
        <v>12</v>
      </c>
      <c r="CV170" s="450">
        <v>1</v>
      </c>
      <c r="CW170" s="447">
        <v>7876068.298550666</v>
      </c>
      <c r="CX170" s="452">
        <v>1.116137260555759</v>
      </c>
      <c r="CY170" s="452">
        <v>1.1433333333333333</v>
      </c>
      <c r="CZ170" s="447">
        <v>8790773.294694398</v>
      </c>
      <c r="DA170" s="454">
        <v>839.2146343383673</v>
      </c>
      <c r="DB170" s="449">
        <v>10476</v>
      </c>
      <c r="DC170" s="452">
        <v>0.9930507827415046</v>
      </c>
      <c r="DD170" s="454">
        <v>354.1</v>
      </c>
      <c r="DE170" s="447">
        <v>62517</v>
      </c>
      <c r="DF170" s="454">
        <v>63.08336617729745</v>
      </c>
      <c r="DG170" s="454">
        <v>65.79595092292124</v>
      </c>
      <c r="DH170" s="454">
        <v>67.24346184322549</v>
      </c>
      <c r="DI170" s="454">
        <v>68.72281800377644</v>
      </c>
      <c r="DJ170" s="454">
        <v>70.99067099790106</v>
      </c>
      <c r="DK170" s="454">
        <v>73.54633515382548</v>
      </c>
      <c r="DL170" s="454">
        <v>75.89981787874788</v>
      </c>
      <c r="DM170" s="454">
        <v>79.01171041177653</v>
      </c>
      <c r="DN170" s="454">
        <v>82.48822566989469</v>
      </c>
      <c r="DO170" s="454">
        <v>87.0250780817389</v>
      </c>
      <c r="DP170" s="454">
        <v>86.24185237900325</v>
      </c>
      <c r="DQ170" s="454">
        <v>90.64018685033241</v>
      </c>
      <c r="DR170" s="454">
        <v>96.16923824820269</v>
      </c>
      <c r="DS170" s="454">
        <v>48.72</v>
      </c>
      <c r="DT170" s="454">
        <v>51.53700218432254</v>
      </c>
      <c r="DU170" s="454">
        <v>54.45437198475527</v>
      </c>
      <c r="DV170" s="454">
        <v>58.0937793524583</v>
      </c>
      <c r="DW170" s="454">
        <v>62.093895372672314</v>
      </c>
      <c r="DX170" s="454">
        <v>66.05071966695616</v>
      </c>
      <c r="DY170" s="454">
        <v>70.80938142099639</v>
      </c>
      <c r="DZ170" s="454">
        <v>74.8764643664507</v>
      </c>
      <c r="EA170" s="454">
        <v>77.20886005625442</v>
      </c>
      <c r="EB170" s="454">
        <v>79.68266828423513</v>
      </c>
      <c r="EC170" s="454">
        <v>85.12522486345138</v>
      </c>
      <c r="ED170" s="454">
        <v>91.7807072471421</v>
      </c>
      <c r="EE170" s="454">
        <v>-0.03</v>
      </c>
      <c r="EF170" s="454">
        <v>91.7507072471421</v>
      </c>
      <c r="EG170" s="454">
        <v>4771.03677685139</v>
      </c>
      <c r="EH170" s="447">
        <v>48981753.648809254</v>
      </c>
      <c r="EI170" s="454">
        <v>49.96</v>
      </c>
      <c r="EJ170" s="454">
        <v>52.677554184322545</v>
      </c>
      <c r="EK170" s="454">
        <v>55.49050011275528</v>
      </c>
      <c r="EL170" s="454">
        <v>59.03030966415431</v>
      </c>
      <c r="EM170" s="454">
        <v>62.92553428945837</v>
      </c>
      <c r="EN170" s="454">
        <v>66.76592913539217</v>
      </c>
      <c r="EO170" s="454">
        <v>71.4050078663099</v>
      </c>
      <c r="EP170" s="454">
        <v>75.42920570770166</v>
      </c>
      <c r="EQ170" s="454">
        <v>77.73599104869407</v>
      </c>
      <c r="ER170" s="454">
        <v>80.03489652656769</v>
      </c>
      <c r="ES170" s="454">
        <v>85.4213783696046</v>
      </c>
      <c r="ET170" s="454">
        <v>92.01637139966353</v>
      </c>
      <c r="EU170" s="447">
        <v>312030092</v>
      </c>
      <c r="EV170" s="447">
        <v>0</v>
      </c>
      <c r="EW170" s="447">
        <v>0</v>
      </c>
      <c r="EX170" s="447">
        <v>0</v>
      </c>
      <c r="EY170" s="447">
        <v>0</v>
      </c>
      <c r="EZ170" s="447">
        <v>0</v>
      </c>
      <c r="FA170" s="447">
        <v>0</v>
      </c>
      <c r="FB170" s="447">
        <v>0</v>
      </c>
      <c r="FC170" s="447">
        <v>0</v>
      </c>
      <c r="FD170" s="447">
        <v>312030092</v>
      </c>
      <c r="FE170" s="447">
        <v>193053.4945249973</v>
      </c>
      <c r="FF170" s="447">
        <v>0</v>
      </c>
      <c r="FG170" s="447">
        <v>0</v>
      </c>
      <c r="FH170" s="447">
        <v>20000</v>
      </c>
      <c r="FI170" s="456">
        <v>0.049800000000000004</v>
      </c>
      <c r="FJ170" s="447">
        <v>996</v>
      </c>
      <c r="FK170" s="471">
        <v>996</v>
      </c>
      <c r="FL170" s="446">
        <v>90.64</v>
      </c>
      <c r="FM170" s="450">
        <v>89.18</v>
      </c>
      <c r="FN170" s="450">
        <v>89.15</v>
      </c>
      <c r="FO170" s="450">
        <v>-0.03</v>
      </c>
      <c r="FP170" s="472">
        <v>86.08</v>
      </c>
      <c r="FQ170" s="446">
        <v>3798746</v>
      </c>
      <c r="FR170" s="450">
        <v>94648</v>
      </c>
      <c r="FS170" s="450">
        <v>0</v>
      </c>
      <c r="FT170" s="450">
        <v>0</v>
      </c>
      <c r="FU170" s="450">
        <v>0</v>
      </c>
      <c r="FV170" s="450">
        <v>0</v>
      </c>
      <c r="FW170" s="450">
        <v>0</v>
      </c>
      <c r="FX170" s="450">
        <v>0</v>
      </c>
      <c r="FY170" s="450">
        <v>0</v>
      </c>
      <c r="FZ170" s="450">
        <v>0</v>
      </c>
      <c r="GA170" s="450">
        <v>0</v>
      </c>
      <c r="GB170" s="450">
        <v>0</v>
      </c>
      <c r="GC170" s="450">
        <v>0</v>
      </c>
      <c r="GD170" s="450">
        <v>0</v>
      </c>
      <c r="GE170" s="450">
        <v>0</v>
      </c>
      <c r="GF170" s="450">
        <v>0</v>
      </c>
      <c r="GG170" s="450">
        <v>0</v>
      </c>
      <c r="GH170" s="450">
        <v>0</v>
      </c>
      <c r="GI170" s="450">
        <v>0</v>
      </c>
      <c r="GJ170" s="450">
        <v>0</v>
      </c>
      <c r="GK170" s="450">
        <v>0</v>
      </c>
      <c r="GL170" s="450">
        <v>0</v>
      </c>
      <c r="GM170" s="450">
        <v>0</v>
      </c>
      <c r="GN170" s="450">
        <v>0</v>
      </c>
      <c r="GO170" s="450">
        <v>0</v>
      </c>
      <c r="GP170" s="450">
        <v>0</v>
      </c>
      <c r="GQ170" s="450">
        <v>0</v>
      </c>
      <c r="GR170" s="450">
        <v>0</v>
      </c>
      <c r="GS170" s="450">
        <v>0</v>
      </c>
      <c r="GT170" s="450">
        <v>0</v>
      </c>
      <c r="GU170" s="450">
        <v>0</v>
      </c>
      <c r="GV170" s="450">
        <v>0</v>
      </c>
      <c r="GW170" s="450">
        <v>1948782</v>
      </c>
      <c r="GX170" s="450">
        <v>277326560</v>
      </c>
      <c r="GY170" s="450">
        <v>284015000</v>
      </c>
      <c r="GZ170" s="450">
        <v>8</v>
      </c>
      <c r="HA170" s="450" t="s">
        <v>888</v>
      </c>
      <c r="HB170" s="450" t="s">
        <v>888</v>
      </c>
      <c r="HC170" s="450">
        <v>0</v>
      </c>
      <c r="HD170" s="450">
        <v>0</v>
      </c>
      <c r="HE170" s="450">
        <v>0</v>
      </c>
      <c r="HF170" s="450">
        <v>0</v>
      </c>
      <c r="HG170" s="472">
        <v>0</v>
      </c>
    </row>
    <row r="171" spans="2:215" ht="12.75">
      <c r="B171" s="445" t="s">
        <v>16</v>
      </c>
      <c r="C171" s="446">
        <v>17180.6</v>
      </c>
      <c r="D171" s="447">
        <v>4033879.8</v>
      </c>
      <c r="E171" s="447">
        <v>3461068.8683999996</v>
      </c>
      <c r="F171" s="447">
        <v>895954.4881475619</v>
      </c>
      <c r="G171" s="447">
        <v>572810.9316</v>
      </c>
      <c r="H171" s="448">
        <v>0.7704067378322063</v>
      </c>
      <c r="I171" s="449">
        <v>12884.53</v>
      </c>
      <c r="J171" s="449">
        <v>351.52</v>
      </c>
      <c r="K171" s="447">
        <v>4357023.3565475615</v>
      </c>
      <c r="L171" s="447">
        <v>3485618.6852380494</v>
      </c>
      <c r="M171" s="447">
        <v>1769873.6787080292</v>
      </c>
      <c r="N171" s="447">
        <v>871404.6713095121</v>
      </c>
      <c r="O171" s="450">
        <v>2.031058286672177</v>
      </c>
      <c r="P171" s="451">
        <v>0.2069194323830367</v>
      </c>
      <c r="Q171" s="452">
        <v>0.7931038496909305</v>
      </c>
      <c r="R171" s="447">
        <v>5255492.363946078</v>
      </c>
      <c r="S171" s="447">
        <v>3552712.838027549</v>
      </c>
      <c r="T171" s="447">
        <v>347916.40221349354</v>
      </c>
      <c r="U171" s="447">
        <v>1217564.0648288645</v>
      </c>
      <c r="V171" s="447">
        <v>1198252.2589797059</v>
      </c>
      <c r="W171" s="450">
        <v>1.016116644641757</v>
      </c>
      <c r="X171" s="452">
        <v>17.837420710432507</v>
      </c>
      <c r="Y171" s="447">
        <v>347916.40221349354</v>
      </c>
      <c r="Z171" s="447">
        <v>504527.2669388235</v>
      </c>
      <c r="AA171" s="448">
        <v>0.6895888983849116</v>
      </c>
      <c r="AB171" s="448">
        <v>0.05424723234345716</v>
      </c>
      <c r="AC171" s="449">
        <v>941</v>
      </c>
      <c r="AD171" s="449">
        <v>923</v>
      </c>
      <c r="AE171" s="447">
        <v>5118193.305069907</v>
      </c>
      <c r="AF171" s="447">
        <v>229555.68377571774</v>
      </c>
      <c r="AG171" s="451">
        <v>0.75</v>
      </c>
      <c r="AH171" s="450">
        <v>0.12176611804992264</v>
      </c>
      <c r="AI171" s="452">
        <v>0.10254045575857162</v>
      </c>
      <c r="AJ171" s="447">
        <v>5347748.988845624</v>
      </c>
      <c r="AK171" s="453">
        <v>1.1982</v>
      </c>
      <c r="AL171" s="447">
        <v>6407672.838434827</v>
      </c>
      <c r="AM171" s="447">
        <v>15073806.451064147</v>
      </c>
      <c r="AN171" s="447">
        <v>14925024.99808854</v>
      </c>
      <c r="AO171" s="447">
        <v>17764602.752429243</v>
      </c>
      <c r="AP171" s="447">
        <v>17764602.752429243</v>
      </c>
      <c r="AQ171" s="447">
        <v>68722.4</v>
      </c>
      <c r="AR171" s="447">
        <v>17833325.15242924</v>
      </c>
      <c r="AS171" s="454">
        <v>1037.9919881976907</v>
      </c>
      <c r="AT171" s="450">
        <v>17119</v>
      </c>
      <c r="AU171" s="450">
        <v>414</v>
      </c>
      <c r="AV171" s="450">
        <v>319</v>
      </c>
      <c r="AW171" s="450">
        <v>698</v>
      </c>
      <c r="AX171" s="450">
        <v>2</v>
      </c>
      <c r="AY171" s="450">
        <v>361</v>
      </c>
      <c r="AZ171" s="450">
        <v>366</v>
      </c>
      <c r="BA171" s="450">
        <v>290</v>
      </c>
      <c r="BB171" s="450">
        <v>34</v>
      </c>
      <c r="BC171" s="450">
        <v>456</v>
      </c>
      <c r="BD171" s="450">
        <v>395</v>
      </c>
      <c r="BE171" s="450">
        <v>7439</v>
      </c>
      <c r="BF171" s="450">
        <v>6163</v>
      </c>
      <c r="BG171" s="450">
        <v>125</v>
      </c>
      <c r="BH171" s="450">
        <v>27</v>
      </c>
      <c r="BI171" s="450">
        <v>30</v>
      </c>
      <c r="BJ171" s="452">
        <v>2.123707865767468</v>
      </c>
      <c r="BK171" s="452">
        <v>13.19762778103274</v>
      </c>
      <c r="BL171" s="452">
        <v>5.78260301473847</v>
      </c>
      <c r="BM171" s="452">
        <v>14.830049532588541</v>
      </c>
      <c r="BN171" s="449">
        <v>3517</v>
      </c>
      <c r="BO171" s="449">
        <v>13602</v>
      </c>
      <c r="BP171" s="447">
        <v>6434363.370129228</v>
      </c>
      <c r="BQ171" s="447">
        <v>21833524</v>
      </c>
      <c r="BR171" s="447">
        <v>22711708</v>
      </c>
      <c r="BS171" s="448">
        <v>0.05444243238506922</v>
      </c>
      <c r="BT171" s="449">
        <v>941</v>
      </c>
      <c r="BU171" s="449">
        <v>923</v>
      </c>
      <c r="BV171" s="447">
        <v>1236480.6271394356</v>
      </c>
      <c r="BW171" s="448">
        <v>0.008049725462933584</v>
      </c>
      <c r="BX171" s="447">
        <v>28744.819146559224</v>
      </c>
      <c r="BY171" s="447">
        <v>29533112.81641522</v>
      </c>
      <c r="BZ171" s="455">
        <v>1.1933333333333331</v>
      </c>
      <c r="CA171" s="447">
        <v>35242847.96092216</v>
      </c>
      <c r="CB171" s="447">
        <v>26503576.95721611</v>
      </c>
      <c r="CC171" s="447">
        <v>26471138.685345586</v>
      </c>
      <c r="CD171" s="447">
        <v>26387140.68933813</v>
      </c>
      <c r="CE171" s="447">
        <v>26471138.685345586</v>
      </c>
      <c r="CF171" s="454">
        <v>1546.3016931681516</v>
      </c>
      <c r="CG171" s="450">
        <v>17119</v>
      </c>
      <c r="CH171" s="450">
        <v>414</v>
      </c>
      <c r="CI171" s="450">
        <v>319</v>
      </c>
      <c r="CJ171" s="450">
        <v>698</v>
      </c>
      <c r="CK171" s="450">
        <v>2</v>
      </c>
      <c r="CL171" s="450">
        <v>361</v>
      </c>
      <c r="CM171" s="450">
        <v>366</v>
      </c>
      <c r="CN171" s="450">
        <v>290</v>
      </c>
      <c r="CO171" s="450">
        <v>34</v>
      </c>
      <c r="CP171" s="450">
        <v>456</v>
      </c>
      <c r="CQ171" s="450">
        <v>395</v>
      </c>
      <c r="CR171" s="450">
        <v>7439</v>
      </c>
      <c r="CS171" s="450">
        <v>6163</v>
      </c>
      <c r="CT171" s="450">
        <v>125</v>
      </c>
      <c r="CU171" s="450">
        <v>27</v>
      </c>
      <c r="CV171" s="450">
        <v>30</v>
      </c>
      <c r="CW171" s="447">
        <v>14838342.5940676</v>
      </c>
      <c r="CX171" s="452">
        <v>1.1649479279270019</v>
      </c>
      <c r="CY171" s="452">
        <v>1.1933333333333331</v>
      </c>
      <c r="CZ171" s="447">
        <v>17285896.458830025</v>
      </c>
      <c r="DA171" s="454">
        <v>1009.7491943939497</v>
      </c>
      <c r="DB171" s="449">
        <v>17180.6</v>
      </c>
      <c r="DC171" s="452">
        <v>1.001533706622586</v>
      </c>
      <c r="DD171" s="454">
        <v>354.1</v>
      </c>
      <c r="DE171" s="447">
        <v>103806</v>
      </c>
      <c r="DF171" s="454">
        <v>77.04557511633007</v>
      </c>
      <c r="DG171" s="454">
        <v>80.35853484633226</v>
      </c>
      <c r="DH171" s="454">
        <v>82.12642261295156</v>
      </c>
      <c r="DI171" s="454">
        <v>83.93320391043648</v>
      </c>
      <c r="DJ171" s="454">
        <v>86.70299963948088</v>
      </c>
      <c r="DK171" s="454">
        <v>89.82430762650218</v>
      </c>
      <c r="DL171" s="454">
        <v>92.69868547055023</v>
      </c>
      <c r="DM171" s="454">
        <v>96.49933157484278</v>
      </c>
      <c r="DN171" s="454">
        <v>100.74530216413585</v>
      </c>
      <c r="DO171" s="454">
        <v>106.28629378316332</v>
      </c>
      <c r="DP171" s="454">
        <v>105.32971713911485</v>
      </c>
      <c r="DQ171" s="454">
        <v>110.7015327132097</v>
      </c>
      <c r="DR171" s="454">
        <v>117.45432620871549</v>
      </c>
      <c r="DS171" s="454">
        <v>55.19</v>
      </c>
      <c r="DT171" s="454">
        <v>58.976404261295144</v>
      </c>
      <c r="DU171" s="454">
        <v>62.90269835008727</v>
      </c>
      <c r="DV171" s="454">
        <v>67.69405142612024</v>
      </c>
      <c r="DW171" s="454">
        <v>72.94436161303793</v>
      </c>
      <c r="DX171" s="454">
        <v>78.18193189897097</v>
      </c>
      <c r="DY171" s="454">
        <v>84.40977920043157</v>
      </c>
      <c r="DZ171" s="454">
        <v>89.52619756068225</v>
      </c>
      <c r="EA171" s="454">
        <v>92.46390332591486</v>
      </c>
      <c r="EB171" s="454">
        <v>96.09361384521068</v>
      </c>
      <c r="EC171" s="454">
        <v>102.93581706369508</v>
      </c>
      <c r="ED171" s="454">
        <v>111.27475798061423</v>
      </c>
      <c r="EE171" s="454">
        <v>0</v>
      </c>
      <c r="EF171" s="454">
        <v>111.27475798061423</v>
      </c>
      <c r="EG171" s="454">
        <v>5786.28741499194</v>
      </c>
      <c r="EH171" s="447">
        <v>97423651.7707703</v>
      </c>
      <c r="EI171" s="454">
        <v>65.63</v>
      </c>
      <c r="EJ171" s="454">
        <v>68.57911626129514</v>
      </c>
      <c r="EK171" s="454">
        <v>71.62622871808728</v>
      </c>
      <c r="EL171" s="454">
        <v>75.57903243749624</v>
      </c>
      <c r="EM171" s="454">
        <v>79.94622475113982</v>
      </c>
      <c r="EN171" s="454">
        <v>84.2035341977386</v>
      </c>
      <c r="EO171" s="454">
        <v>89.42456959484525</v>
      </c>
      <c r="EP171" s="454">
        <v>94.17992304669814</v>
      </c>
      <c r="EQ171" s="454">
        <v>96.90200619774535</v>
      </c>
      <c r="ER171" s="454">
        <v>99.05914840162336</v>
      </c>
      <c r="ES171" s="454">
        <v>105.42923851872686</v>
      </c>
      <c r="ET171" s="454">
        <v>113.25889810345576</v>
      </c>
      <c r="EU171" s="447">
        <v>106401545</v>
      </c>
      <c r="EV171" s="447">
        <v>0</v>
      </c>
      <c r="EW171" s="447">
        <v>0</v>
      </c>
      <c r="EX171" s="447">
        <v>0</v>
      </c>
      <c r="EY171" s="447">
        <v>0</v>
      </c>
      <c r="EZ171" s="447">
        <v>0</v>
      </c>
      <c r="FA171" s="447">
        <v>0</v>
      </c>
      <c r="FB171" s="447">
        <v>5000</v>
      </c>
      <c r="FC171" s="447">
        <v>0</v>
      </c>
      <c r="FD171" s="447">
        <v>106396545</v>
      </c>
      <c r="FE171" s="447">
        <v>92532.75098653513</v>
      </c>
      <c r="FF171" s="447">
        <v>0</v>
      </c>
      <c r="FG171" s="447">
        <v>0</v>
      </c>
      <c r="FH171" s="447">
        <v>175510</v>
      </c>
      <c r="FI171" s="456">
        <v>0.0575</v>
      </c>
      <c r="FJ171" s="447">
        <v>10091.825</v>
      </c>
      <c r="FK171" s="471">
        <v>10091.825</v>
      </c>
      <c r="FL171" s="446">
        <v>0</v>
      </c>
      <c r="FM171" s="450">
        <v>0</v>
      </c>
      <c r="FN171" s="450">
        <v>0</v>
      </c>
      <c r="FO171" s="450">
        <v>0</v>
      </c>
      <c r="FP171" s="472">
        <v>111.95</v>
      </c>
      <c r="FQ171" s="446">
        <v>0</v>
      </c>
      <c r="FR171" s="450">
        <v>0</v>
      </c>
      <c r="FS171" s="450">
        <v>0</v>
      </c>
      <c r="FT171" s="450">
        <v>0</v>
      </c>
      <c r="FU171" s="450">
        <v>0</v>
      </c>
      <c r="FV171" s="450">
        <v>0</v>
      </c>
      <c r="FW171" s="450">
        <v>0</v>
      </c>
      <c r="FX171" s="450">
        <v>0</v>
      </c>
      <c r="FY171" s="450">
        <v>0</v>
      </c>
      <c r="FZ171" s="450">
        <v>0</v>
      </c>
      <c r="GA171" s="450">
        <v>0</v>
      </c>
      <c r="GB171" s="450">
        <v>0</v>
      </c>
      <c r="GC171" s="450">
        <v>0</v>
      </c>
      <c r="GD171" s="450">
        <v>0</v>
      </c>
      <c r="GE171" s="450">
        <v>0</v>
      </c>
      <c r="GF171" s="450">
        <v>0</v>
      </c>
      <c r="GG171" s="450">
        <v>0</v>
      </c>
      <c r="GH171" s="450">
        <v>0</v>
      </c>
      <c r="GI171" s="450">
        <v>0</v>
      </c>
      <c r="GJ171" s="450">
        <v>0</v>
      </c>
      <c r="GK171" s="450">
        <v>0</v>
      </c>
      <c r="GL171" s="450">
        <v>0</v>
      </c>
      <c r="GM171" s="450">
        <v>0</v>
      </c>
      <c r="GN171" s="450">
        <v>0</v>
      </c>
      <c r="GO171" s="450">
        <v>0</v>
      </c>
      <c r="GP171" s="450">
        <v>0</v>
      </c>
      <c r="GQ171" s="450">
        <v>0</v>
      </c>
      <c r="GR171" s="450">
        <v>0</v>
      </c>
      <c r="GS171" s="450">
        <v>0</v>
      </c>
      <c r="GT171" s="450">
        <v>0</v>
      </c>
      <c r="GU171" s="450">
        <v>0</v>
      </c>
      <c r="GV171" s="450">
        <v>0</v>
      </c>
      <c r="GW171" s="450">
        <v>3077000</v>
      </c>
      <c r="GX171" s="450">
        <v>40051000</v>
      </c>
      <c r="GY171" s="450">
        <v>39043000</v>
      </c>
      <c r="GZ171" s="450">
        <v>12</v>
      </c>
      <c r="HA171" s="450" t="s">
        <v>888</v>
      </c>
      <c r="HB171" s="450" t="s">
        <v>889</v>
      </c>
      <c r="HC171" s="450">
        <v>0</v>
      </c>
      <c r="HD171" s="450">
        <v>0</v>
      </c>
      <c r="HE171" s="450">
        <v>0</v>
      </c>
      <c r="HF171" s="450">
        <v>0</v>
      </c>
      <c r="HG171" s="472">
        <v>0</v>
      </c>
    </row>
    <row r="172" spans="2:215" ht="12.75">
      <c r="B172" s="445" t="s">
        <v>17</v>
      </c>
      <c r="C172" s="446">
        <v>5612</v>
      </c>
      <c r="D172" s="447">
        <v>1338396</v>
      </c>
      <c r="E172" s="447">
        <v>1148343.768</v>
      </c>
      <c r="F172" s="447">
        <v>177348.93587231878</v>
      </c>
      <c r="G172" s="447">
        <v>190052.23200000002</v>
      </c>
      <c r="H172" s="448">
        <v>0.45962223806129726</v>
      </c>
      <c r="I172" s="449">
        <v>2166.26</v>
      </c>
      <c r="J172" s="449">
        <v>413.14</v>
      </c>
      <c r="K172" s="447">
        <v>1325692.7038723186</v>
      </c>
      <c r="L172" s="447">
        <v>1060554.163097855</v>
      </c>
      <c r="M172" s="447">
        <v>358494.52020609943</v>
      </c>
      <c r="N172" s="447">
        <v>265138.5407744637</v>
      </c>
      <c r="O172" s="450">
        <v>1.352102637205987</v>
      </c>
      <c r="P172" s="451">
        <v>0.729151817533856</v>
      </c>
      <c r="Q172" s="452">
        <v>0.27084818246614395</v>
      </c>
      <c r="R172" s="447">
        <v>1419048.6833039543</v>
      </c>
      <c r="S172" s="447">
        <v>959276.9099134732</v>
      </c>
      <c r="T172" s="447">
        <v>122967.93132257562</v>
      </c>
      <c r="U172" s="447">
        <v>177130.7420814772</v>
      </c>
      <c r="V172" s="447">
        <v>323543.0997933016</v>
      </c>
      <c r="W172" s="450">
        <v>0.5474718582922607</v>
      </c>
      <c r="X172" s="452">
        <v>9.610595314009712</v>
      </c>
      <c r="Y172" s="447">
        <v>122967.93132257562</v>
      </c>
      <c r="Z172" s="447">
        <v>136228.67359717962</v>
      </c>
      <c r="AA172" s="448">
        <v>0.9026582148644032</v>
      </c>
      <c r="AB172" s="448">
        <v>0.07100855310049893</v>
      </c>
      <c r="AC172" s="449">
        <v>410</v>
      </c>
      <c r="AD172" s="449">
        <v>387</v>
      </c>
      <c r="AE172" s="447">
        <v>1259375.583317526</v>
      </c>
      <c r="AF172" s="447">
        <v>0</v>
      </c>
      <c r="AG172" s="451">
        <v>0</v>
      </c>
      <c r="AH172" s="450">
        <v>0.014845979573917808</v>
      </c>
      <c r="AI172" s="452">
        <v>0.012501946650445461</v>
      </c>
      <c r="AJ172" s="447">
        <v>1259375.583317526</v>
      </c>
      <c r="AK172" s="453">
        <v>1.0155</v>
      </c>
      <c r="AL172" s="447">
        <v>1278895.9048589477</v>
      </c>
      <c r="AM172" s="447">
        <v>3008553.9363478543</v>
      </c>
      <c r="AN172" s="447">
        <v>2978858.913563897</v>
      </c>
      <c r="AO172" s="447">
        <v>2940388.47797212</v>
      </c>
      <c r="AP172" s="447">
        <v>2978858.913563897</v>
      </c>
      <c r="AQ172" s="447">
        <v>22448</v>
      </c>
      <c r="AR172" s="447">
        <v>3001306.913563897</v>
      </c>
      <c r="AS172" s="454">
        <v>534.801659580167</v>
      </c>
      <c r="AT172" s="450">
        <v>5612</v>
      </c>
      <c r="AU172" s="450">
        <v>208</v>
      </c>
      <c r="AV172" s="450">
        <v>370</v>
      </c>
      <c r="AW172" s="450">
        <v>262</v>
      </c>
      <c r="AX172" s="450">
        <v>111</v>
      </c>
      <c r="AY172" s="450">
        <v>697</v>
      </c>
      <c r="AZ172" s="450">
        <v>122</v>
      </c>
      <c r="BA172" s="450">
        <v>327</v>
      </c>
      <c r="BB172" s="450">
        <v>411</v>
      </c>
      <c r="BC172" s="450">
        <v>27</v>
      </c>
      <c r="BD172" s="450">
        <v>887</v>
      </c>
      <c r="BE172" s="450">
        <v>1161</v>
      </c>
      <c r="BF172" s="450">
        <v>359</v>
      </c>
      <c r="BG172" s="450">
        <v>670</v>
      </c>
      <c r="BH172" s="450">
        <v>0</v>
      </c>
      <c r="BI172" s="450">
        <v>0</v>
      </c>
      <c r="BJ172" s="452">
        <v>1.4587685524662874</v>
      </c>
      <c r="BK172" s="452">
        <v>9.500890480859663</v>
      </c>
      <c r="BL172" s="452">
        <v>5.088603139813146</v>
      </c>
      <c r="BM172" s="452">
        <v>8.824574682093036</v>
      </c>
      <c r="BN172" s="449">
        <v>4092</v>
      </c>
      <c r="BO172" s="449">
        <v>1520</v>
      </c>
      <c r="BP172" s="447">
        <v>1673725.3925149573</v>
      </c>
      <c r="BQ172" s="447">
        <v>6219218</v>
      </c>
      <c r="BR172" s="447">
        <v>7681220</v>
      </c>
      <c r="BS172" s="448">
        <v>0.07100855310049893</v>
      </c>
      <c r="BT172" s="449">
        <v>410</v>
      </c>
      <c r="BU172" s="449">
        <v>387</v>
      </c>
      <c r="BV172" s="447">
        <v>545432.3182466144</v>
      </c>
      <c r="BW172" s="448">
        <v>0.006202163787674607</v>
      </c>
      <c r="BX172" s="447">
        <v>5226.722576981551</v>
      </c>
      <c r="BY172" s="447">
        <v>8443602.433338553</v>
      </c>
      <c r="BZ172" s="455">
        <v>0.97</v>
      </c>
      <c r="CA172" s="447">
        <v>8190294.360338396</v>
      </c>
      <c r="CB172" s="447">
        <v>6159323.36462067</v>
      </c>
      <c r="CC172" s="447">
        <v>6151784.842323752</v>
      </c>
      <c r="CD172" s="447">
        <v>5943929.267873764</v>
      </c>
      <c r="CE172" s="447">
        <v>6151784.842323752</v>
      </c>
      <c r="CF172" s="454">
        <v>1096.184041754054</v>
      </c>
      <c r="CG172" s="450">
        <v>5612</v>
      </c>
      <c r="CH172" s="450">
        <v>208</v>
      </c>
      <c r="CI172" s="450">
        <v>370</v>
      </c>
      <c r="CJ172" s="450">
        <v>262</v>
      </c>
      <c r="CK172" s="450">
        <v>111</v>
      </c>
      <c r="CL172" s="450">
        <v>697</v>
      </c>
      <c r="CM172" s="450">
        <v>122</v>
      </c>
      <c r="CN172" s="450">
        <v>327</v>
      </c>
      <c r="CO172" s="450">
        <v>411</v>
      </c>
      <c r="CP172" s="450">
        <v>27</v>
      </c>
      <c r="CQ172" s="450">
        <v>887</v>
      </c>
      <c r="CR172" s="450">
        <v>1161</v>
      </c>
      <c r="CS172" s="450">
        <v>359</v>
      </c>
      <c r="CT172" s="450">
        <v>670</v>
      </c>
      <c r="CU172" s="450">
        <v>0</v>
      </c>
      <c r="CV172" s="450">
        <v>0</v>
      </c>
      <c r="CW172" s="447">
        <v>4154636.174313652</v>
      </c>
      <c r="CX172" s="452">
        <v>0.9469269470021162</v>
      </c>
      <c r="CY172" s="452">
        <v>0.97</v>
      </c>
      <c r="CZ172" s="447">
        <v>3934136.9484473784</v>
      </c>
      <c r="DA172" s="454">
        <v>701.0222645130752</v>
      </c>
      <c r="DB172" s="449">
        <v>5612</v>
      </c>
      <c r="DC172" s="452">
        <v>1.0088203848895225</v>
      </c>
      <c r="DD172" s="454">
        <v>326.1</v>
      </c>
      <c r="DE172" s="447">
        <v>55747</v>
      </c>
      <c r="DF172" s="454">
        <v>58.11494522472458</v>
      </c>
      <c r="DG172" s="454">
        <v>60.61388786938773</v>
      </c>
      <c r="DH172" s="454">
        <v>61.94739340251425</v>
      </c>
      <c r="DI172" s="454">
        <v>63.31023605736955</v>
      </c>
      <c r="DJ172" s="454">
        <v>65.39947384726274</v>
      </c>
      <c r="DK172" s="454">
        <v>67.75385490576419</v>
      </c>
      <c r="DL172" s="454">
        <v>69.92197826274862</v>
      </c>
      <c r="DM172" s="454">
        <v>72.78877937152131</v>
      </c>
      <c r="DN172" s="454">
        <v>75.99148566386825</v>
      </c>
      <c r="DO172" s="454">
        <v>80.171017375381</v>
      </c>
      <c r="DP172" s="454">
        <v>79.44947821900257</v>
      </c>
      <c r="DQ172" s="454">
        <v>83.5014016081717</v>
      </c>
      <c r="DR172" s="454">
        <v>88.59498710627017</v>
      </c>
      <c r="DS172" s="454">
        <v>44.96</v>
      </c>
      <c r="DT172" s="454">
        <v>47.54894734025142</v>
      </c>
      <c r="DU172" s="454">
        <v>50.230047723473895</v>
      </c>
      <c r="DV172" s="454">
        <v>53.576618616962804</v>
      </c>
      <c r="DW172" s="454">
        <v>57.25515946125785</v>
      </c>
      <c r="DX172" s="454">
        <v>60.893100180473176</v>
      </c>
      <c r="DY172" s="454">
        <v>65.26952970460232</v>
      </c>
      <c r="DZ172" s="454">
        <v>69.01362197296741</v>
      </c>
      <c r="EA172" s="454">
        <v>71.16072531324532</v>
      </c>
      <c r="EB172" s="454">
        <v>73.42881280287773</v>
      </c>
      <c r="EC172" s="454">
        <v>78.43922612629393</v>
      </c>
      <c r="ED172" s="454">
        <v>84.56676096656594</v>
      </c>
      <c r="EE172" s="454">
        <v>-2.41</v>
      </c>
      <c r="EF172" s="454">
        <v>82.15676096656594</v>
      </c>
      <c r="EG172" s="454">
        <v>4272.151570261429</v>
      </c>
      <c r="EH172" s="447">
        <v>23495808.320060994</v>
      </c>
      <c r="EI172" s="454">
        <v>46.56</v>
      </c>
      <c r="EJ172" s="454">
        <v>49.020627340251416</v>
      </c>
      <c r="EK172" s="454">
        <v>51.566987243473896</v>
      </c>
      <c r="EL172" s="454">
        <v>54.7850448256028</v>
      </c>
      <c r="EM172" s="454">
        <v>58.32824193453016</v>
      </c>
      <c r="EN172" s="454">
        <v>61.81595110748737</v>
      </c>
      <c r="EO172" s="454">
        <v>66.03807995661975</v>
      </c>
      <c r="EP172" s="454">
        <v>69.7268366068396</v>
      </c>
      <c r="EQ172" s="454">
        <v>71.84089433574809</v>
      </c>
      <c r="ER172" s="454">
        <v>73.88330085750036</v>
      </c>
      <c r="ES172" s="454">
        <v>78.82135968262064</v>
      </c>
      <c r="ET172" s="454">
        <v>84.87084374401292</v>
      </c>
      <c r="EU172" s="447">
        <v>13840498</v>
      </c>
      <c r="EV172" s="447">
        <v>0</v>
      </c>
      <c r="EW172" s="447">
        <v>0</v>
      </c>
      <c r="EX172" s="447">
        <v>0</v>
      </c>
      <c r="EY172" s="447">
        <v>0</v>
      </c>
      <c r="EZ172" s="447">
        <v>0</v>
      </c>
      <c r="FA172" s="447">
        <v>0</v>
      </c>
      <c r="FB172" s="447">
        <v>0</v>
      </c>
      <c r="FC172" s="447">
        <v>0</v>
      </c>
      <c r="FD172" s="447">
        <v>13840498</v>
      </c>
      <c r="FE172" s="447">
        <v>47288.17489885598</v>
      </c>
      <c r="FF172" s="447">
        <v>0</v>
      </c>
      <c r="FG172" s="447">
        <v>0</v>
      </c>
      <c r="FH172" s="447">
        <v>15184</v>
      </c>
      <c r="FI172" s="456">
        <v>0.0313</v>
      </c>
      <c r="FJ172" s="447">
        <v>475.2592</v>
      </c>
      <c r="FK172" s="471">
        <v>475.2592</v>
      </c>
      <c r="FL172" s="446">
        <v>83.49</v>
      </c>
      <c r="FM172" s="450">
        <v>78.2</v>
      </c>
      <c r="FN172" s="450">
        <v>75.28</v>
      </c>
      <c r="FO172" s="450">
        <v>-2.92</v>
      </c>
      <c r="FP172" s="472">
        <v>75.79</v>
      </c>
      <c r="FQ172" s="446">
        <v>307910</v>
      </c>
      <c r="FR172" s="450">
        <v>0</v>
      </c>
      <c r="FS172" s="450">
        <v>0</v>
      </c>
      <c r="FT172" s="450">
        <v>0</v>
      </c>
      <c r="FU172" s="450">
        <v>0</v>
      </c>
      <c r="FV172" s="450">
        <v>0</v>
      </c>
      <c r="FW172" s="450">
        <v>0</v>
      </c>
      <c r="FX172" s="450">
        <v>0</v>
      </c>
      <c r="FY172" s="450">
        <v>0</v>
      </c>
      <c r="FZ172" s="450">
        <v>0</v>
      </c>
      <c r="GA172" s="450">
        <v>0</v>
      </c>
      <c r="GB172" s="450">
        <v>0</v>
      </c>
      <c r="GC172" s="450">
        <v>0</v>
      </c>
      <c r="GD172" s="450">
        <v>0</v>
      </c>
      <c r="GE172" s="450">
        <v>0</v>
      </c>
      <c r="GF172" s="450">
        <v>0</v>
      </c>
      <c r="GG172" s="450">
        <v>0</v>
      </c>
      <c r="GH172" s="450">
        <v>0</v>
      </c>
      <c r="GI172" s="450">
        <v>0</v>
      </c>
      <c r="GJ172" s="450">
        <v>0</v>
      </c>
      <c r="GK172" s="450">
        <v>0</v>
      </c>
      <c r="GL172" s="450">
        <v>0</v>
      </c>
      <c r="GM172" s="450">
        <v>0</v>
      </c>
      <c r="GN172" s="450">
        <v>0</v>
      </c>
      <c r="GO172" s="450">
        <v>0</v>
      </c>
      <c r="GP172" s="450">
        <v>0</v>
      </c>
      <c r="GQ172" s="450">
        <v>0</v>
      </c>
      <c r="GR172" s="450">
        <v>0</v>
      </c>
      <c r="GS172" s="450">
        <v>0</v>
      </c>
      <c r="GT172" s="450">
        <v>0</v>
      </c>
      <c r="GU172" s="450">
        <v>0</v>
      </c>
      <c r="GV172" s="450">
        <v>0</v>
      </c>
      <c r="GW172" s="450">
        <v>0</v>
      </c>
      <c r="GX172" s="450">
        <v>-370204</v>
      </c>
      <c r="GY172" s="450">
        <v>-370204</v>
      </c>
      <c r="GZ172" s="450">
        <v>1</v>
      </c>
      <c r="HA172" s="450" t="s">
        <v>888</v>
      </c>
      <c r="HB172" s="450" t="s">
        <v>888</v>
      </c>
      <c r="HC172" s="450">
        <v>0</v>
      </c>
      <c r="HD172" s="450">
        <v>0</v>
      </c>
      <c r="HE172" s="450">
        <v>0</v>
      </c>
      <c r="HF172" s="450">
        <v>29</v>
      </c>
      <c r="HG172" s="472">
        <v>0</v>
      </c>
    </row>
    <row r="173" spans="2:215" ht="12.75">
      <c r="B173" s="445" t="s">
        <v>18</v>
      </c>
      <c r="C173" s="446">
        <v>4584.75</v>
      </c>
      <c r="D173" s="447">
        <v>1099046.75</v>
      </c>
      <c r="E173" s="447">
        <v>942982.1115</v>
      </c>
      <c r="F173" s="447">
        <v>109842.0026131293</v>
      </c>
      <c r="G173" s="447">
        <v>156064.63850000003</v>
      </c>
      <c r="H173" s="448">
        <v>0.3466644855226566</v>
      </c>
      <c r="I173" s="449">
        <v>1163.23</v>
      </c>
      <c r="J173" s="449">
        <v>426.14</v>
      </c>
      <c r="K173" s="447">
        <v>1052824.1141131292</v>
      </c>
      <c r="L173" s="447">
        <v>842259.2912905035</v>
      </c>
      <c r="M173" s="447">
        <v>236428.73687956712</v>
      </c>
      <c r="N173" s="447">
        <v>210564.8228226258</v>
      </c>
      <c r="O173" s="450">
        <v>1.1228311249250231</v>
      </c>
      <c r="P173" s="451">
        <v>0.9056109929658106</v>
      </c>
      <c r="Q173" s="452">
        <v>0.09444353563444026</v>
      </c>
      <c r="R173" s="447">
        <v>1078688.0281700706</v>
      </c>
      <c r="S173" s="447">
        <v>729193.1070429678</v>
      </c>
      <c r="T173" s="447">
        <v>66181.26100350532</v>
      </c>
      <c r="U173" s="447">
        <v>225616.51053477463</v>
      </c>
      <c r="V173" s="447">
        <v>245940.87042277612</v>
      </c>
      <c r="W173" s="450">
        <v>0.9173607873589144</v>
      </c>
      <c r="X173" s="452">
        <v>16.103810909567027</v>
      </c>
      <c r="Y173" s="447">
        <v>66181.26100350532</v>
      </c>
      <c r="Z173" s="447">
        <v>103554.05070432679</v>
      </c>
      <c r="AA173" s="448">
        <v>0.6390987175621907</v>
      </c>
      <c r="AB173" s="448">
        <v>0.050275369431266696</v>
      </c>
      <c r="AC173" s="449">
        <v>216</v>
      </c>
      <c r="AD173" s="449">
        <v>245</v>
      </c>
      <c r="AE173" s="447">
        <v>1020990.8785812478</v>
      </c>
      <c r="AF173" s="447">
        <v>26828.579462201888</v>
      </c>
      <c r="AG173" s="451">
        <v>0.25</v>
      </c>
      <c r="AH173" s="450">
        <v>0.19486010662317935</v>
      </c>
      <c r="AI173" s="452">
        <v>0.16409362852573395</v>
      </c>
      <c r="AJ173" s="447">
        <v>1047819.4580434497</v>
      </c>
      <c r="AK173" s="453">
        <v>1</v>
      </c>
      <c r="AL173" s="447">
        <v>1047819.4580434497</v>
      </c>
      <c r="AM173" s="447">
        <v>2464955.390897263</v>
      </c>
      <c r="AN173" s="447">
        <v>2440625.7933421703</v>
      </c>
      <c r="AO173" s="447">
        <v>2267818.172166339</v>
      </c>
      <c r="AP173" s="447">
        <v>2440625.7933421703</v>
      </c>
      <c r="AQ173" s="447">
        <v>18339</v>
      </c>
      <c r="AR173" s="447">
        <v>2458964.7933421703</v>
      </c>
      <c r="AS173" s="454">
        <v>536.3356329880954</v>
      </c>
      <c r="AT173" s="450">
        <v>4584</v>
      </c>
      <c r="AU173" s="450">
        <v>92</v>
      </c>
      <c r="AV173" s="450">
        <v>264</v>
      </c>
      <c r="AW173" s="450">
        <v>215</v>
      </c>
      <c r="AX173" s="450">
        <v>90</v>
      </c>
      <c r="AY173" s="450">
        <v>1001</v>
      </c>
      <c r="AZ173" s="450">
        <v>160</v>
      </c>
      <c r="BA173" s="450">
        <v>267</v>
      </c>
      <c r="BB173" s="450">
        <v>46</v>
      </c>
      <c r="BC173" s="450">
        <v>7</v>
      </c>
      <c r="BD173" s="450">
        <v>867</v>
      </c>
      <c r="BE173" s="450">
        <v>349</v>
      </c>
      <c r="BF173" s="450">
        <v>84</v>
      </c>
      <c r="BG173" s="450">
        <v>1142</v>
      </c>
      <c r="BH173" s="450">
        <v>0</v>
      </c>
      <c r="BI173" s="450">
        <v>0</v>
      </c>
      <c r="BJ173" s="452">
        <v>1.4371173872271816</v>
      </c>
      <c r="BK173" s="452">
        <v>12.185175885405457</v>
      </c>
      <c r="BL173" s="452">
        <v>8.044049070952004</v>
      </c>
      <c r="BM173" s="452">
        <v>8.282253628906902</v>
      </c>
      <c r="BN173" s="449">
        <v>4151</v>
      </c>
      <c r="BO173" s="449">
        <v>433</v>
      </c>
      <c r="BP173" s="447">
        <v>1390431.1917857195</v>
      </c>
      <c r="BQ173" s="447">
        <v>4658658</v>
      </c>
      <c r="BR173" s="447">
        <v>6207704</v>
      </c>
      <c r="BS173" s="448">
        <v>0.050283595113438044</v>
      </c>
      <c r="BT173" s="449">
        <v>216</v>
      </c>
      <c r="BU173" s="449">
        <v>245</v>
      </c>
      <c r="BV173" s="447">
        <v>312145.6745200698</v>
      </c>
      <c r="BW173" s="448">
        <v>0.02194156916537313</v>
      </c>
      <c r="BX173" s="447">
        <v>19370.834854537214</v>
      </c>
      <c r="BY173" s="447">
        <v>6380605.701160327</v>
      </c>
      <c r="BZ173" s="455">
        <v>0.9566666666666667</v>
      </c>
      <c r="CA173" s="447">
        <v>6104112.787443379</v>
      </c>
      <c r="CB173" s="447">
        <v>4590458.273886314</v>
      </c>
      <c r="CC173" s="447">
        <v>4584839.917777665</v>
      </c>
      <c r="CD173" s="447">
        <v>4397014.145149625</v>
      </c>
      <c r="CE173" s="447">
        <v>4584839.917777665</v>
      </c>
      <c r="CF173" s="454">
        <v>1000.1832281364889</v>
      </c>
      <c r="CG173" s="450">
        <v>4584</v>
      </c>
      <c r="CH173" s="450">
        <v>92</v>
      </c>
      <c r="CI173" s="450">
        <v>264</v>
      </c>
      <c r="CJ173" s="450">
        <v>215</v>
      </c>
      <c r="CK173" s="450">
        <v>90</v>
      </c>
      <c r="CL173" s="450">
        <v>1001</v>
      </c>
      <c r="CM173" s="450">
        <v>160</v>
      </c>
      <c r="CN173" s="450">
        <v>267</v>
      </c>
      <c r="CO173" s="450">
        <v>46</v>
      </c>
      <c r="CP173" s="450">
        <v>7</v>
      </c>
      <c r="CQ173" s="450">
        <v>867</v>
      </c>
      <c r="CR173" s="450">
        <v>349</v>
      </c>
      <c r="CS173" s="450">
        <v>84</v>
      </c>
      <c r="CT173" s="450">
        <v>1142</v>
      </c>
      <c r="CU173" s="450">
        <v>0</v>
      </c>
      <c r="CV173" s="450">
        <v>0</v>
      </c>
      <c r="CW173" s="447">
        <v>3320038.4881409835</v>
      </c>
      <c r="CX173" s="452">
        <v>0.9339107690364513</v>
      </c>
      <c r="CY173" s="452">
        <v>0.9566666666666667</v>
      </c>
      <c r="CZ173" s="447">
        <v>3100619.697690363</v>
      </c>
      <c r="DA173" s="454">
        <v>676.4004576113357</v>
      </c>
      <c r="DB173" s="449">
        <v>4584.75</v>
      </c>
      <c r="DC173" s="452">
        <v>1.007148699492884</v>
      </c>
      <c r="DD173" s="454">
        <v>304.3</v>
      </c>
      <c r="DE173" s="447">
        <v>35694</v>
      </c>
      <c r="DF173" s="454">
        <v>48.791117956649984</v>
      </c>
      <c r="DG173" s="454">
        <v>50.88913602878593</v>
      </c>
      <c r="DH173" s="454">
        <v>52.00869702141921</v>
      </c>
      <c r="DI173" s="454">
        <v>53.15288835589042</v>
      </c>
      <c r="DJ173" s="454">
        <v>54.906933671634796</v>
      </c>
      <c r="DK173" s="454">
        <v>56.883583283813635</v>
      </c>
      <c r="DL173" s="454">
        <v>58.70385794889566</v>
      </c>
      <c r="DM173" s="454">
        <v>61.110716124800376</v>
      </c>
      <c r="DN173" s="454">
        <v>63.79958763429158</v>
      </c>
      <c r="DO173" s="454">
        <v>67.30856495417761</v>
      </c>
      <c r="DP173" s="454">
        <v>66.70278786959001</v>
      </c>
      <c r="DQ173" s="454">
        <v>70.1046300509391</v>
      </c>
      <c r="DR173" s="454">
        <v>74.38101248404638</v>
      </c>
      <c r="DS173" s="454">
        <v>37.9</v>
      </c>
      <c r="DT173" s="454">
        <v>40.06128970214191</v>
      </c>
      <c r="DU173" s="454">
        <v>42.29933255117807</v>
      </c>
      <c r="DV173" s="454">
        <v>45.09667591865042</v>
      </c>
      <c r="DW173" s="454">
        <v>48.17207439916351</v>
      </c>
      <c r="DX173" s="454">
        <v>51.21196030809656</v>
      </c>
      <c r="DY173" s="454">
        <v>54.871463769542885</v>
      </c>
      <c r="DZ173" s="454">
        <v>58.00956144861263</v>
      </c>
      <c r="EA173" s="454">
        <v>59.80902276510542</v>
      </c>
      <c r="EB173" s="454">
        <v>61.69160355024245</v>
      </c>
      <c r="EC173" s="454">
        <v>65.89122627523167</v>
      </c>
      <c r="ED173" s="454">
        <v>71.0281964295272</v>
      </c>
      <c r="EE173" s="454">
        <v>0</v>
      </c>
      <c r="EF173" s="454">
        <v>71.0281964295272</v>
      </c>
      <c r="EG173" s="454">
        <v>3693.4662143354144</v>
      </c>
      <c r="EH173" s="447">
        <v>16594946.841650805</v>
      </c>
      <c r="EI173" s="454">
        <v>42.99</v>
      </c>
      <c r="EJ173" s="454">
        <v>44.74307170214192</v>
      </c>
      <c r="EK173" s="454">
        <v>46.552471399178074</v>
      </c>
      <c r="EL173" s="454">
        <v>48.940981794886426</v>
      </c>
      <c r="EM173" s="454">
        <v>51.58581801726108</v>
      </c>
      <c r="EN173" s="454">
        <v>54.14777981966047</v>
      </c>
      <c r="EO173" s="454">
        <v>57.316414258773314</v>
      </c>
      <c r="EP173" s="454">
        <v>60.27847550261847</v>
      </c>
      <c r="EQ173" s="454">
        <v>61.972810467942324</v>
      </c>
      <c r="ER173" s="454">
        <v>63.137443674010704</v>
      </c>
      <c r="ES173" s="454">
        <v>67.10688865129602</v>
      </c>
      <c r="ET173" s="454">
        <v>71.9955597652804</v>
      </c>
      <c r="EU173" s="447">
        <v>18973516</v>
      </c>
      <c r="EV173" s="447">
        <v>0</v>
      </c>
      <c r="EW173" s="447">
        <v>0</v>
      </c>
      <c r="EX173" s="447">
        <v>0</v>
      </c>
      <c r="EY173" s="447">
        <v>0</v>
      </c>
      <c r="EZ173" s="447">
        <v>0</v>
      </c>
      <c r="FA173" s="447">
        <v>0</v>
      </c>
      <c r="FB173" s="447">
        <v>0</v>
      </c>
      <c r="FC173" s="447">
        <v>0</v>
      </c>
      <c r="FD173" s="447">
        <v>18973516</v>
      </c>
      <c r="FE173" s="447">
        <v>49797.37047265167</v>
      </c>
      <c r="FF173" s="447">
        <v>0</v>
      </c>
      <c r="FG173" s="447">
        <v>0</v>
      </c>
      <c r="FH173" s="447">
        <v>3378</v>
      </c>
      <c r="FI173" s="456">
        <v>0.09</v>
      </c>
      <c r="FJ173" s="447">
        <v>304.02</v>
      </c>
      <c r="FK173" s="471">
        <v>304.02</v>
      </c>
      <c r="FL173" s="446">
        <v>70.1</v>
      </c>
      <c r="FM173" s="450">
        <v>66.51</v>
      </c>
      <c r="FN173" s="450">
        <v>65.69</v>
      </c>
      <c r="FO173" s="450">
        <v>-0.82</v>
      </c>
      <c r="FP173" s="472">
        <v>66.75</v>
      </c>
      <c r="FQ173" s="446">
        <v>313796</v>
      </c>
      <c r="FR173" s="450">
        <v>89762</v>
      </c>
      <c r="FS173" s="450">
        <v>0</v>
      </c>
      <c r="FT173" s="450">
        <v>0</v>
      </c>
      <c r="FU173" s="450">
        <v>0</v>
      </c>
      <c r="FV173" s="450">
        <v>0</v>
      </c>
      <c r="FW173" s="450">
        <v>0</v>
      </c>
      <c r="FX173" s="450">
        <v>0</v>
      </c>
      <c r="FY173" s="450">
        <v>0</v>
      </c>
      <c r="FZ173" s="450">
        <v>0</v>
      </c>
      <c r="GA173" s="450">
        <v>0</v>
      </c>
      <c r="GB173" s="450">
        <v>0</v>
      </c>
      <c r="GC173" s="450">
        <v>0</v>
      </c>
      <c r="GD173" s="450">
        <v>0</v>
      </c>
      <c r="GE173" s="450">
        <v>0</v>
      </c>
      <c r="GF173" s="450">
        <v>0</v>
      </c>
      <c r="GG173" s="450">
        <v>0</v>
      </c>
      <c r="GH173" s="450">
        <v>0</v>
      </c>
      <c r="GI173" s="450">
        <v>0</v>
      </c>
      <c r="GJ173" s="450">
        <v>0</v>
      </c>
      <c r="GK173" s="450">
        <v>0</v>
      </c>
      <c r="GL173" s="450">
        <v>0</v>
      </c>
      <c r="GM173" s="450">
        <v>0</v>
      </c>
      <c r="GN173" s="450">
        <v>0</v>
      </c>
      <c r="GO173" s="450">
        <v>0</v>
      </c>
      <c r="GP173" s="450">
        <v>0</v>
      </c>
      <c r="GQ173" s="450">
        <v>0</v>
      </c>
      <c r="GR173" s="450">
        <v>0</v>
      </c>
      <c r="GS173" s="450">
        <v>0</v>
      </c>
      <c r="GT173" s="450">
        <v>0</v>
      </c>
      <c r="GU173" s="450">
        <v>0</v>
      </c>
      <c r="GV173" s="450">
        <v>0</v>
      </c>
      <c r="GW173" s="450">
        <v>0</v>
      </c>
      <c r="GX173" s="450">
        <v>9849189</v>
      </c>
      <c r="GY173" s="450">
        <v>9837629</v>
      </c>
      <c r="GZ173" s="450">
        <v>0</v>
      </c>
      <c r="HA173" s="450" t="s">
        <v>888</v>
      </c>
      <c r="HB173" s="450" t="s">
        <v>888</v>
      </c>
      <c r="HC173" s="450">
        <v>0</v>
      </c>
      <c r="HD173" s="450">
        <v>0</v>
      </c>
      <c r="HE173" s="450">
        <v>0</v>
      </c>
      <c r="HF173" s="450">
        <v>0</v>
      </c>
      <c r="HG173" s="472">
        <v>0</v>
      </c>
    </row>
    <row r="174" spans="2:215" ht="12.75">
      <c r="B174" s="445" t="s">
        <v>19</v>
      </c>
      <c r="C174" s="446">
        <v>4911.92</v>
      </c>
      <c r="D174" s="447">
        <v>1175277.36</v>
      </c>
      <c r="E174" s="447">
        <v>1008387.9748799999</v>
      </c>
      <c r="F174" s="447">
        <v>134911.75418781638</v>
      </c>
      <c r="G174" s="447">
        <v>166889.38512</v>
      </c>
      <c r="H174" s="448">
        <v>0.3981681297741006</v>
      </c>
      <c r="I174" s="449">
        <v>1542.37</v>
      </c>
      <c r="J174" s="449">
        <v>413.4</v>
      </c>
      <c r="K174" s="447">
        <v>1143299.7290678162</v>
      </c>
      <c r="L174" s="447">
        <v>914639.783254253</v>
      </c>
      <c r="M174" s="447">
        <v>245715.6859207256</v>
      </c>
      <c r="N174" s="447">
        <v>228659.9458135632</v>
      </c>
      <c r="O174" s="450">
        <v>1.0745899770354566</v>
      </c>
      <c r="P174" s="451">
        <v>0.9430121011742862</v>
      </c>
      <c r="Q174" s="452">
        <v>0.05720777211355234</v>
      </c>
      <c r="R174" s="447">
        <v>1160355.4691749786</v>
      </c>
      <c r="S174" s="447">
        <v>784400.2971622855</v>
      </c>
      <c r="T174" s="447">
        <v>72071.52073954069</v>
      </c>
      <c r="U174" s="447">
        <v>108397.65488254582</v>
      </c>
      <c r="V174" s="447">
        <v>264561.0469718951</v>
      </c>
      <c r="W174" s="450">
        <v>0.4097264360087792</v>
      </c>
      <c r="X174" s="452">
        <v>7.192543153204006</v>
      </c>
      <c r="Y174" s="447">
        <v>72071.52073954069</v>
      </c>
      <c r="Z174" s="447">
        <v>111394.12504079794</v>
      </c>
      <c r="AA174" s="448">
        <v>0.6469957074768943</v>
      </c>
      <c r="AB174" s="448">
        <v>0.05089659440707503</v>
      </c>
      <c r="AC174" s="449">
        <v>232</v>
      </c>
      <c r="AD174" s="449">
        <v>268</v>
      </c>
      <c r="AE174" s="447">
        <v>964869.472784372</v>
      </c>
      <c r="AF174" s="447">
        <v>0</v>
      </c>
      <c r="AG174" s="451">
        <v>0</v>
      </c>
      <c r="AH174" s="450">
        <v>0</v>
      </c>
      <c r="AI174" s="452">
        <v>0</v>
      </c>
      <c r="AJ174" s="447">
        <v>964869.472784372</v>
      </c>
      <c r="AK174" s="453">
        <v>1.104</v>
      </c>
      <c r="AL174" s="447">
        <v>1065215.8979539468</v>
      </c>
      <c r="AM174" s="447">
        <v>2505879.853609447</v>
      </c>
      <c r="AN174" s="447">
        <v>2481146.323507898</v>
      </c>
      <c r="AO174" s="447">
        <v>2457578.246839061</v>
      </c>
      <c r="AP174" s="447">
        <v>2481146.323507898</v>
      </c>
      <c r="AQ174" s="447">
        <v>19647.68</v>
      </c>
      <c r="AR174" s="447">
        <v>2500794.003507898</v>
      </c>
      <c r="AS174" s="454">
        <v>509.1275923687475</v>
      </c>
      <c r="AT174" s="450">
        <v>4866</v>
      </c>
      <c r="AU174" s="450">
        <v>100</v>
      </c>
      <c r="AV174" s="450">
        <v>645</v>
      </c>
      <c r="AW174" s="450">
        <v>64</v>
      </c>
      <c r="AX174" s="450">
        <v>203</v>
      </c>
      <c r="AY174" s="450">
        <v>713</v>
      </c>
      <c r="AZ174" s="450">
        <v>261</v>
      </c>
      <c r="BA174" s="450">
        <v>224</v>
      </c>
      <c r="BB174" s="450">
        <v>0</v>
      </c>
      <c r="BC174" s="450">
        <v>19</v>
      </c>
      <c r="BD174" s="450">
        <v>1428</v>
      </c>
      <c r="BE174" s="450">
        <v>271</v>
      </c>
      <c r="BF174" s="450">
        <v>0</v>
      </c>
      <c r="BG174" s="450">
        <v>938</v>
      </c>
      <c r="BH174" s="450">
        <v>0</v>
      </c>
      <c r="BI174" s="450">
        <v>0</v>
      </c>
      <c r="BJ174" s="452">
        <v>1.1964992628732205</v>
      </c>
      <c r="BK174" s="452">
        <v>5.928552904564315</v>
      </c>
      <c r="BL174" s="452">
        <v>3.0652950668510837</v>
      </c>
      <c r="BM174" s="452">
        <v>5.726515675426463</v>
      </c>
      <c r="BN174" s="449">
        <v>4595</v>
      </c>
      <c r="BO174" s="449">
        <v>271</v>
      </c>
      <c r="BP174" s="447">
        <v>1193668.3456172624</v>
      </c>
      <c r="BQ174" s="447">
        <v>4869033</v>
      </c>
      <c r="BR174" s="447">
        <v>6520209</v>
      </c>
      <c r="BS174" s="448">
        <v>0.05137690094533498</v>
      </c>
      <c r="BT174" s="449">
        <v>232</v>
      </c>
      <c r="BU174" s="449">
        <v>268</v>
      </c>
      <c r="BV174" s="447">
        <v>334988.1319358816</v>
      </c>
      <c r="BW174" s="448">
        <v>0.01250501721622359</v>
      </c>
      <c r="BX174" s="447">
        <v>5701.765375833215</v>
      </c>
      <c r="BY174" s="447">
        <v>6403391.242928977</v>
      </c>
      <c r="BZ174" s="455">
        <v>1.116666666666667</v>
      </c>
      <c r="CA174" s="447">
        <v>7150453.5546040265</v>
      </c>
      <c r="CB174" s="447">
        <v>5377334.892843561</v>
      </c>
      <c r="CC174" s="447">
        <v>5370753.462288942</v>
      </c>
      <c r="CD174" s="447">
        <v>5234343.155095491</v>
      </c>
      <c r="CE174" s="447">
        <v>5370753.462288942</v>
      </c>
      <c r="CF174" s="454">
        <v>1103.7306745353355</v>
      </c>
      <c r="CG174" s="450">
        <v>4866</v>
      </c>
      <c r="CH174" s="450">
        <v>100</v>
      </c>
      <c r="CI174" s="450">
        <v>645</v>
      </c>
      <c r="CJ174" s="450">
        <v>64</v>
      </c>
      <c r="CK174" s="450">
        <v>203</v>
      </c>
      <c r="CL174" s="450">
        <v>713</v>
      </c>
      <c r="CM174" s="450">
        <v>261</v>
      </c>
      <c r="CN174" s="450">
        <v>224</v>
      </c>
      <c r="CO174" s="450">
        <v>0</v>
      </c>
      <c r="CP174" s="450">
        <v>19</v>
      </c>
      <c r="CQ174" s="450">
        <v>1428</v>
      </c>
      <c r="CR174" s="450">
        <v>271</v>
      </c>
      <c r="CS174" s="450">
        <v>0</v>
      </c>
      <c r="CT174" s="450">
        <v>938</v>
      </c>
      <c r="CU174" s="450">
        <v>0</v>
      </c>
      <c r="CV174" s="450">
        <v>0</v>
      </c>
      <c r="CW174" s="447">
        <v>3501878.0150268795</v>
      </c>
      <c r="CX174" s="452">
        <v>1.0901049046244295</v>
      </c>
      <c r="CY174" s="452">
        <v>1.116666666666667</v>
      </c>
      <c r="CZ174" s="447">
        <v>3817414.3995772633</v>
      </c>
      <c r="DA174" s="454">
        <v>784.5076858975058</v>
      </c>
      <c r="DB174" s="449">
        <v>4911.92</v>
      </c>
      <c r="DC174" s="452">
        <v>0.9931955325005294</v>
      </c>
      <c r="DD174" s="454">
        <v>333.2</v>
      </c>
      <c r="DE174" s="447">
        <v>90586</v>
      </c>
      <c r="DF174" s="454">
        <v>69.82617201157626</v>
      </c>
      <c r="DG174" s="454">
        <v>72.82869740807404</v>
      </c>
      <c r="DH174" s="454">
        <v>74.43092875105165</v>
      </c>
      <c r="DI174" s="454">
        <v>76.06840918357477</v>
      </c>
      <c r="DJ174" s="454">
        <v>78.57866668663273</v>
      </c>
      <c r="DK174" s="454">
        <v>81.40749868735149</v>
      </c>
      <c r="DL174" s="454">
        <v>84.01253864534672</v>
      </c>
      <c r="DM174" s="454">
        <v>87.45705272980594</v>
      </c>
      <c r="DN174" s="454">
        <v>91.30516304991738</v>
      </c>
      <c r="DO174" s="454">
        <v>96.32694701766283</v>
      </c>
      <c r="DP174" s="454">
        <v>95.46000449450386</v>
      </c>
      <c r="DQ174" s="454">
        <v>100.32846472372356</v>
      </c>
      <c r="DR174" s="454">
        <v>106.44850107187068</v>
      </c>
      <c r="DS174" s="454">
        <v>51.89</v>
      </c>
      <c r="DT174" s="454">
        <v>55.17151487510516</v>
      </c>
      <c r="DU174" s="454">
        <v>58.57230164471494</v>
      </c>
      <c r="DV174" s="454">
        <v>62.76437248494581</v>
      </c>
      <c r="DW174" s="454">
        <v>67.36440543625352</v>
      </c>
      <c r="DX174" s="454">
        <v>71.93547844940247</v>
      </c>
      <c r="DY174" s="454">
        <v>77.39927699862356</v>
      </c>
      <c r="DZ174" s="454">
        <v>81.97154717138014</v>
      </c>
      <c r="EA174" s="454">
        <v>84.59532862028371</v>
      </c>
      <c r="EB174" s="454">
        <v>87.6209523668714</v>
      </c>
      <c r="EC174" s="454">
        <v>93.73738969481019</v>
      </c>
      <c r="ED174" s="454">
        <v>101.20365311761287</v>
      </c>
      <c r="EE174" s="454">
        <v>0</v>
      </c>
      <c r="EF174" s="454">
        <v>101.20365311761287</v>
      </c>
      <c r="EG174" s="454">
        <v>5262.58996211587</v>
      </c>
      <c r="EH174" s="447">
        <v>25332432.46898186</v>
      </c>
      <c r="EI174" s="454">
        <v>52.98</v>
      </c>
      <c r="EJ174" s="454">
        <v>56.17409687510516</v>
      </c>
      <c r="EK174" s="454">
        <v>59.483091692714936</v>
      </c>
      <c r="EL174" s="454">
        <v>63.5876128395818</v>
      </c>
      <c r="EM174" s="454">
        <v>68.09544287117026</v>
      </c>
      <c r="EN174" s="454">
        <v>72.56417064343087</v>
      </c>
      <c r="EO174" s="454">
        <v>77.92285185781041</v>
      </c>
      <c r="EP174" s="454">
        <v>82.45742464070554</v>
      </c>
      <c r="EQ174" s="454">
        <v>85.05869376686371</v>
      </c>
      <c r="ER174" s="454">
        <v>87.93057235408308</v>
      </c>
      <c r="ES174" s="454">
        <v>93.99771818005776</v>
      </c>
      <c r="ET174" s="454">
        <v>101.41080950974863</v>
      </c>
      <c r="EU174" s="447">
        <v>3237952</v>
      </c>
      <c r="EV174" s="447">
        <v>0</v>
      </c>
      <c r="EW174" s="447">
        <v>0</v>
      </c>
      <c r="EX174" s="447">
        <v>0</v>
      </c>
      <c r="EY174" s="447">
        <v>0</v>
      </c>
      <c r="EZ174" s="447">
        <v>0</v>
      </c>
      <c r="FA174" s="447">
        <v>0</v>
      </c>
      <c r="FB174" s="447">
        <v>0</v>
      </c>
      <c r="FC174" s="447">
        <v>0</v>
      </c>
      <c r="FD174" s="447">
        <v>3237952</v>
      </c>
      <c r="FE174" s="447">
        <v>42105.286100459925</v>
      </c>
      <c r="FF174" s="447">
        <v>0</v>
      </c>
      <c r="FG174" s="447">
        <v>0</v>
      </c>
      <c r="FH174" s="447">
        <v>5785</v>
      </c>
      <c r="FI174" s="456">
        <v>0.0313</v>
      </c>
      <c r="FJ174" s="447">
        <v>181.0705</v>
      </c>
      <c r="FK174" s="471">
        <v>181.0705</v>
      </c>
      <c r="FL174" s="446">
        <v>0</v>
      </c>
      <c r="FM174" s="450">
        <v>0</v>
      </c>
      <c r="FN174" s="450">
        <v>0</v>
      </c>
      <c r="FO174" s="450">
        <v>0</v>
      </c>
      <c r="FP174" s="472">
        <v>99.68</v>
      </c>
      <c r="FQ174" s="446">
        <v>0</v>
      </c>
      <c r="FR174" s="450">
        <v>0</v>
      </c>
      <c r="FS174" s="450">
        <v>0</v>
      </c>
      <c r="FT174" s="450">
        <v>0</v>
      </c>
      <c r="FU174" s="450">
        <v>0</v>
      </c>
      <c r="FV174" s="450">
        <v>0</v>
      </c>
      <c r="FW174" s="450">
        <v>0</v>
      </c>
      <c r="FX174" s="450">
        <v>0</v>
      </c>
      <c r="FY174" s="450">
        <v>0</v>
      </c>
      <c r="FZ174" s="450">
        <v>0</v>
      </c>
      <c r="GA174" s="450">
        <v>0</v>
      </c>
      <c r="GB174" s="450">
        <v>0</v>
      </c>
      <c r="GC174" s="450">
        <v>0</v>
      </c>
      <c r="GD174" s="450">
        <v>0</v>
      </c>
      <c r="GE174" s="450">
        <v>0</v>
      </c>
      <c r="GF174" s="450">
        <v>0</v>
      </c>
      <c r="GG174" s="450">
        <v>0</v>
      </c>
      <c r="GH174" s="450">
        <v>0</v>
      </c>
      <c r="GI174" s="450">
        <v>0</v>
      </c>
      <c r="GJ174" s="450">
        <v>0</v>
      </c>
      <c r="GK174" s="450">
        <v>0</v>
      </c>
      <c r="GL174" s="450">
        <v>0</v>
      </c>
      <c r="GM174" s="450">
        <v>0</v>
      </c>
      <c r="GN174" s="450">
        <v>0</v>
      </c>
      <c r="GO174" s="450">
        <v>0</v>
      </c>
      <c r="GP174" s="450">
        <v>0</v>
      </c>
      <c r="GQ174" s="450">
        <v>0</v>
      </c>
      <c r="GR174" s="450">
        <v>0</v>
      </c>
      <c r="GS174" s="450">
        <v>0</v>
      </c>
      <c r="GT174" s="450">
        <v>0</v>
      </c>
      <c r="GU174" s="450">
        <v>0</v>
      </c>
      <c r="GV174" s="450">
        <v>0</v>
      </c>
      <c r="GW174" s="450">
        <v>0</v>
      </c>
      <c r="GX174" s="450">
        <v>1908187</v>
      </c>
      <c r="GY174" s="450">
        <v>3512243</v>
      </c>
      <c r="GZ174" s="450">
        <v>23</v>
      </c>
      <c r="HA174" s="450" t="s">
        <v>888</v>
      </c>
      <c r="HB174" s="450" t="s">
        <v>888</v>
      </c>
      <c r="HC174" s="450">
        <v>0</v>
      </c>
      <c r="HD174" s="450">
        <v>38</v>
      </c>
      <c r="HE174" s="450">
        <v>0</v>
      </c>
      <c r="HF174" s="450">
        <v>0</v>
      </c>
      <c r="HG174" s="472">
        <v>0</v>
      </c>
    </row>
    <row r="175" spans="2:215" ht="12.75">
      <c r="B175" s="445" t="s">
        <v>20</v>
      </c>
      <c r="C175" s="446">
        <v>3049.2</v>
      </c>
      <c r="D175" s="447">
        <v>741263.6</v>
      </c>
      <c r="E175" s="447">
        <v>636004.1688</v>
      </c>
      <c r="F175" s="447">
        <v>105120.90637587244</v>
      </c>
      <c r="G175" s="447">
        <v>105259.4312</v>
      </c>
      <c r="H175" s="448">
        <v>0.49189623507805325</v>
      </c>
      <c r="I175" s="449">
        <v>1292.28</v>
      </c>
      <c r="J175" s="449">
        <v>207.61</v>
      </c>
      <c r="K175" s="447">
        <v>741125.0751758724</v>
      </c>
      <c r="L175" s="447">
        <v>592900.060140698</v>
      </c>
      <c r="M175" s="447">
        <v>160032.6551217689</v>
      </c>
      <c r="N175" s="447">
        <v>148225.01503517444</v>
      </c>
      <c r="O175" s="450">
        <v>1.0796602387511478</v>
      </c>
      <c r="P175" s="451">
        <v>0.9386068476977568</v>
      </c>
      <c r="Q175" s="452">
        <v>0.06132756132756133</v>
      </c>
      <c r="R175" s="447">
        <v>752932.7152624669</v>
      </c>
      <c r="S175" s="447">
        <v>508982.5155174277</v>
      </c>
      <c r="T175" s="447">
        <v>92962.82947040655</v>
      </c>
      <c r="U175" s="447">
        <v>54544.908047789235</v>
      </c>
      <c r="V175" s="447">
        <v>171668.65907984247</v>
      </c>
      <c r="W175" s="450">
        <v>0.31773364072483723</v>
      </c>
      <c r="X175" s="452">
        <v>5.577655531333697</v>
      </c>
      <c r="Y175" s="447">
        <v>92962.82947040655</v>
      </c>
      <c r="Z175" s="447">
        <v>72281.54066519682</v>
      </c>
      <c r="AA175" s="448">
        <v>1.2861213058670684</v>
      </c>
      <c r="AB175" s="448">
        <v>0.10117407844680573</v>
      </c>
      <c r="AC175" s="449">
        <v>302</v>
      </c>
      <c r="AD175" s="449">
        <v>315</v>
      </c>
      <c r="AE175" s="447">
        <v>656490.2530356235</v>
      </c>
      <c r="AF175" s="447">
        <v>0</v>
      </c>
      <c r="AG175" s="451">
        <v>0</v>
      </c>
      <c r="AH175" s="450">
        <v>0.014706042844270985</v>
      </c>
      <c r="AI175" s="452">
        <v>0.012384104542434216</v>
      </c>
      <c r="AJ175" s="447">
        <v>656490.2530356235</v>
      </c>
      <c r="AK175" s="453">
        <v>1</v>
      </c>
      <c r="AL175" s="447">
        <v>656490.2530356235</v>
      </c>
      <c r="AM175" s="447">
        <v>1544368.3316525754</v>
      </c>
      <c r="AN175" s="447">
        <v>1529125.1105684568</v>
      </c>
      <c r="AO175" s="447">
        <v>1740472.3811103958</v>
      </c>
      <c r="AP175" s="447">
        <v>1740472.3811103958</v>
      </c>
      <c r="AQ175" s="447">
        <v>12196.8</v>
      </c>
      <c r="AR175" s="447">
        <v>1752669.1811103958</v>
      </c>
      <c r="AS175" s="454">
        <v>574.7963994196497</v>
      </c>
      <c r="AT175" s="450">
        <v>2991</v>
      </c>
      <c r="AU175" s="450">
        <v>4</v>
      </c>
      <c r="AV175" s="450">
        <v>142</v>
      </c>
      <c r="AW175" s="450">
        <v>24</v>
      </c>
      <c r="AX175" s="450">
        <v>0</v>
      </c>
      <c r="AY175" s="450">
        <v>561</v>
      </c>
      <c r="AZ175" s="450">
        <v>240</v>
      </c>
      <c r="BA175" s="450">
        <v>351</v>
      </c>
      <c r="BB175" s="450">
        <v>0</v>
      </c>
      <c r="BC175" s="450">
        <v>6</v>
      </c>
      <c r="BD175" s="450">
        <v>1224</v>
      </c>
      <c r="BE175" s="450">
        <v>187</v>
      </c>
      <c r="BF175" s="450">
        <v>0</v>
      </c>
      <c r="BG175" s="450">
        <v>251</v>
      </c>
      <c r="BH175" s="450">
        <v>0</v>
      </c>
      <c r="BI175" s="450">
        <v>1</v>
      </c>
      <c r="BJ175" s="452">
        <v>1.1451552915979886</v>
      </c>
      <c r="BK175" s="452">
        <v>4.31686982526212</v>
      </c>
      <c r="BL175" s="452">
        <v>2.959057436386287</v>
      </c>
      <c r="BM175" s="452">
        <v>2.7156247777516653</v>
      </c>
      <c r="BN175" s="449">
        <v>2804</v>
      </c>
      <c r="BO175" s="449">
        <v>187</v>
      </c>
      <c r="BP175" s="447">
        <v>648438.458090903</v>
      </c>
      <c r="BQ175" s="447">
        <v>3024057</v>
      </c>
      <c r="BR175" s="447">
        <v>4024762</v>
      </c>
      <c r="BS175" s="448">
        <v>0.1031427616181879</v>
      </c>
      <c r="BT175" s="449">
        <v>302</v>
      </c>
      <c r="BU175" s="449">
        <v>315</v>
      </c>
      <c r="BV175" s="447">
        <v>415125.0675359412</v>
      </c>
      <c r="BW175" s="448">
        <v>0.019444295380131635</v>
      </c>
      <c r="BX175" s="447">
        <v>3968.0927952274074</v>
      </c>
      <c r="BY175" s="447">
        <v>4091588.6184220714</v>
      </c>
      <c r="BZ175" s="455">
        <v>1.0766666666666669</v>
      </c>
      <c r="CA175" s="447">
        <v>4405277.079167765</v>
      </c>
      <c r="CB175" s="447">
        <v>3312887.7727203984</v>
      </c>
      <c r="CC175" s="447">
        <v>3308833.0613725106</v>
      </c>
      <c r="CD175" s="447">
        <v>3197361.7097220155</v>
      </c>
      <c r="CE175" s="447">
        <v>3308833.0613725106</v>
      </c>
      <c r="CF175" s="454">
        <v>1106.2631432204985</v>
      </c>
      <c r="CG175" s="450">
        <v>2991</v>
      </c>
      <c r="CH175" s="450">
        <v>4</v>
      </c>
      <c r="CI175" s="450">
        <v>142</v>
      </c>
      <c r="CJ175" s="450">
        <v>24</v>
      </c>
      <c r="CK175" s="450">
        <v>0</v>
      </c>
      <c r="CL175" s="450">
        <v>561</v>
      </c>
      <c r="CM175" s="450">
        <v>240</v>
      </c>
      <c r="CN175" s="450">
        <v>351</v>
      </c>
      <c r="CO175" s="450">
        <v>0</v>
      </c>
      <c r="CP175" s="450">
        <v>6</v>
      </c>
      <c r="CQ175" s="450">
        <v>1224</v>
      </c>
      <c r="CR175" s="450">
        <v>187</v>
      </c>
      <c r="CS175" s="450">
        <v>0</v>
      </c>
      <c r="CT175" s="450">
        <v>251</v>
      </c>
      <c r="CU175" s="450">
        <v>0</v>
      </c>
      <c r="CV175" s="450">
        <v>1</v>
      </c>
      <c r="CW175" s="447">
        <v>2290433.4664177215</v>
      </c>
      <c r="CX175" s="452">
        <v>1.051056370727435</v>
      </c>
      <c r="CY175" s="452">
        <v>1.0766666666666669</v>
      </c>
      <c r="CZ175" s="447">
        <v>2407374.6866056686</v>
      </c>
      <c r="DA175" s="454">
        <v>804.8728474107886</v>
      </c>
      <c r="DB175" s="449">
        <v>3049.2</v>
      </c>
      <c r="DC175" s="452">
        <v>0.9857601993965633</v>
      </c>
      <c r="DD175" s="454">
        <v>281.5</v>
      </c>
      <c r="DE175" s="447">
        <v>57512</v>
      </c>
      <c r="DF175" s="454">
        <v>52.47481421335594</v>
      </c>
      <c r="DG175" s="454">
        <v>54.73123122453024</v>
      </c>
      <c r="DH175" s="454">
        <v>55.93531831146989</v>
      </c>
      <c r="DI175" s="454">
        <v>57.16589531432222</v>
      </c>
      <c r="DJ175" s="454">
        <v>59.05236985969485</v>
      </c>
      <c r="DK175" s="454">
        <v>61.17825517464385</v>
      </c>
      <c r="DL175" s="454">
        <v>63.135959340232446</v>
      </c>
      <c r="DM175" s="454">
        <v>65.72453367318197</v>
      </c>
      <c r="DN175" s="454">
        <v>68.61641315480196</v>
      </c>
      <c r="DO175" s="454">
        <v>72.39031587831606</v>
      </c>
      <c r="DP175" s="454">
        <v>71.73880303541121</v>
      </c>
      <c r="DQ175" s="454">
        <v>75.39748199021717</v>
      </c>
      <c r="DR175" s="454">
        <v>79.99672839162042</v>
      </c>
      <c r="DS175" s="454">
        <v>46.64</v>
      </c>
      <c r="DT175" s="454">
        <v>48.493003831146986</v>
      </c>
      <c r="DU175" s="454">
        <v>50.40496607086443</v>
      </c>
      <c r="DV175" s="454">
        <v>52.941334939764445</v>
      </c>
      <c r="DW175" s="454">
        <v>55.75165616574566</v>
      </c>
      <c r="DX175" s="454">
        <v>58.46908419258</v>
      </c>
      <c r="DY175" s="454">
        <v>61.83796005021701</v>
      </c>
      <c r="DZ175" s="454">
        <v>65.00967283269048</v>
      </c>
      <c r="EA175" s="454">
        <v>66.82357904999691</v>
      </c>
      <c r="EB175" s="454">
        <v>68.01911673980565</v>
      </c>
      <c r="EC175" s="454">
        <v>72.26996975287203</v>
      </c>
      <c r="ED175" s="454">
        <v>77.50801052875302</v>
      </c>
      <c r="EE175" s="454">
        <v>-1.34</v>
      </c>
      <c r="EF175" s="454">
        <v>76.16801052875302</v>
      </c>
      <c r="EG175" s="454">
        <v>3960.7365474951566</v>
      </c>
      <c r="EH175" s="447">
        <v>11835536.323009785</v>
      </c>
      <c r="EI175" s="454">
        <v>46.64</v>
      </c>
      <c r="EJ175" s="454">
        <v>48.493003831146986</v>
      </c>
      <c r="EK175" s="454">
        <v>50.40496607086443</v>
      </c>
      <c r="EL175" s="454">
        <v>52.941334939764445</v>
      </c>
      <c r="EM175" s="454">
        <v>55.75165616574566</v>
      </c>
      <c r="EN175" s="454">
        <v>58.46908419258</v>
      </c>
      <c r="EO175" s="454">
        <v>61.83796005021701</v>
      </c>
      <c r="EP175" s="454">
        <v>65.00967283269048</v>
      </c>
      <c r="EQ175" s="454">
        <v>66.82357904999691</v>
      </c>
      <c r="ER175" s="454">
        <v>68.01911673980565</v>
      </c>
      <c r="ES175" s="454">
        <v>72.26996975287203</v>
      </c>
      <c r="ET175" s="454">
        <v>77.50801052875302</v>
      </c>
      <c r="EU175" s="447">
        <v>16448089</v>
      </c>
      <c r="EV175" s="447">
        <v>0</v>
      </c>
      <c r="EW175" s="447">
        <v>0</v>
      </c>
      <c r="EX175" s="447">
        <v>0</v>
      </c>
      <c r="EY175" s="447">
        <v>0</v>
      </c>
      <c r="EZ175" s="447">
        <v>0</v>
      </c>
      <c r="FA175" s="447">
        <v>0</v>
      </c>
      <c r="FB175" s="447">
        <v>0</v>
      </c>
      <c r="FC175" s="447">
        <v>0</v>
      </c>
      <c r="FD175" s="447">
        <v>16448089</v>
      </c>
      <c r="FE175" s="447">
        <v>48562.85497897054</v>
      </c>
      <c r="FF175" s="447">
        <v>0</v>
      </c>
      <c r="FG175" s="447">
        <v>0</v>
      </c>
      <c r="FH175" s="447">
        <v>0</v>
      </c>
      <c r="FI175" s="456">
        <v>0</v>
      </c>
      <c r="FJ175" s="447">
        <v>0</v>
      </c>
      <c r="FK175" s="471">
        <v>0</v>
      </c>
      <c r="FL175" s="446">
        <v>75.3</v>
      </c>
      <c r="FM175" s="450">
        <v>71.8</v>
      </c>
      <c r="FN175" s="450">
        <v>70.46</v>
      </c>
      <c r="FO175" s="450">
        <v>-1.34</v>
      </c>
      <c r="FP175" s="472">
        <v>69.73</v>
      </c>
      <c r="FQ175" s="446">
        <v>0</v>
      </c>
      <c r="FR175" s="450">
        <v>0</v>
      </c>
      <c r="FS175" s="450">
        <v>0</v>
      </c>
      <c r="FT175" s="450">
        <v>0</v>
      </c>
      <c r="FU175" s="450">
        <v>0</v>
      </c>
      <c r="FV175" s="450">
        <v>0</v>
      </c>
      <c r="FW175" s="450">
        <v>0</v>
      </c>
      <c r="FX175" s="450">
        <v>0</v>
      </c>
      <c r="FY175" s="450">
        <v>0</v>
      </c>
      <c r="FZ175" s="450">
        <v>0</v>
      </c>
      <c r="GA175" s="450">
        <v>0</v>
      </c>
      <c r="GB175" s="450">
        <v>0</v>
      </c>
      <c r="GC175" s="450">
        <v>0</v>
      </c>
      <c r="GD175" s="450">
        <v>0</v>
      </c>
      <c r="GE175" s="450">
        <v>0</v>
      </c>
      <c r="GF175" s="450">
        <v>0</v>
      </c>
      <c r="GG175" s="450">
        <v>0</v>
      </c>
      <c r="GH175" s="450">
        <v>0</v>
      </c>
      <c r="GI175" s="450">
        <v>0</v>
      </c>
      <c r="GJ175" s="450">
        <v>0</v>
      </c>
      <c r="GK175" s="450">
        <v>0</v>
      </c>
      <c r="GL175" s="450">
        <v>0</v>
      </c>
      <c r="GM175" s="450">
        <v>0</v>
      </c>
      <c r="GN175" s="450">
        <v>0</v>
      </c>
      <c r="GO175" s="450">
        <v>0</v>
      </c>
      <c r="GP175" s="450">
        <v>0</v>
      </c>
      <c r="GQ175" s="450">
        <v>0</v>
      </c>
      <c r="GR175" s="450">
        <v>0</v>
      </c>
      <c r="GS175" s="450">
        <v>0</v>
      </c>
      <c r="GT175" s="450">
        <v>0</v>
      </c>
      <c r="GU175" s="450">
        <v>0</v>
      </c>
      <c r="GV175" s="450">
        <v>0</v>
      </c>
      <c r="GW175" s="450">
        <v>7307000</v>
      </c>
      <c r="GX175" s="450">
        <v>12403556</v>
      </c>
      <c r="GY175" s="450">
        <v>12403556</v>
      </c>
      <c r="GZ175" s="450">
        <v>1</v>
      </c>
      <c r="HA175" s="450" t="s">
        <v>888</v>
      </c>
      <c r="HB175" s="450" t="s">
        <v>888</v>
      </c>
      <c r="HC175" s="450">
        <v>0</v>
      </c>
      <c r="HD175" s="450">
        <v>0</v>
      </c>
      <c r="HE175" s="450">
        <v>0</v>
      </c>
      <c r="HF175" s="450">
        <v>0</v>
      </c>
      <c r="HG175" s="472">
        <v>0</v>
      </c>
    </row>
    <row r="176" spans="2:215" ht="12.75">
      <c r="B176" s="445" t="s">
        <v>21</v>
      </c>
      <c r="C176" s="446">
        <v>9320.42</v>
      </c>
      <c r="D176" s="447">
        <v>2202457.86</v>
      </c>
      <c r="E176" s="447">
        <v>1889708.8438800003</v>
      </c>
      <c r="F176" s="447">
        <v>226686.30395517685</v>
      </c>
      <c r="G176" s="447">
        <v>312749.0161200001</v>
      </c>
      <c r="H176" s="448">
        <v>0.35700537100259433</v>
      </c>
      <c r="I176" s="449">
        <v>2477.76</v>
      </c>
      <c r="J176" s="449">
        <v>849.68</v>
      </c>
      <c r="K176" s="447">
        <v>2116395.1478351774</v>
      </c>
      <c r="L176" s="447">
        <v>1693116.118268142</v>
      </c>
      <c r="M176" s="447">
        <v>509396.9897219831</v>
      </c>
      <c r="N176" s="447">
        <v>423279.0295670354</v>
      </c>
      <c r="O176" s="450">
        <v>1.2034543507696005</v>
      </c>
      <c r="P176" s="451">
        <v>0.8434169275633502</v>
      </c>
      <c r="Q176" s="452">
        <v>0.15653801008967408</v>
      </c>
      <c r="R176" s="447">
        <v>2202513.107990125</v>
      </c>
      <c r="S176" s="447">
        <v>1488898.8610013248</v>
      </c>
      <c r="T176" s="447">
        <v>144046.40360475748</v>
      </c>
      <c r="U176" s="447">
        <v>330441.99272437626</v>
      </c>
      <c r="V176" s="447">
        <v>502172.9886217486</v>
      </c>
      <c r="W176" s="450">
        <v>0.6580242271319672</v>
      </c>
      <c r="X176" s="452">
        <v>11.551286989446238</v>
      </c>
      <c r="Y176" s="447">
        <v>144046.40360475748</v>
      </c>
      <c r="Z176" s="447">
        <v>211441.258367052</v>
      </c>
      <c r="AA176" s="448">
        <v>0.6812596780648161</v>
      </c>
      <c r="AB176" s="448">
        <v>0.05359200551048129</v>
      </c>
      <c r="AC176" s="449">
        <v>490</v>
      </c>
      <c r="AD176" s="449">
        <v>509</v>
      </c>
      <c r="AE176" s="447">
        <v>1963387.2573304586</v>
      </c>
      <c r="AF176" s="447">
        <v>0</v>
      </c>
      <c r="AG176" s="451">
        <v>0</v>
      </c>
      <c r="AH176" s="450">
        <v>0.024826409533091832</v>
      </c>
      <c r="AI176" s="452">
        <v>0.020906565710902214</v>
      </c>
      <c r="AJ176" s="447">
        <v>1963387.2573304586</v>
      </c>
      <c r="AK176" s="453">
        <v>1.0716</v>
      </c>
      <c r="AL176" s="447">
        <v>2103965.7849553195</v>
      </c>
      <c r="AM176" s="447">
        <v>4949499.423853944</v>
      </c>
      <c r="AN176" s="447">
        <v>4900646.884969784</v>
      </c>
      <c r="AO176" s="447">
        <v>4831457.881186747</v>
      </c>
      <c r="AP176" s="447">
        <v>4900646.884969784</v>
      </c>
      <c r="AQ176" s="447">
        <v>37281.68</v>
      </c>
      <c r="AR176" s="447">
        <v>4937928.564969784</v>
      </c>
      <c r="AS176" s="454">
        <v>529.7967865149622</v>
      </c>
      <c r="AT176" s="450">
        <v>9312</v>
      </c>
      <c r="AU176" s="450">
        <v>643</v>
      </c>
      <c r="AV176" s="450">
        <v>385</v>
      </c>
      <c r="AW176" s="450">
        <v>462</v>
      </c>
      <c r="AX176" s="450">
        <v>832</v>
      </c>
      <c r="AY176" s="450">
        <v>1966</v>
      </c>
      <c r="AZ176" s="450">
        <v>275</v>
      </c>
      <c r="BA176" s="450">
        <v>657</v>
      </c>
      <c r="BB176" s="450">
        <v>134</v>
      </c>
      <c r="BC176" s="450">
        <v>124</v>
      </c>
      <c r="BD176" s="450">
        <v>1201</v>
      </c>
      <c r="BE176" s="450">
        <v>1398</v>
      </c>
      <c r="BF176" s="450">
        <v>61</v>
      </c>
      <c r="BG176" s="450">
        <v>1155</v>
      </c>
      <c r="BH176" s="450">
        <v>0</v>
      </c>
      <c r="BI176" s="450">
        <v>19</v>
      </c>
      <c r="BJ176" s="452">
        <v>1.5184800735644792</v>
      </c>
      <c r="BK176" s="452">
        <v>12.880891933420665</v>
      </c>
      <c r="BL176" s="452">
        <v>6.525347816857335</v>
      </c>
      <c r="BM176" s="452">
        <v>12.711088233126661</v>
      </c>
      <c r="BN176" s="449">
        <v>7853</v>
      </c>
      <c r="BO176" s="449">
        <v>1459</v>
      </c>
      <c r="BP176" s="447">
        <v>2935229.574600506</v>
      </c>
      <c r="BQ176" s="447">
        <v>9744443</v>
      </c>
      <c r="BR176" s="447">
        <v>13097903</v>
      </c>
      <c r="BS176" s="448">
        <v>0.05364046391752577</v>
      </c>
      <c r="BT176" s="449">
        <v>490</v>
      </c>
      <c r="BU176" s="449">
        <v>509</v>
      </c>
      <c r="BV176" s="447">
        <v>702577.5932667525</v>
      </c>
      <c r="BW176" s="448">
        <v>0.007347617481308767</v>
      </c>
      <c r="BX176" s="447">
        <v>13929.633399307095</v>
      </c>
      <c r="BY176" s="447">
        <v>13396179.801266566</v>
      </c>
      <c r="BZ176" s="455">
        <v>1.0833333333333333</v>
      </c>
      <c r="CA176" s="447">
        <v>14512528.11803878</v>
      </c>
      <c r="CB176" s="447">
        <v>10913814.52051468</v>
      </c>
      <c r="CC176" s="447">
        <v>10900456.87889776</v>
      </c>
      <c r="CD176" s="447">
        <v>10610435.068431674</v>
      </c>
      <c r="CE176" s="447">
        <v>10900456.87889776</v>
      </c>
      <c r="CF176" s="454">
        <v>1170.5817095036255</v>
      </c>
      <c r="CG176" s="450">
        <v>9312</v>
      </c>
      <c r="CH176" s="450">
        <v>643</v>
      </c>
      <c r="CI176" s="450">
        <v>385</v>
      </c>
      <c r="CJ176" s="450">
        <v>462</v>
      </c>
      <c r="CK176" s="450">
        <v>832</v>
      </c>
      <c r="CL176" s="450">
        <v>1966</v>
      </c>
      <c r="CM176" s="450">
        <v>275</v>
      </c>
      <c r="CN176" s="450">
        <v>657</v>
      </c>
      <c r="CO176" s="450">
        <v>134</v>
      </c>
      <c r="CP176" s="450">
        <v>124</v>
      </c>
      <c r="CQ176" s="450">
        <v>1201</v>
      </c>
      <c r="CR176" s="450">
        <v>1398</v>
      </c>
      <c r="CS176" s="450">
        <v>61</v>
      </c>
      <c r="CT176" s="450">
        <v>1155</v>
      </c>
      <c r="CU176" s="450">
        <v>0</v>
      </c>
      <c r="CV176" s="450">
        <v>19</v>
      </c>
      <c r="CW176" s="447">
        <v>6665091.260666779</v>
      </c>
      <c r="CX176" s="452">
        <v>1.0575644597102671</v>
      </c>
      <c r="CY176" s="452">
        <v>1.0833333333333333</v>
      </c>
      <c r="CZ176" s="447">
        <v>7048763.638006685</v>
      </c>
      <c r="DA176" s="454">
        <v>756.954858033364</v>
      </c>
      <c r="DB176" s="449">
        <v>9320.42</v>
      </c>
      <c r="DC176" s="452">
        <v>1.0244156379218963</v>
      </c>
      <c r="DD176" s="454">
        <v>343.7</v>
      </c>
      <c r="DE176" s="447">
        <v>73559</v>
      </c>
      <c r="DF176" s="454">
        <v>66.77489978364585</v>
      </c>
      <c r="DG176" s="454">
        <v>69.64622047434261</v>
      </c>
      <c r="DH176" s="454">
        <v>71.17843732477813</v>
      </c>
      <c r="DI176" s="454">
        <v>72.74436294592323</v>
      </c>
      <c r="DJ176" s="454">
        <v>75.14492692313868</v>
      </c>
      <c r="DK176" s="454">
        <v>77.85014429237167</v>
      </c>
      <c r="DL176" s="454">
        <v>80.34134890972754</v>
      </c>
      <c r="DM176" s="454">
        <v>83.63534421502636</v>
      </c>
      <c r="DN176" s="454">
        <v>87.31529936048751</v>
      </c>
      <c r="DO176" s="454">
        <v>92.11764082531433</v>
      </c>
      <c r="DP176" s="454">
        <v>91.2885820578865</v>
      </c>
      <c r="DQ176" s="454">
        <v>95.94429974283871</v>
      </c>
      <c r="DR176" s="454">
        <v>101.79690202715186</v>
      </c>
      <c r="DS176" s="454">
        <v>48.34</v>
      </c>
      <c r="DT176" s="454">
        <v>51.58097573247781</v>
      </c>
      <c r="DU176" s="454">
        <v>54.94115783718464</v>
      </c>
      <c r="DV176" s="454">
        <v>59.0530549054776</v>
      </c>
      <c r="DW176" s="454">
        <v>63.56056194068863</v>
      </c>
      <c r="DX176" s="454">
        <v>68.05230808728012</v>
      </c>
      <c r="DY176" s="454">
        <v>73.40103101809216</v>
      </c>
      <c r="DZ176" s="454">
        <v>77.81785671373257</v>
      </c>
      <c r="EA176" s="454">
        <v>80.35347207435058</v>
      </c>
      <c r="EB176" s="454">
        <v>83.4277798263997</v>
      </c>
      <c r="EC176" s="454">
        <v>89.33493722660461</v>
      </c>
      <c r="ED176" s="454">
        <v>96.53750180485858</v>
      </c>
      <c r="EE176" s="454">
        <v>-6.25</v>
      </c>
      <c r="EF176" s="454">
        <v>90.28750180485858</v>
      </c>
      <c r="EG176" s="454">
        <v>4694.950093852646</v>
      </c>
      <c r="EH176" s="447">
        <v>42883728.61867116</v>
      </c>
      <c r="EI176" s="454">
        <v>48.34</v>
      </c>
      <c r="EJ176" s="454">
        <v>51.58097573247781</v>
      </c>
      <c r="EK176" s="454">
        <v>54.94115783718464</v>
      </c>
      <c r="EL176" s="454">
        <v>59.0530549054776</v>
      </c>
      <c r="EM176" s="454">
        <v>63.56056194068863</v>
      </c>
      <c r="EN176" s="454">
        <v>68.05230808728012</v>
      </c>
      <c r="EO176" s="454">
        <v>73.40103101809216</v>
      </c>
      <c r="EP176" s="454">
        <v>77.81785671373257</v>
      </c>
      <c r="EQ176" s="454">
        <v>80.35347207435058</v>
      </c>
      <c r="ER176" s="454">
        <v>83.4277798263997</v>
      </c>
      <c r="ES176" s="454">
        <v>89.33493722660461</v>
      </c>
      <c r="ET176" s="454">
        <v>96.53750180485858</v>
      </c>
      <c r="EU176" s="447">
        <v>-859768</v>
      </c>
      <c r="EV176" s="447">
        <v>0</v>
      </c>
      <c r="EW176" s="447">
        <v>0</v>
      </c>
      <c r="EX176" s="447">
        <v>0</v>
      </c>
      <c r="EY176" s="447">
        <v>0</v>
      </c>
      <c r="EZ176" s="447">
        <v>0</v>
      </c>
      <c r="FA176" s="447">
        <v>0</v>
      </c>
      <c r="FB176" s="447">
        <v>0</v>
      </c>
      <c r="FC176" s="447">
        <v>0</v>
      </c>
      <c r="FD176" s="447">
        <v>0</v>
      </c>
      <c r="FE176" s="447">
        <v>0</v>
      </c>
      <c r="FF176" s="447">
        <v>0</v>
      </c>
      <c r="FG176" s="447">
        <v>0</v>
      </c>
      <c r="FH176" s="447">
        <v>2759</v>
      </c>
      <c r="FI176" s="456">
        <v>0.0313</v>
      </c>
      <c r="FJ176" s="447">
        <v>86.3567</v>
      </c>
      <c r="FK176" s="471">
        <v>86.3567</v>
      </c>
      <c r="FL176" s="446">
        <v>95.83</v>
      </c>
      <c r="FM176" s="450">
        <v>88.99</v>
      </c>
      <c r="FN176" s="450">
        <v>82.74</v>
      </c>
      <c r="FO176" s="450">
        <v>-6.25</v>
      </c>
      <c r="FP176" s="472">
        <v>82.74</v>
      </c>
      <c r="FQ176" s="446">
        <v>0</v>
      </c>
      <c r="FR176" s="450">
        <v>0</v>
      </c>
      <c r="FS176" s="450">
        <v>0</v>
      </c>
      <c r="FT176" s="450">
        <v>0</v>
      </c>
      <c r="FU176" s="450">
        <v>0</v>
      </c>
      <c r="FV176" s="450">
        <v>0</v>
      </c>
      <c r="FW176" s="450">
        <v>0</v>
      </c>
      <c r="FX176" s="450">
        <v>0</v>
      </c>
      <c r="FY176" s="450">
        <v>0</v>
      </c>
      <c r="FZ176" s="450">
        <v>0</v>
      </c>
      <c r="GA176" s="450">
        <v>0</v>
      </c>
      <c r="GB176" s="450">
        <v>0</v>
      </c>
      <c r="GC176" s="450">
        <v>0</v>
      </c>
      <c r="GD176" s="450">
        <v>0</v>
      </c>
      <c r="GE176" s="450">
        <v>0</v>
      </c>
      <c r="GF176" s="450">
        <v>0</v>
      </c>
      <c r="GG176" s="450">
        <v>0</v>
      </c>
      <c r="GH176" s="450">
        <v>0</v>
      </c>
      <c r="GI176" s="450">
        <v>0</v>
      </c>
      <c r="GJ176" s="450">
        <v>0</v>
      </c>
      <c r="GK176" s="450">
        <v>0</v>
      </c>
      <c r="GL176" s="450">
        <v>0</v>
      </c>
      <c r="GM176" s="450">
        <v>0</v>
      </c>
      <c r="GN176" s="450">
        <v>0</v>
      </c>
      <c r="GO176" s="450">
        <v>0</v>
      </c>
      <c r="GP176" s="450">
        <v>0</v>
      </c>
      <c r="GQ176" s="450">
        <v>0</v>
      </c>
      <c r="GR176" s="450">
        <v>0</v>
      </c>
      <c r="GS176" s="450">
        <v>0</v>
      </c>
      <c r="GT176" s="450">
        <v>0</v>
      </c>
      <c r="GU176" s="450">
        <v>0</v>
      </c>
      <c r="GV176" s="450">
        <v>0</v>
      </c>
      <c r="GW176" s="450">
        <v>0</v>
      </c>
      <c r="GX176" s="450">
        <v>-2554506</v>
      </c>
      <c r="GY176" s="450">
        <v>-2554506</v>
      </c>
      <c r="GZ176" s="450">
        <v>8</v>
      </c>
      <c r="HA176" s="450" t="s">
        <v>888</v>
      </c>
      <c r="HB176" s="450" t="s">
        <v>888</v>
      </c>
      <c r="HC176" s="450">
        <v>1</v>
      </c>
      <c r="HD176" s="450">
        <v>0</v>
      </c>
      <c r="HE176" s="450">
        <v>6</v>
      </c>
      <c r="HF176" s="450">
        <v>1</v>
      </c>
      <c r="HG176" s="472">
        <v>0</v>
      </c>
    </row>
    <row r="177" spans="2:215" ht="12.75">
      <c r="B177" s="445" t="s">
        <v>22</v>
      </c>
      <c r="C177" s="446">
        <v>6300</v>
      </c>
      <c r="D177" s="447">
        <v>1498700</v>
      </c>
      <c r="E177" s="447">
        <v>1285884.6</v>
      </c>
      <c r="F177" s="447">
        <v>179284.44101390825</v>
      </c>
      <c r="G177" s="447">
        <v>212815.4</v>
      </c>
      <c r="H177" s="448">
        <v>0.4149396825396825</v>
      </c>
      <c r="I177" s="449">
        <v>2102.18</v>
      </c>
      <c r="J177" s="449">
        <v>511.94</v>
      </c>
      <c r="K177" s="447">
        <v>1465169.0410139083</v>
      </c>
      <c r="L177" s="447">
        <v>1172135.2328111266</v>
      </c>
      <c r="M177" s="447">
        <v>358036.14899062086</v>
      </c>
      <c r="N177" s="447">
        <v>293033.8082027816</v>
      </c>
      <c r="O177" s="450">
        <v>1.221825396825397</v>
      </c>
      <c r="P177" s="451">
        <v>0.8293650793650794</v>
      </c>
      <c r="Q177" s="452">
        <v>0.17063492063492064</v>
      </c>
      <c r="R177" s="447">
        <v>1530171.3818017475</v>
      </c>
      <c r="S177" s="447">
        <v>1034395.8540979814</v>
      </c>
      <c r="T177" s="447">
        <v>198886.79740888558</v>
      </c>
      <c r="U177" s="447">
        <v>221631.67903902943</v>
      </c>
      <c r="V177" s="447">
        <v>348879.0750507984</v>
      </c>
      <c r="W177" s="450">
        <v>0.6352679048084464</v>
      </c>
      <c r="X177" s="452">
        <v>11.151811105208601</v>
      </c>
      <c r="Y177" s="447">
        <v>198886.79740888558</v>
      </c>
      <c r="Z177" s="447">
        <v>146896.45265296777</v>
      </c>
      <c r="AA177" s="448">
        <v>1.3539251208382903</v>
      </c>
      <c r="AB177" s="448">
        <v>0.10650793650793651</v>
      </c>
      <c r="AC177" s="449">
        <v>707</v>
      </c>
      <c r="AD177" s="449">
        <v>635</v>
      </c>
      <c r="AE177" s="447">
        <v>1454914.3305458964</v>
      </c>
      <c r="AF177" s="447">
        <v>36991.833730984916</v>
      </c>
      <c r="AG177" s="451">
        <v>0.25</v>
      </c>
      <c r="AH177" s="450">
        <v>0.19590690927262097</v>
      </c>
      <c r="AI177" s="452">
        <v>0.1649751514196396</v>
      </c>
      <c r="AJ177" s="447">
        <v>1491906.1642768814</v>
      </c>
      <c r="AK177" s="453">
        <v>1</v>
      </c>
      <c r="AL177" s="447">
        <v>1491906.1642768814</v>
      </c>
      <c r="AM177" s="447">
        <v>3509652.463616173</v>
      </c>
      <c r="AN177" s="447">
        <v>3475011.499194119</v>
      </c>
      <c r="AO177" s="447">
        <v>3271756.6607717993</v>
      </c>
      <c r="AP177" s="447">
        <v>3475011.499194119</v>
      </c>
      <c r="AQ177" s="447">
        <v>25200</v>
      </c>
      <c r="AR177" s="447">
        <v>3500211.499194119</v>
      </c>
      <c r="AS177" s="454">
        <v>555.5891268562094</v>
      </c>
      <c r="AT177" s="450">
        <v>6300</v>
      </c>
      <c r="AU177" s="450">
        <v>27</v>
      </c>
      <c r="AV177" s="450">
        <v>173</v>
      </c>
      <c r="AW177" s="450">
        <v>14</v>
      </c>
      <c r="AX177" s="450">
        <v>153</v>
      </c>
      <c r="AY177" s="450">
        <v>570</v>
      </c>
      <c r="AZ177" s="450">
        <v>762</v>
      </c>
      <c r="BA177" s="450">
        <v>281</v>
      </c>
      <c r="BB177" s="450">
        <v>1275</v>
      </c>
      <c r="BC177" s="450">
        <v>0</v>
      </c>
      <c r="BD177" s="450">
        <v>1287</v>
      </c>
      <c r="BE177" s="450">
        <v>1075</v>
      </c>
      <c r="BF177" s="450">
        <v>0</v>
      </c>
      <c r="BG177" s="450">
        <v>683</v>
      </c>
      <c r="BH177" s="450">
        <v>0</v>
      </c>
      <c r="BI177" s="450">
        <v>0</v>
      </c>
      <c r="BJ177" s="452">
        <v>1.6735337925227813</v>
      </c>
      <c r="BK177" s="452">
        <v>16.334413719798548</v>
      </c>
      <c r="BL177" s="452">
        <v>12.613963032755903</v>
      </c>
      <c r="BM177" s="452">
        <v>7.440901374085286</v>
      </c>
      <c r="BN177" s="449">
        <v>5225</v>
      </c>
      <c r="BO177" s="449">
        <v>1075</v>
      </c>
      <c r="BP177" s="447">
        <v>2079315.53119578</v>
      </c>
      <c r="BQ177" s="447">
        <v>6845734</v>
      </c>
      <c r="BR177" s="447">
        <v>8706800</v>
      </c>
      <c r="BS177" s="448">
        <v>0.10650793650793651</v>
      </c>
      <c r="BT177" s="449">
        <v>707</v>
      </c>
      <c r="BU177" s="449">
        <v>635</v>
      </c>
      <c r="BV177" s="447">
        <v>927343.3015873017</v>
      </c>
      <c r="BW177" s="448">
        <v>0.011539646533918362</v>
      </c>
      <c r="BX177" s="447">
        <v>18768.987761134103</v>
      </c>
      <c r="BY177" s="447">
        <v>9871161.820544215</v>
      </c>
      <c r="BZ177" s="455">
        <v>0.93</v>
      </c>
      <c r="CA177" s="447">
        <v>9180180.493106121</v>
      </c>
      <c r="CB177" s="447">
        <v>6903744.568258378</v>
      </c>
      <c r="CC177" s="447">
        <v>6895294.933569772</v>
      </c>
      <c r="CD177" s="447">
        <v>6552112.57721226</v>
      </c>
      <c r="CE177" s="447">
        <v>6895294.933569772</v>
      </c>
      <c r="CF177" s="454">
        <v>1094.4912592967892</v>
      </c>
      <c r="CG177" s="450">
        <v>6300</v>
      </c>
      <c r="CH177" s="450">
        <v>27</v>
      </c>
      <c r="CI177" s="450">
        <v>173</v>
      </c>
      <c r="CJ177" s="450">
        <v>14</v>
      </c>
      <c r="CK177" s="450">
        <v>153</v>
      </c>
      <c r="CL177" s="450">
        <v>570</v>
      </c>
      <c r="CM177" s="450">
        <v>762</v>
      </c>
      <c r="CN177" s="450">
        <v>281</v>
      </c>
      <c r="CO177" s="450">
        <v>1275</v>
      </c>
      <c r="CP177" s="450">
        <v>0</v>
      </c>
      <c r="CQ177" s="450">
        <v>1287</v>
      </c>
      <c r="CR177" s="450">
        <v>1075</v>
      </c>
      <c r="CS177" s="450">
        <v>0</v>
      </c>
      <c r="CT177" s="450">
        <v>683</v>
      </c>
      <c r="CU177" s="450">
        <v>0</v>
      </c>
      <c r="CV177" s="450">
        <v>0</v>
      </c>
      <c r="CW177" s="447">
        <v>4710225.920226802</v>
      </c>
      <c r="CX177" s="452">
        <v>0.9078784131051217</v>
      </c>
      <c r="CY177" s="452">
        <v>0.93</v>
      </c>
      <c r="CZ177" s="447">
        <v>4276312.433822121</v>
      </c>
      <c r="DA177" s="454">
        <v>678.7797514003366</v>
      </c>
      <c r="DB177" s="449">
        <v>6300</v>
      </c>
      <c r="DC177" s="452">
        <v>1.0222539682539684</v>
      </c>
      <c r="DD177" s="454">
        <v>302.7</v>
      </c>
      <c r="DE177" s="447">
        <v>29161</v>
      </c>
      <c r="DF177" s="454">
        <v>46.997164936043475</v>
      </c>
      <c r="DG177" s="454">
        <v>49.01804302829334</v>
      </c>
      <c r="DH177" s="454">
        <v>50.09643997491578</v>
      </c>
      <c r="DI177" s="454">
        <v>51.19856165436392</v>
      </c>
      <c r="DJ177" s="454">
        <v>52.88811418895793</v>
      </c>
      <c r="DK177" s="454">
        <v>54.792086299760406</v>
      </c>
      <c r="DL177" s="454">
        <v>56.54543306135273</v>
      </c>
      <c r="DM177" s="454">
        <v>58.86379581686819</v>
      </c>
      <c r="DN177" s="454">
        <v>61.45380283281038</v>
      </c>
      <c r="DO177" s="454">
        <v>64.83376198861495</v>
      </c>
      <c r="DP177" s="454">
        <v>64.25025813071741</v>
      </c>
      <c r="DQ177" s="454">
        <v>67.527021295384</v>
      </c>
      <c r="DR177" s="454">
        <v>71.64616959440242</v>
      </c>
      <c r="DS177" s="454">
        <v>36.85</v>
      </c>
      <c r="DT177" s="454">
        <v>38.90427399749157</v>
      </c>
      <c r="DU177" s="454">
        <v>41.03110065087277</v>
      </c>
      <c r="DV177" s="454">
        <v>43.698000374427366</v>
      </c>
      <c r="DW177" s="454">
        <v>46.63126523245727</v>
      </c>
      <c r="DX177" s="454">
        <v>49.52712694347203</v>
      </c>
      <c r="DY177" s="454">
        <v>53.018950481897136</v>
      </c>
      <c r="DZ177" s="454">
        <v>56.02978636195724</v>
      </c>
      <c r="EA177" s="454">
        <v>57.75599039309422</v>
      </c>
      <c r="EB177" s="454">
        <v>59.5209003724427</v>
      </c>
      <c r="EC177" s="454">
        <v>63.55057729222662</v>
      </c>
      <c r="ED177" s="454">
        <v>68.48191427888995</v>
      </c>
      <c r="EE177" s="454">
        <v>-0.88</v>
      </c>
      <c r="EF177" s="454">
        <v>67.60191427888995</v>
      </c>
      <c r="EG177" s="454">
        <v>3515.2995425022773</v>
      </c>
      <c r="EH177" s="447">
        <v>21703459.37540906</v>
      </c>
      <c r="EI177" s="454">
        <v>42</v>
      </c>
      <c r="EJ177" s="454">
        <v>43.64124399749157</v>
      </c>
      <c r="EK177" s="454">
        <v>45.334374730872774</v>
      </c>
      <c r="EL177" s="454">
        <v>47.587622233487366</v>
      </c>
      <c r="EM177" s="454">
        <v>50.085249443302544</v>
      </c>
      <c r="EN177" s="454">
        <v>52.49755336479897</v>
      </c>
      <c r="EO177" s="454">
        <v>55.49272160557821</v>
      </c>
      <c r="EP177" s="454">
        <v>58.325445964733284</v>
      </c>
      <c r="EQ177" s="454">
        <v>59.945284434274974</v>
      </c>
      <c r="ER177" s="454">
        <v>60.98378379825931</v>
      </c>
      <c r="ES177" s="454">
        <v>64.78056967665322</v>
      </c>
      <c r="ET177" s="454">
        <v>69.46068071879739</v>
      </c>
      <c r="EU177" s="447">
        <v>3602665</v>
      </c>
      <c r="EV177" s="447">
        <v>0</v>
      </c>
      <c r="EW177" s="447">
        <v>0</v>
      </c>
      <c r="EX177" s="447">
        <v>333000</v>
      </c>
      <c r="EY177" s="447">
        <v>0</v>
      </c>
      <c r="EZ177" s="447">
        <v>0</v>
      </c>
      <c r="FA177" s="447">
        <v>0</v>
      </c>
      <c r="FB177" s="447">
        <v>0</v>
      </c>
      <c r="FC177" s="447">
        <v>0</v>
      </c>
      <c r="FD177" s="447">
        <v>3935665</v>
      </c>
      <c r="FE177" s="447">
        <v>42446.35218894427</v>
      </c>
      <c r="FF177" s="447">
        <v>0</v>
      </c>
      <c r="FG177" s="447">
        <v>0</v>
      </c>
      <c r="FH177" s="447">
        <v>17456</v>
      </c>
      <c r="FI177" s="456">
        <v>0.0313</v>
      </c>
      <c r="FJ177" s="447">
        <v>546.3728</v>
      </c>
      <c r="FK177" s="471">
        <v>546.3728</v>
      </c>
      <c r="FL177" s="446">
        <v>67.51</v>
      </c>
      <c r="FM177" s="450">
        <v>65.67</v>
      </c>
      <c r="FN177" s="450">
        <v>64.79</v>
      </c>
      <c r="FO177" s="450">
        <v>-0.88</v>
      </c>
      <c r="FP177" s="472">
        <v>62.21</v>
      </c>
      <c r="FQ177" s="446">
        <v>0</v>
      </c>
      <c r="FR177" s="450">
        <v>0</v>
      </c>
      <c r="FS177" s="450">
        <v>0</v>
      </c>
      <c r="FT177" s="450">
        <v>0</v>
      </c>
      <c r="FU177" s="450">
        <v>0</v>
      </c>
      <c r="FV177" s="450">
        <v>0</v>
      </c>
      <c r="FW177" s="450">
        <v>0</v>
      </c>
      <c r="FX177" s="450">
        <v>0</v>
      </c>
      <c r="FY177" s="450">
        <v>0</v>
      </c>
      <c r="FZ177" s="450">
        <v>0</v>
      </c>
      <c r="GA177" s="450">
        <v>0</v>
      </c>
      <c r="GB177" s="450">
        <v>0</v>
      </c>
      <c r="GC177" s="450">
        <v>0</v>
      </c>
      <c r="GD177" s="450">
        <v>0</v>
      </c>
      <c r="GE177" s="450">
        <v>0</v>
      </c>
      <c r="GF177" s="450">
        <v>0</v>
      </c>
      <c r="GG177" s="450">
        <v>0</v>
      </c>
      <c r="GH177" s="450">
        <v>0</v>
      </c>
      <c r="GI177" s="450">
        <v>0</v>
      </c>
      <c r="GJ177" s="450">
        <v>0</v>
      </c>
      <c r="GK177" s="450">
        <v>0</v>
      </c>
      <c r="GL177" s="450">
        <v>0</v>
      </c>
      <c r="GM177" s="450">
        <v>0</v>
      </c>
      <c r="GN177" s="450">
        <v>0</v>
      </c>
      <c r="GO177" s="450">
        <v>0</v>
      </c>
      <c r="GP177" s="450">
        <v>0</v>
      </c>
      <c r="GQ177" s="450">
        <v>0</v>
      </c>
      <c r="GR177" s="450">
        <v>0</v>
      </c>
      <c r="GS177" s="450">
        <v>0</v>
      </c>
      <c r="GT177" s="450">
        <v>0</v>
      </c>
      <c r="GU177" s="450">
        <v>0</v>
      </c>
      <c r="GV177" s="450">
        <v>0</v>
      </c>
      <c r="GW177" s="450">
        <v>913613</v>
      </c>
      <c r="GX177" s="450">
        <v>-12504967</v>
      </c>
      <c r="GY177" s="450">
        <v>-12504967</v>
      </c>
      <c r="GZ177" s="450">
        <v>0</v>
      </c>
      <c r="HA177" s="450" t="s">
        <v>888</v>
      </c>
      <c r="HB177" s="450" t="s">
        <v>888</v>
      </c>
      <c r="HC177" s="450">
        <v>0</v>
      </c>
      <c r="HD177" s="450">
        <v>0</v>
      </c>
      <c r="HE177" s="450">
        <v>0</v>
      </c>
      <c r="HF177" s="450">
        <v>0</v>
      </c>
      <c r="HG177" s="472">
        <v>120</v>
      </c>
    </row>
    <row r="178" spans="2:215" ht="12.75">
      <c r="B178" s="445" t="s">
        <v>23</v>
      </c>
      <c r="C178" s="446">
        <v>12248</v>
      </c>
      <c r="D178" s="447">
        <v>2884584</v>
      </c>
      <c r="E178" s="447">
        <v>2474973.072</v>
      </c>
      <c r="F178" s="447">
        <v>702009.2459877982</v>
      </c>
      <c r="G178" s="447">
        <v>409610.9280000001</v>
      </c>
      <c r="H178" s="448">
        <v>0.8441443500979752</v>
      </c>
      <c r="I178" s="449">
        <v>10243.01</v>
      </c>
      <c r="J178" s="449">
        <v>96.07</v>
      </c>
      <c r="K178" s="447">
        <v>3176982.3179877982</v>
      </c>
      <c r="L178" s="447">
        <v>2541585.854390239</v>
      </c>
      <c r="M178" s="447">
        <v>1382640.9656925336</v>
      </c>
      <c r="N178" s="447">
        <v>635396.4635975595</v>
      </c>
      <c r="O178" s="450">
        <v>2.176028739386022</v>
      </c>
      <c r="P178" s="451">
        <v>0.0953625081645983</v>
      </c>
      <c r="Q178" s="452">
        <v>0.9046374918354017</v>
      </c>
      <c r="R178" s="447">
        <v>3924226.8200827725</v>
      </c>
      <c r="S178" s="447">
        <v>2652777.3303759545</v>
      </c>
      <c r="T178" s="447">
        <v>265682.0989201673</v>
      </c>
      <c r="U178" s="447">
        <v>1827111.8740587942</v>
      </c>
      <c r="V178" s="447">
        <v>894723.7149788722</v>
      </c>
      <c r="W178" s="450">
        <v>2.0420961727855165</v>
      </c>
      <c r="X178" s="452">
        <v>35.847979419706895</v>
      </c>
      <c r="Y178" s="447">
        <v>265682.0989201673</v>
      </c>
      <c r="Z178" s="447">
        <v>376725.77472794615</v>
      </c>
      <c r="AA178" s="448">
        <v>0.7052400359705426</v>
      </c>
      <c r="AB178" s="448">
        <v>0.05547844546048335</v>
      </c>
      <c r="AC178" s="449">
        <v>647</v>
      </c>
      <c r="AD178" s="449">
        <v>712</v>
      </c>
      <c r="AE178" s="447">
        <v>4745571.303354916</v>
      </c>
      <c r="AF178" s="447">
        <v>195682.50583044198</v>
      </c>
      <c r="AG178" s="451">
        <v>0.5</v>
      </c>
      <c r="AH178" s="450">
        <v>0.30658014504263087</v>
      </c>
      <c r="AI178" s="452">
        <v>0.25817418098449707</v>
      </c>
      <c r="AJ178" s="447">
        <v>4941253.809185358</v>
      </c>
      <c r="AK178" s="453">
        <v>1.1982</v>
      </c>
      <c r="AL178" s="447">
        <v>5920610.314165895</v>
      </c>
      <c r="AM178" s="447">
        <v>13928010.402246214</v>
      </c>
      <c r="AN178" s="447">
        <v>13790538.183040475</v>
      </c>
      <c r="AO178" s="447">
        <v>14748417.107621597</v>
      </c>
      <c r="AP178" s="447">
        <v>14748417.107621597</v>
      </c>
      <c r="AQ178" s="447">
        <v>48992</v>
      </c>
      <c r="AR178" s="447">
        <v>14797409.107621597</v>
      </c>
      <c r="AS178" s="454">
        <v>1208.1490127058782</v>
      </c>
      <c r="AT178" s="450">
        <v>12211</v>
      </c>
      <c r="AU178" s="450">
        <v>0</v>
      </c>
      <c r="AV178" s="450">
        <v>2</v>
      </c>
      <c r="AW178" s="450">
        <v>622</v>
      </c>
      <c r="AX178" s="450">
        <v>0</v>
      </c>
      <c r="AY178" s="450">
        <v>5</v>
      </c>
      <c r="AZ178" s="450">
        <v>31</v>
      </c>
      <c r="BA178" s="450">
        <v>72</v>
      </c>
      <c r="BB178" s="450">
        <v>0</v>
      </c>
      <c r="BC178" s="450">
        <v>254</v>
      </c>
      <c r="BD178" s="450">
        <v>175</v>
      </c>
      <c r="BE178" s="450">
        <v>4760</v>
      </c>
      <c r="BF178" s="450">
        <v>6286</v>
      </c>
      <c r="BG178" s="450">
        <v>4</v>
      </c>
      <c r="BH178" s="450">
        <v>0</v>
      </c>
      <c r="BI178" s="450">
        <v>0</v>
      </c>
      <c r="BJ178" s="452">
        <v>1.952744837566261</v>
      </c>
      <c r="BK178" s="452">
        <v>10.256806400765814</v>
      </c>
      <c r="BL178" s="452">
        <v>4.471452762356898</v>
      </c>
      <c r="BM178" s="452">
        <v>11.570707276817835</v>
      </c>
      <c r="BN178" s="449">
        <v>1165</v>
      </c>
      <c r="BO178" s="449">
        <v>11046</v>
      </c>
      <c r="BP178" s="447">
        <v>3995563.936254941</v>
      </c>
      <c r="BQ178" s="447">
        <v>15987918</v>
      </c>
      <c r="BR178" s="447">
        <v>16228954</v>
      </c>
      <c r="BS178" s="448">
        <v>0.055646548194251085</v>
      </c>
      <c r="BT178" s="449">
        <v>647</v>
      </c>
      <c r="BU178" s="449">
        <v>712</v>
      </c>
      <c r="BV178" s="447">
        <v>903085.270903284</v>
      </c>
      <c r="BW178" s="448">
        <v>0.01830286559462583</v>
      </c>
      <c r="BX178" s="447">
        <v>36231.53417641955</v>
      </c>
      <c r="BY178" s="447">
        <v>20922798.741334643</v>
      </c>
      <c r="BZ178" s="455">
        <v>1.1933333333333331</v>
      </c>
      <c r="CA178" s="447">
        <v>24967873.164659336</v>
      </c>
      <c r="CB178" s="447">
        <v>18776517.3975527</v>
      </c>
      <c r="CC178" s="447">
        <v>18753536.43248875</v>
      </c>
      <c r="CD178" s="447">
        <v>18391961.16118857</v>
      </c>
      <c r="CE178" s="447">
        <v>18753536.43248875</v>
      </c>
      <c r="CF178" s="454">
        <v>1535.7903883784088</v>
      </c>
      <c r="CG178" s="450">
        <v>12211</v>
      </c>
      <c r="CH178" s="450">
        <v>0</v>
      </c>
      <c r="CI178" s="450">
        <v>2</v>
      </c>
      <c r="CJ178" s="450">
        <v>622</v>
      </c>
      <c r="CK178" s="450">
        <v>0</v>
      </c>
      <c r="CL178" s="450">
        <v>5</v>
      </c>
      <c r="CM178" s="450">
        <v>31</v>
      </c>
      <c r="CN178" s="450">
        <v>72</v>
      </c>
      <c r="CO178" s="450">
        <v>0</v>
      </c>
      <c r="CP178" s="450">
        <v>254</v>
      </c>
      <c r="CQ178" s="450">
        <v>175</v>
      </c>
      <c r="CR178" s="450">
        <v>4760</v>
      </c>
      <c r="CS178" s="450">
        <v>6286</v>
      </c>
      <c r="CT178" s="450">
        <v>4</v>
      </c>
      <c r="CU178" s="450">
        <v>0</v>
      </c>
      <c r="CV178" s="450">
        <v>0</v>
      </c>
      <c r="CW178" s="447">
        <v>11181898.151517529</v>
      </c>
      <c r="CX178" s="452">
        <v>1.1649479279270019</v>
      </c>
      <c r="CY178" s="452">
        <v>1.1933333333333331</v>
      </c>
      <c r="CZ178" s="447">
        <v>13026329.081901118</v>
      </c>
      <c r="DA178" s="454">
        <v>1066.7700501106476</v>
      </c>
      <c r="DB178" s="449">
        <v>12248</v>
      </c>
      <c r="DC178" s="452">
        <v>0.9610564990202484</v>
      </c>
      <c r="DD178" s="454">
        <v>354.1</v>
      </c>
      <c r="DE178" s="447">
        <v>109163</v>
      </c>
      <c r="DF178" s="454">
        <v>77.07798589176483</v>
      </c>
      <c r="DG178" s="454">
        <v>80.39233928511071</v>
      </c>
      <c r="DH178" s="454">
        <v>82.16097074938313</v>
      </c>
      <c r="DI178" s="454">
        <v>83.96851210586954</v>
      </c>
      <c r="DJ178" s="454">
        <v>86.73947300536322</v>
      </c>
      <c r="DK178" s="454">
        <v>89.86209403355629</v>
      </c>
      <c r="DL178" s="454">
        <v>92.73768104263007</v>
      </c>
      <c r="DM178" s="454">
        <v>96.5399259653779</v>
      </c>
      <c r="DN178" s="454">
        <v>100.78768270785451</v>
      </c>
      <c r="DO178" s="454">
        <v>106.33100525678651</v>
      </c>
      <c r="DP178" s="454">
        <v>105.37402620947543</v>
      </c>
      <c r="DQ178" s="454">
        <v>110.74810154615867</v>
      </c>
      <c r="DR178" s="454">
        <v>117.50373574047434</v>
      </c>
      <c r="DS178" s="454">
        <v>57.14</v>
      </c>
      <c r="DT178" s="454">
        <v>60.773469074938305</v>
      </c>
      <c r="DU178" s="454">
        <v>64.5391550291739</v>
      </c>
      <c r="DV178" s="454">
        <v>69.17776287766495</v>
      </c>
      <c r="DW178" s="454">
        <v>74.26729544016021</v>
      </c>
      <c r="DX178" s="454">
        <v>79.32615425230945</v>
      </c>
      <c r="DY178" s="454">
        <v>85.37080645439889</v>
      </c>
      <c r="DZ178" s="454">
        <v>90.42273980166598</v>
      </c>
      <c r="EA178" s="454">
        <v>93.32188654130789</v>
      </c>
      <c r="EB178" s="454">
        <v>96.68135003378443</v>
      </c>
      <c r="EC178" s="454">
        <v>103.43929941763767</v>
      </c>
      <c r="ED178" s="454">
        <v>111.68775644670376</v>
      </c>
      <c r="EE178" s="454">
        <v>-1.82</v>
      </c>
      <c r="EF178" s="454">
        <v>109.86775644670377</v>
      </c>
      <c r="EG178" s="454">
        <v>5713.123335228596</v>
      </c>
      <c r="EH178" s="447">
        <v>68574847.91768226</v>
      </c>
      <c r="EI178" s="454">
        <v>70.01</v>
      </c>
      <c r="EJ178" s="454">
        <v>72.61129507493831</v>
      </c>
      <c r="EK178" s="454">
        <v>75.2931622931739</v>
      </c>
      <c r="EL178" s="454">
        <v>78.89804119341295</v>
      </c>
      <c r="EM178" s="454">
        <v>82.89890258454444</v>
      </c>
      <c r="EN178" s="454">
        <v>86.74933639647989</v>
      </c>
      <c r="EO178" s="454">
        <v>91.55283254406403</v>
      </c>
      <c r="EP178" s="454">
        <v>96.15966001287524</v>
      </c>
      <c r="EQ178" s="454">
        <v>98.79299611606446</v>
      </c>
      <c r="ER178" s="454">
        <v>100.33713832315523</v>
      </c>
      <c r="ES178" s="454">
        <v>106.51308621134064</v>
      </c>
      <c r="ET178" s="454">
        <v>114.13372228779289</v>
      </c>
      <c r="EU178" s="447">
        <v>257093347</v>
      </c>
      <c r="EV178" s="447">
        <v>0</v>
      </c>
      <c r="EW178" s="447">
        <v>0</v>
      </c>
      <c r="EX178" s="447">
        <v>0</v>
      </c>
      <c r="EY178" s="447">
        <v>0</v>
      </c>
      <c r="EZ178" s="447">
        <v>0</v>
      </c>
      <c r="FA178" s="447">
        <v>0</v>
      </c>
      <c r="FB178" s="447">
        <v>0</v>
      </c>
      <c r="FC178" s="447">
        <v>0</v>
      </c>
      <c r="FD178" s="447">
        <v>257093347</v>
      </c>
      <c r="FE178" s="447">
        <v>166198.525890026</v>
      </c>
      <c r="FF178" s="447">
        <v>0</v>
      </c>
      <c r="FG178" s="447">
        <v>0</v>
      </c>
      <c r="FH178" s="447">
        <v>76508</v>
      </c>
      <c r="FI178" s="456">
        <v>0.0646</v>
      </c>
      <c r="FJ178" s="447">
        <v>4942.4168</v>
      </c>
      <c r="FK178" s="471">
        <v>4942.4168</v>
      </c>
      <c r="FL178" s="446">
        <v>110.83</v>
      </c>
      <c r="FM178" s="450">
        <v>108.38</v>
      </c>
      <c r="FN178" s="450">
        <v>106.56</v>
      </c>
      <c r="FO178" s="450">
        <v>-1.82</v>
      </c>
      <c r="FP178" s="472">
        <v>104.79</v>
      </c>
      <c r="FQ178" s="446">
        <v>0</v>
      </c>
      <c r="FR178" s="450">
        <v>0</v>
      </c>
      <c r="FS178" s="450">
        <v>59904</v>
      </c>
      <c r="FT178" s="450">
        <v>59904</v>
      </c>
      <c r="FU178" s="450">
        <v>59432</v>
      </c>
      <c r="FV178" s="450">
        <v>59304</v>
      </c>
      <c r="FW178" s="450">
        <v>59304</v>
      </c>
      <c r="FX178" s="450">
        <v>59304</v>
      </c>
      <c r="FY178" s="450">
        <v>59304</v>
      </c>
      <c r="FZ178" s="450">
        <v>59304</v>
      </c>
      <c r="GA178" s="450">
        <v>59304</v>
      </c>
      <c r="GB178" s="450">
        <v>28864</v>
      </c>
      <c r="GC178" s="450">
        <v>20455</v>
      </c>
      <c r="GD178" s="450">
        <v>20455</v>
      </c>
      <c r="GE178" s="450">
        <v>20455</v>
      </c>
      <c r="GF178" s="450">
        <v>20455</v>
      </c>
      <c r="GG178" s="450">
        <v>20455</v>
      </c>
      <c r="GH178" s="450">
        <v>20455</v>
      </c>
      <c r="GI178" s="450">
        <v>20455</v>
      </c>
      <c r="GJ178" s="450">
        <v>20455</v>
      </c>
      <c r="GK178" s="450">
        <v>20455</v>
      </c>
      <c r="GL178" s="450">
        <v>19929</v>
      </c>
      <c r="GM178" s="450">
        <v>18855</v>
      </c>
      <c r="GN178" s="450">
        <v>18855</v>
      </c>
      <c r="GO178" s="450">
        <v>18855</v>
      </c>
      <c r="GP178" s="450">
        <v>18855</v>
      </c>
      <c r="GQ178" s="450">
        <v>18855</v>
      </c>
      <c r="GR178" s="450">
        <v>14902</v>
      </c>
      <c r="GS178" s="450">
        <v>5855</v>
      </c>
      <c r="GT178" s="450">
        <v>5855</v>
      </c>
      <c r="GU178" s="450">
        <v>5855</v>
      </c>
      <c r="GV178" s="450">
        <v>5855</v>
      </c>
      <c r="GW178" s="450">
        <v>0</v>
      </c>
      <c r="GX178" s="450">
        <v>220804922</v>
      </c>
      <c r="GY178" s="450">
        <v>220804922</v>
      </c>
      <c r="GZ178" s="450">
        <v>32</v>
      </c>
      <c r="HA178" s="450" t="s">
        <v>888</v>
      </c>
      <c r="HB178" s="450" t="s">
        <v>888</v>
      </c>
      <c r="HC178" s="450">
        <v>5</v>
      </c>
      <c r="HD178" s="450">
        <v>10</v>
      </c>
      <c r="HE178" s="450">
        <v>69</v>
      </c>
      <c r="HF178" s="450">
        <v>20</v>
      </c>
      <c r="HG178" s="472">
        <v>5</v>
      </c>
    </row>
    <row r="179" spans="2:215" ht="12.75">
      <c r="B179" s="445" t="s">
        <v>24</v>
      </c>
      <c r="C179" s="446">
        <v>22741</v>
      </c>
      <c r="D179" s="447">
        <v>5329453</v>
      </c>
      <c r="E179" s="447">
        <v>4572670.674</v>
      </c>
      <c r="F179" s="447">
        <v>476716.75659774506</v>
      </c>
      <c r="G179" s="447">
        <v>756782.3260000001</v>
      </c>
      <c r="H179" s="448">
        <v>0.31026647904665583</v>
      </c>
      <c r="I179" s="449">
        <v>4800.66</v>
      </c>
      <c r="J179" s="449">
        <v>2255.11</v>
      </c>
      <c r="K179" s="447">
        <v>5049387.430597745</v>
      </c>
      <c r="L179" s="447">
        <v>4039509.944478196</v>
      </c>
      <c r="M179" s="447">
        <v>1102880.7146134658</v>
      </c>
      <c r="N179" s="447">
        <v>1009877.4861195488</v>
      </c>
      <c r="O179" s="450">
        <v>1.0920935754804098</v>
      </c>
      <c r="P179" s="451">
        <v>0.9291587880919925</v>
      </c>
      <c r="Q179" s="452">
        <v>0.07084121190800756</v>
      </c>
      <c r="R179" s="447">
        <v>5142390.659091662</v>
      </c>
      <c r="S179" s="447">
        <v>3476256.0855459636</v>
      </c>
      <c r="T179" s="447">
        <v>622556.1273338305</v>
      </c>
      <c r="U179" s="447">
        <v>891436.4953954451</v>
      </c>
      <c r="V179" s="447">
        <v>1172465.070272899</v>
      </c>
      <c r="W179" s="450">
        <v>0.7603096399178505</v>
      </c>
      <c r="X179" s="452">
        <v>13.346856376113754</v>
      </c>
      <c r="Y179" s="447">
        <v>622556.1273338305</v>
      </c>
      <c r="Z179" s="447">
        <v>493669.50327279954</v>
      </c>
      <c r="AA179" s="448">
        <v>1.261078764652409</v>
      </c>
      <c r="AB179" s="448">
        <v>0.09920408073523591</v>
      </c>
      <c r="AC179" s="449">
        <v>2334</v>
      </c>
      <c r="AD179" s="449">
        <v>2178</v>
      </c>
      <c r="AE179" s="447">
        <v>4990248.708275239</v>
      </c>
      <c r="AF179" s="447">
        <v>810912.9673894556</v>
      </c>
      <c r="AG179" s="451">
        <v>1</v>
      </c>
      <c r="AH179" s="450">
        <v>0.3550148072020192</v>
      </c>
      <c r="AI179" s="452">
        <v>0.29896149039268494</v>
      </c>
      <c r="AJ179" s="447">
        <v>5801161.675664695</v>
      </c>
      <c r="AK179" s="453">
        <v>1.0168</v>
      </c>
      <c r="AL179" s="447">
        <v>5898621.1918158615</v>
      </c>
      <c r="AM179" s="447">
        <v>13876281.828910667</v>
      </c>
      <c r="AN179" s="447">
        <v>13739320.180961512</v>
      </c>
      <c r="AO179" s="447">
        <v>13265177.977122676</v>
      </c>
      <c r="AP179" s="447">
        <v>13739320.180961512</v>
      </c>
      <c r="AQ179" s="447">
        <v>90964</v>
      </c>
      <c r="AR179" s="447">
        <v>13830284.180961512</v>
      </c>
      <c r="AS179" s="454">
        <v>608.1651721982987</v>
      </c>
      <c r="AT179" s="450">
        <v>22741</v>
      </c>
      <c r="AU179" s="450">
        <v>11</v>
      </c>
      <c r="AV179" s="450">
        <v>3969</v>
      </c>
      <c r="AW179" s="450">
        <v>2288</v>
      </c>
      <c r="AX179" s="450">
        <v>0</v>
      </c>
      <c r="AY179" s="450">
        <v>5733</v>
      </c>
      <c r="AZ179" s="450">
        <v>1167</v>
      </c>
      <c r="BA179" s="450">
        <v>984</v>
      </c>
      <c r="BB179" s="450">
        <v>380</v>
      </c>
      <c r="BC179" s="450">
        <v>18</v>
      </c>
      <c r="BD179" s="450">
        <v>3765</v>
      </c>
      <c r="BE179" s="450">
        <v>924</v>
      </c>
      <c r="BF179" s="450">
        <v>687</v>
      </c>
      <c r="BG179" s="450">
        <v>2815</v>
      </c>
      <c r="BH179" s="450">
        <v>0</v>
      </c>
      <c r="BI179" s="450">
        <v>0</v>
      </c>
      <c r="BJ179" s="452">
        <v>1.6325528492460648</v>
      </c>
      <c r="BK179" s="452">
        <v>18.489913676936578</v>
      </c>
      <c r="BL179" s="452">
        <v>13.184942543085036</v>
      </c>
      <c r="BM179" s="452">
        <v>10.609942267703083</v>
      </c>
      <c r="BN179" s="449">
        <v>21130</v>
      </c>
      <c r="BO179" s="449">
        <v>1611</v>
      </c>
      <c r="BP179" s="447">
        <v>8347961.041448798</v>
      </c>
      <c r="BQ179" s="447">
        <v>23624110</v>
      </c>
      <c r="BR179" s="447">
        <v>32988919</v>
      </c>
      <c r="BS179" s="448">
        <v>0.09920408073523591</v>
      </c>
      <c r="BT179" s="449">
        <v>2334</v>
      </c>
      <c r="BU179" s="449">
        <v>2178</v>
      </c>
      <c r="BV179" s="447">
        <v>3272635.383844158</v>
      </c>
      <c r="BW179" s="448">
        <v>0.010573699532591902</v>
      </c>
      <c r="BX179" s="447">
        <v>70270.92186917196</v>
      </c>
      <c r="BY179" s="447">
        <v>35314977.34716213</v>
      </c>
      <c r="BZ179" s="455">
        <v>0.9333333333333332</v>
      </c>
      <c r="CA179" s="447">
        <v>32960645.524017982</v>
      </c>
      <c r="CB179" s="447">
        <v>24787298.86341664</v>
      </c>
      <c r="CC179" s="447">
        <v>24756961.179534744</v>
      </c>
      <c r="CD179" s="447">
        <v>23573782.76257708</v>
      </c>
      <c r="CE179" s="447">
        <v>24756961.179534744</v>
      </c>
      <c r="CF179" s="454">
        <v>1088.6487480557032</v>
      </c>
      <c r="CG179" s="450">
        <v>22741</v>
      </c>
      <c r="CH179" s="450">
        <v>11</v>
      </c>
      <c r="CI179" s="450">
        <v>3969</v>
      </c>
      <c r="CJ179" s="450">
        <v>2288</v>
      </c>
      <c r="CK179" s="450">
        <v>0</v>
      </c>
      <c r="CL179" s="450">
        <v>5733</v>
      </c>
      <c r="CM179" s="450">
        <v>1167</v>
      </c>
      <c r="CN179" s="450">
        <v>984</v>
      </c>
      <c r="CO179" s="450">
        <v>380</v>
      </c>
      <c r="CP179" s="450">
        <v>18</v>
      </c>
      <c r="CQ179" s="450">
        <v>3765</v>
      </c>
      <c r="CR179" s="450">
        <v>924</v>
      </c>
      <c r="CS179" s="450">
        <v>687</v>
      </c>
      <c r="CT179" s="450">
        <v>2815</v>
      </c>
      <c r="CU179" s="450">
        <v>0</v>
      </c>
      <c r="CV179" s="450">
        <v>0</v>
      </c>
      <c r="CW179" s="447">
        <v>16004594.84933093</v>
      </c>
      <c r="CX179" s="452">
        <v>0.9111324575965377</v>
      </c>
      <c r="CY179" s="452">
        <v>0.9333333333333332</v>
      </c>
      <c r="CZ179" s="447">
        <v>14582305.83790778</v>
      </c>
      <c r="DA179" s="454">
        <v>641.2341514404723</v>
      </c>
      <c r="DB179" s="449">
        <v>22741</v>
      </c>
      <c r="DC179" s="452">
        <v>1.0211688140363222</v>
      </c>
      <c r="DD179" s="454">
        <v>307.3</v>
      </c>
      <c r="DE179" s="447">
        <v>31159</v>
      </c>
      <c r="DF179" s="454">
        <v>48.183180883594744</v>
      </c>
      <c r="DG179" s="454">
        <v>50.25505766158931</v>
      </c>
      <c r="DH179" s="454">
        <v>51.360668930144264</v>
      </c>
      <c r="DI179" s="454">
        <v>52.490603646607426</v>
      </c>
      <c r="DJ179" s="454">
        <v>54.22279356694547</v>
      </c>
      <c r="DK179" s="454">
        <v>56.1748141353555</v>
      </c>
      <c r="DL179" s="454">
        <v>57.97240818768686</v>
      </c>
      <c r="DM179" s="454">
        <v>60.349276923382014</v>
      </c>
      <c r="DN179" s="454">
        <v>63.00464510801081</v>
      </c>
      <c r="DO179" s="454">
        <v>66.4699005889514</v>
      </c>
      <c r="DP179" s="454">
        <v>65.87167148365084</v>
      </c>
      <c r="DQ179" s="454">
        <v>69.23112672931703</v>
      </c>
      <c r="DR179" s="454">
        <v>73.45422545980536</v>
      </c>
      <c r="DS179" s="454">
        <v>35.68</v>
      </c>
      <c r="DT179" s="454">
        <v>37.95453089301442</v>
      </c>
      <c r="DU179" s="454">
        <v>40.31187202532148</v>
      </c>
      <c r="DV179" s="454">
        <v>43.214742522755635</v>
      </c>
      <c r="DW179" s="454">
        <v>46.39966480811492</v>
      </c>
      <c r="DX179" s="454">
        <v>49.565779766259965</v>
      </c>
      <c r="DY179" s="454">
        <v>53.3482367740177</v>
      </c>
      <c r="DZ179" s="454">
        <v>56.50767984940073</v>
      </c>
      <c r="EA179" s="454">
        <v>58.32081738897526</v>
      </c>
      <c r="EB179" s="454">
        <v>60.426464707124765</v>
      </c>
      <c r="EC179" s="454">
        <v>64.6527968716139</v>
      </c>
      <c r="ED179" s="454">
        <v>69.8110194755381</v>
      </c>
      <c r="EE179" s="454">
        <v>-1.26</v>
      </c>
      <c r="EF179" s="454">
        <v>68.5510194755381</v>
      </c>
      <c r="EG179" s="454">
        <v>3564.653012727981</v>
      </c>
      <c r="EH179" s="447">
        <v>79442498.67919807</v>
      </c>
      <c r="EI179" s="454">
        <v>38.39</v>
      </c>
      <c r="EJ179" s="454">
        <v>40.44718889301442</v>
      </c>
      <c r="EK179" s="454">
        <v>42.57631333732147</v>
      </c>
      <c r="EL179" s="454">
        <v>45.261514413639624</v>
      </c>
      <c r="EM179" s="454">
        <v>48.217198247219905</v>
      </c>
      <c r="EN179" s="454">
        <v>51.12885852389026</v>
      </c>
      <c r="EO179" s="454">
        <v>54.64996876337221</v>
      </c>
      <c r="EP179" s="454">
        <v>57.71568713552171</v>
      </c>
      <c r="EQ179" s="454">
        <v>59.4728536708393</v>
      </c>
      <c r="ER179" s="454">
        <v>61.19625384964184</v>
      </c>
      <c r="ES179" s="454">
        <v>65.30003558264227</v>
      </c>
      <c r="ET179" s="454">
        <v>70.32605967983892</v>
      </c>
      <c r="EU179" s="447">
        <v>254542575</v>
      </c>
      <c r="EV179" s="447">
        <v>0</v>
      </c>
      <c r="EW179" s="447">
        <v>0</v>
      </c>
      <c r="EX179" s="447">
        <v>0</v>
      </c>
      <c r="EY179" s="447">
        <v>0</v>
      </c>
      <c r="EZ179" s="447">
        <v>0</v>
      </c>
      <c r="FA179" s="447">
        <v>0</v>
      </c>
      <c r="FB179" s="447">
        <v>0</v>
      </c>
      <c r="FC179" s="447">
        <v>0</v>
      </c>
      <c r="FD179" s="447">
        <v>254542575</v>
      </c>
      <c r="FE179" s="447">
        <v>164951.6208894665</v>
      </c>
      <c r="FF179" s="447">
        <v>0</v>
      </c>
      <c r="FG179" s="447">
        <v>0</v>
      </c>
      <c r="FH179" s="447">
        <v>22621</v>
      </c>
      <c r="FI179" s="456">
        <v>0.0723</v>
      </c>
      <c r="FJ179" s="447">
        <v>1635.4983</v>
      </c>
      <c r="FK179" s="471">
        <v>1635.4983</v>
      </c>
      <c r="FL179" s="446">
        <v>69.22</v>
      </c>
      <c r="FM179" s="450">
        <v>64.66</v>
      </c>
      <c r="FN179" s="450">
        <v>63.4</v>
      </c>
      <c r="FO179" s="450">
        <v>-1.26</v>
      </c>
      <c r="FP179" s="472">
        <v>62.64</v>
      </c>
      <c r="FQ179" s="446">
        <v>0</v>
      </c>
      <c r="FR179" s="450">
        <v>0</v>
      </c>
      <c r="FS179" s="450">
        <v>0</v>
      </c>
      <c r="FT179" s="450">
        <v>0</v>
      </c>
      <c r="FU179" s="450">
        <v>0</v>
      </c>
      <c r="FV179" s="450">
        <v>0</v>
      </c>
      <c r="FW179" s="450">
        <v>0</v>
      </c>
      <c r="FX179" s="450">
        <v>0</v>
      </c>
      <c r="FY179" s="450">
        <v>0</v>
      </c>
      <c r="FZ179" s="450">
        <v>0</v>
      </c>
      <c r="GA179" s="450">
        <v>0</v>
      </c>
      <c r="GB179" s="450">
        <v>0</v>
      </c>
      <c r="GC179" s="450">
        <v>0</v>
      </c>
      <c r="GD179" s="450">
        <v>0</v>
      </c>
      <c r="GE179" s="450">
        <v>0</v>
      </c>
      <c r="GF179" s="450">
        <v>0</v>
      </c>
      <c r="GG179" s="450">
        <v>0</v>
      </c>
      <c r="GH179" s="450">
        <v>0</v>
      </c>
      <c r="GI179" s="450">
        <v>0</v>
      </c>
      <c r="GJ179" s="450">
        <v>0</v>
      </c>
      <c r="GK179" s="450">
        <v>0</v>
      </c>
      <c r="GL179" s="450">
        <v>0</v>
      </c>
      <c r="GM179" s="450">
        <v>0</v>
      </c>
      <c r="GN179" s="450">
        <v>0</v>
      </c>
      <c r="GO179" s="450">
        <v>0</v>
      </c>
      <c r="GP179" s="450">
        <v>0</v>
      </c>
      <c r="GQ179" s="450">
        <v>0</v>
      </c>
      <c r="GR179" s="450">
        <v>0</v>
      </c>
      <c r="GS179" s="450">
        <v>0</v>
      </c>
      <c r="GT179" s="450">
        <v>0</v>
      </c>
      <c r="GU179" s="450">
        <v>0</v>
      </c>
      <c r="GV179" s="450">
        <v>0</v>
      </c>
      <c r="GW179" s="450">
        <v>2813636</v>
      </c>
      <c r="GX179" s="450">
        <v>218984480</v>
      </c>
      <c r="GY179" s="450">
        <v>218984480</v>
      </c>
      <c r="GZ179" s="450">
        <v>78</v>
      </c>
      <c r="HA179" s="450" t="s">
        <v>888</v>
      </c>
      <c r="HB179" s="450" t="s">
        <v>888</v>
      </c>
      <c r="HC179" s="450">
        <v>27</v>
      </c>
      <c r="HD179" s="450">
        <v>0</v>
      </c>
      <c r="HE179" s="450">
        <v>0</v>
      </c>
      <c r="HF179" s="450">
        <v>0</v>
      </c>
      <c r="HG179" s="472">
        <v>0</v>
      </c>
    </row>
    <row r="180" spans="2:215" ht="12.75">
      <c r="B180" s="445" t="s">
        <v>25</v>
      </c>
      <c r="C180" s="446">
        <v>5371.75</v>
      </c>
      <c r="D180" s="447">
        <v>1282417.75</v>
      </c>
      <c r="E180" s="447">
        <v>1100314.4295</v>
      </c>
      <c r="F180" s="447">
        <v>135620.8553160885</v>
      </c>
      <c r="G180" s="447">
        <v>182103.32050000003</v>
      </c>
      <c r="H180" s="448">
        <v>0.36682086843207523</v>
      </c>
      <c r="I180" s="449">
        <v>1489.86</v>
      </c>
      <c r="J180" s="449">
        <v>480.61</v>
      </c>
      <c r="K180" s="447">
        <v>1235935.2848160886</v>
      </c>
      <c r="L180" s="447">
        <v>988748.227852871</v>
      </c>
      <c r="M180" s="447">
        <v>283882.6065653619</v>
      </c>
      <c r="N180" s="447">
        <v>247187.05696321768</v>
      </c>
      <c r="O180" s="450">
        <v>1.1484525527062877</v>
      </c>
      <c r="P180" s="451">
        <v>0.8855587099176246</v>
      </c>
      <c r="Q180" s="452">
        <v>0.11430167077767953</v>
      </c>
      <c r="R180" s="447">
        <v>1272630.8344182328</v>
      </c>
      <c r="S180" s="447">
        <v>860298.4440667254</v>
      </c>
      <c r="T180" s="447">
        <v>103069.48160928975</v>
      </c>
      <c r="U180" s="447">
        <v>168044.56827225874</v>
      </c>
      <c r="V180" s="447">
        <v>290159.8302473571</v>
      </c>
      <c r="W180" s="450">
        <v>0.5791448393425208</v>
      </c>
      <c r="X180" s="452">
        <v>10.166598693273546</v>
      </c>
      <c r="Y180" s="447">
        <v>103069.48160928975</v>
      </c>
      <c r="Z180" s="447">
        <v>122172.56010415035</v>
      </c>
      <c r="AA180" s="448">
        <v>0.8436385512542628</v>
      </c>
      <c r="AB180" s="448">
        <v>0.06636570949876669</v>
      </c>
      <c r="AC180" s="449">
        <v>273</v>
      </c>
      <c r="AD180" s="449">
        <v>440</v>
      </c>
      <c r="AE180" s="447">
        <v>1131412.4939482738</v>
      </c>
      <c r="AF180" s="447">
        <v>0</v>
      </c>
      <c r="AG180" s="451">
        <v>0</v>
      </c>
      <c r="AH180" s="450">
        <v>0.012350068964724778</v>
      </c>
      <c r="AI180" s="452">
        <v>0.01040011557051912</v>
      </c>
      <c r="AJ180" s="447">
        <v>1131412.4939482738</v>
      </c>
      <c r="AK180" s="453">
        <v>1.0206</v>
      </c>
      <c r="AL180" s="447">
        <v>1154719.5913236083</v>
      </c>
      <c r="AM180" s="447">
        <v>2716433.8853972536</v>
      </c>
      <c r="AN180" s="447">
        <v>2689622.1453305604</v>
      </c>
      <c r="AO180" s="447">
        <v>2600293.8533179103</v>
      </c>
      <c r="AP180" s="447">
        <v>2689622.1453305604</v>
      </c>
      <c r="AQ180" s="447">
        <v>21487</v>
      </c>
      <c r="AR180" s="447">
        <v>2711109.1453305604</v>
      </c>
      <c r="AS180" s="454">
        <v>504.6975651008629</v>
      </c>
      <c r="AT180" s="450">
        <v>5362</v>
      </c>
      <c r="AU180" s="450">
        <v>122</v>
      </c>
      <c r="AV180" s="450">
        <v>497</v>
      </c>
      <c r="AW180" s="450">
        <v>61</v>
      </c>
      <c r="AX180" s="450">
        <v>45</v>
      </c>
      <c r="AY180" s="450">
        <v>687</v>
      </c>
      <c r="AZ180" s="450">
        <v>229</v>
      </c>
      <c r="BA180" s="450">
        <v>164</v>
      </c>
      <c r="BB180" s="450">
        <v>666</v>
      </c>
      <c r="BC180" s="450">
        <v>3</v>
      </c>
      <c r="BD180" s="450">
        <v>1057</v>
      </c>
      <c r="BE180" s="450">
        <v>614</v>
      </c>
      <c r="BF180" s="450">
        <v>0</v>
      </c>
      <c r="BG180" s="450">
        <v>1217</v>
      </c>
      <c r="BH180" s="450">
        <v>0</v>
      </c>
      <c r="BI180" s="450">
        <v>0</v>
      </c>
      <c r="BJ180" s="452">
        <v>1.2680645396582735</v>
      </c>
      <c r="BK180" s="452">
        <v>7.189799079246145</v>
      </c>
      <c r="BL180" s="452">
        <v>4.581932630142962</v>
      </c>
      <c r="BM180" s="452">
        <v>5.215732898206364</v>
      </c>
      <c r="BN180" s="449">
        <v>4748</v>
      </c>
      <c r="BO180" s="449">
        <v>614</v>
      </c>
      <c r="BP180" s="447">
        <v>1432887.5685230559</v>
      </c>
      <c r="BQ180" s="447">
        <v>5608244</v>
      </c>
      <c r="BR180" s="447">
        <v>7217621</v>
      </c>
      <c r="BS180" s="448">
        <v>0.0664863856769862</v>
      </c>
      <c r="BT180" s="449">
        <v>273</v>
      </c>
      <c r="BU180" s="449">
        <v>440</v>
      </c>
      <c r="BV180" s="447">
        <v>479873.5334763148</v>
      </c>
      <c r="BW180" s="448">
        <v>0.008081800979965574</v>
      </c>
      <c r="BX180" s="447">
        <v>4924.429896191136</v>
      </c>
      <c r="BY180" s="447">
        <v>7525929.531895562</v>
      </c>
      <c r="BZ180" s="455">
        <v>1.03</v>
      </c>
      <c r="CA180" s="447">
        <v>7751707.417852429</v>
      </c>
      <c r="CB180" s="447">
        <v>5829494.095558873</v>
      </c>
      <c r="CC180" s="447">
        <v>5822359.258074688</v>
      </c>
      <c r="CD180" s="447">
        <v>5545240.904829876</v>
      </c>
      <c r="CE180" s="447">
        <v>5822359.258074688</v>
      </c>
      <c r="CF180" s="454">
        <v>1085.8558855044178</v>
      </c>
      <c r="CG180" s="450">
        <v>5362</v>
      </c>
      <c r="CH180" s="450">
        <v>122</v>
      </c>
      <c r="CI180" s="450">
        <v>497</v>
      </c>
      <c r="CJ180" s="450">
        <v>61</v>
      </c>
      <c r="CK180" s="450">
        <v>45</v>
      </c>
      <c r="CL180" s="450">
        <v>687</v>
      </c>
      <c r="CM180" s="450">
        <v>229</v>
      </c>
      <c r="CN180" s="450">
        <v>164</v>
      </c>
      <c r="CO180" s="450">
        <v>666</v>
      </c>
      <c r="CP180" s="450">
        <v>3</v>
      </c>
      <c r="CQ180" s="450">
        <v>1057</v>
      </c>
      <c r="CR180" s="450">
        <v>614</v>
      </c>
      <c r="CS180" s="450">
        <v>0</v>
      </c>
      <c r="CT180" s="450">
        <v>1217</v>
      </c>
      <c r="CU180" s="450">
        <v>0</v>
      </c>
      <c r="CV180" s="450">
        <v>0</v>
      </c>
      <c r="CW180" s="447">
        <v>3826111.4664995437</v>
      </c>
      <c r="CX180" s="452">
        <v>1.005499747847608</v>
      </c>
      <c r="CY180" s="452">
        <v>1.03</v>
      </c>
      <c r="CZ180" s="447">
        <v>3847154.114802133</v>
      </c>
      <c r="DA180" s="454">
        <v>717.4849151067014</v>
      </c>
      <c r="DB180" s="449">
        <v>5371.75</v>
      </c>
      <c r="DC180" s="452">
        <v>1.0173360636664028</v>
      </c>
      <c r="DD180" s="454">
        <v>313.9</v>
      </c>
      <c r="DE180" s="447">
        <v>48349</v>
      </c>
      <c r="DF180" s="454">
        <v>54.514045098119446</v>
      </c>
      <c r="DG180" s="454">
        <v>56.85814903733858</v>
      </c>
      <c r="DH180" s="454">
        <v>58.109028316160014</v>
      </c>
      <c r="DI180" s="454">
        <v>59.38742693911552</v>
      </c>
      <c r="DJ180" s="454">
        <v>61.34721202810633</v>
      </c>
      <c r="DK180" s="454">
        <v>63.555711661118146</v>
      </c>
      <c r="DL180" s="454">
        <v>65.58949443427392</v>
      </c>
      <c r="DM180" s="454">
        <v>68.27866370607914</v>
      </c>
      <c r="DN180" s="454">
        <v>71.28292490914662</v>
      </c>
      <c r="DO180" s="454">
        <v>75.20348577914967</v>
      </c>
      <c r="DP180" s="454">
        <v>74.52665440713733</v>
      </c>
      <c r="DQ180" s="454">
        <v>78.32751378190133</v>
      </c>
      <c r="DR180" s="454">
        <v>83.10549212259731</v>
      </c>
      <c r="DS180" s="454">
        <v>44.43</v>
      </c>
      <c r="DT180" s="454">
        <v>46.67761683161599</v>
      </c>
      <c r="DU180" s="454">
        <v>49.002624683823086</v>
      </c>
      <c r="DV180" s="454">
        <v>51.960648889603874</v>
      </c>
      <c r="DW180" s="454">
        <v>55.220443594127964</v>
      </c>
      <c r="DX180" s="454">
        <v>58.421163896662364</v>
      </c>
      <c r="DY180" s="454">
        <v>62.30887803435624</v>
      </c>
      <c r="DZ180" s="454">
        <v>65.74296380578777</v>
      </c>
      <c r="EA180" s="454">
        <v>67.71043886806292</v>
      </c>
      <c r="EB180" s="454">
        <v>69.51981022407674</v>
      </c>
      <c r="EC180" s="454">
        <v>74.11775919278398</v>
      </c>
      <c r="ED180" s="454">
        <v>79.75557990830718</v>
      </c>
      <c r="EE180" s="454">
        <v>-0.09</v>
      </c>
      <c r="EF180" s="454">
        <v>79.66557990830718</v>
      </c>
      <c r="EG180" s="454">
        <v>4142.610155231973</v>
      </c>
      <c r="EH180" s="447">
        <v>21808004.779340006</v>
      </c>
      <c r="EI180" s="454">
        <v>56.88</v>
      </c>
      <c r="EJ180" s="454">
        <v>58.129126831616</v>
      </c>
      <c r="EK180" s="454">
        <v>59.40568532382309</v>
      </c>
      <c r="EL180" s="454">
        <v>61.36371532558388</v>
      </c>
      <c r="EM180" s="454">
        <v>63.57036658927821</v>
      </c>
      <c r="EN180" s="454">
        <v>65.60209767249157</v>
      </c>
      <c r="EO180" s="454">
        <v>68.28915968286681</v>
      </c>
      <c r="EP180" s="454">
        <v>71.29266517560556</v>
      </c>
      <c r="EQ180" s="454">
        <v>73.00300407441249</v>
      </c>
      <c r="ER180" s="454">
        <v>73.05629539910908</v>
      </c>
      <c r="ES180" s="454">
        <v>77.09123592795117</v>
      </c>
      <c r="ET180" s="454">
        <v>82.12172402031648</v>
      </c>
      <c r="EU180" s="447">
        <v>3812804</v>
      </c>
      <c r="EV180" s="447">
        <v>0</v>
      </c>
      <c r="EW180" s="447">
        <v>0</v>
      </c>
      <c r="EX180" s="447">
        <v>0</v>
      </c>
      <c r="EY180" s="447">
        <v>0</v>
      </c>
      <c r="EZ180" s="447">
        <v>0</v>
      </c>
      <c r="FA180" s="447">
        <v>0</v>
      </c>
      <c r="FB180" s="447">
        <v>0</v>
      </c>
      <c r="FC180" s="447">
        <v>0</v>
      </c>
      <c r="FD180" s="447">
        <v>3812804</v>
      </c>
      <c r="FE180" s="447">
        <v>42386.29351052309</v>
      </c>
      <c r="FF180" s="447">
        <v>0</v>
      </c>
      <c r="FG180" s="447">
        <v>0</v>
      </c>
      <c r="FH180" s="447">
        <v>1346019</v>
      </c>
      <c r="FI180" s="456">
        <v>0.0313</v>
      </c>
      <c r="FJ180" s="447">
        <v>42130.394700000004</v>
      </c>
      <c r="FK180" s="471">
        <v>42130.394700000004</v>
      </c>
      <c r="FL180" s="446">
        <v>78.28</v>
      </c>
      <c r="FM180" s="450">
        <v>77.22</v>
      </c>
      <c r="FN180" s="450">
        <v>77.13</v>
      </c>
      <c r="FO180" s="450">
        <v>-0.09</v>
      </c>
      <c r="FP180" s="472">
        <v>76.76</v>
      </c>
      <c r="FQ180" s="446">
        <v>0</v>
      </c>
      <c r="FR180" s="450">
        <v>0</v>
      </c>
      <c r="FS180" s="450">
        <v>0</v>
      </c>
      <c r="FT180" s="450">
        <v>0</v>
      </c>
      <c r="FU180" s="450">
        <v>0</v>
      </c>
      <c r="FV180" s="450">
        <v>0</v>
      </c>
      <c r="FW180" s="450">
        <v>0</v>
      </c>
      <c r="FX180" s="450">
        <v>0</v>
      </c>
      <c r="FY180" s="450">
        <v>0</v>
      </c>
      <c r="FZ180" s="450">
        <v>0</v>
      </c>
      <c r="GA180" s="450">
        <v>0</v>
      </c>
      <c r="GB180" s="450">
        <v>0</v>
      </c>
      <c r="GC180" s="450">
        <v>0</v>
      </c>
      <c r="GD180" s="450">
        <v>0</v>
      </c>
      <c r="GE180" s="450">
        <v>0</v>
      </c>
      <c r="GF180" s="450">
        <v>0</v>
      </c>
      <c r="GG180" s="450">
        <v>0</v>
      </c>
      <c r="GH180" s="450">
        <v>0</v>
      </c>
      <c r="GI180" s="450">
        <v>0</v>
      </c>
      <c r="GJ180" s="450">
        <v>0</v>
      </c>
      <c r="GK180" s="450">
        <v>0</v>
      </c>
      <c r="GL180" s="450">
        <v>0</v>
      </c>
      <c r="GM180" s="450">
        <v>0</v>
      </c>
      <c r="GN180" s="450">
        <v>0</v>
      </c>
      <c r="GO180" s="450">
        <v>0</v>
      </c>
      <c r="GP180" s="450">
        <v>0</v>
      </c>
      <c r="GQ180" s="450">
        <v>0</v>
      </c>
      <c r="GR180" s="450">
        <v>0</v>
      </c>
      <c r="GS180" s="450">
        <v>0</v>
      </c>
      <c r="GT180" s="450">
        <v>0</v>
      </c>
      <c r="GU180" s="450">
        <v>0</v>
      </c>
      <c r="GV180" s="450">
        <v>0</v>
      </c>
      <c r="GW180" s="450">
        <v>2578370</v>
      </c>
      <c r="GX180" s="450">
        <v>4271541</v>
      </c>
      <c r="GY180" s="450">
        <v>4271541</v>
      </c>
      <c r="GZ180" s="450">
        <v>0</v>
      </c>
      <c r="HA180" s="450" t="s">
        <v>888</v>
      </c>
      <c r="HB180" s="450" t="s">
        <v>888</v>
      </c>
      <c r="HC180" s="450">
        <v>0</v>
      </c>
      <c r="HD180" s="450">
        <v>0</v>
      </c>
      <c r="HE180" s="450">
        <v>0</v>
      </c>
      <c r="HF180" s="450">
        <v>0</v>
      </c>
      <c r="HG180" s="472">
        <v>0</v>
      </c>
    </row>
    <row r="181" spans="2:215" ht="12.75">
      <c r="B181" s="445" t="s">
        <v>26</v>
      </c>
      <c r="C181" s="446">
        <v>5050.5</v>
      </c>
      <c r="D181" s="447">
        <v>1207566.5</v>
      </c>
      <c r="E181" s="447">
        <v>1036092.057</v>
      </c>
      <c r="F181" s="447">
        <v>145324.08387391464</v>
      </c>
      <c r="G181" s="447">
        <v>171474.44300000003</v>
      </c>
      <c r="H181" s="448">
        <v>0.4174299574299574</v>
      </c>
      <c r="I181" s="449">
        <v>1699.9</v>
      </c>
      <c r="J181" s="449">
        <v>408.33</v>
      </c>
      <c r="K181" s="447">
        <v>1181416.1408739146</v>
      </c>
      <c r="L181" s="447">
        <v>945132.9126991318</v>
      </c>
      <c r="M181" s="447">
        <v>252362.9322681742</v>
      </c>
      <c r="N181" s="447">
        <v>236283.22817478285</v>
      </c>
      <c r="O181" s="450">
        <v>1.068052668052668</v>
      </c>
      <c r="P181" s="451">
        <v>0.9478269478269479</v>
      </c>
      <c r="Q181" s="452">
        <v>0.05227205227205227</v>
      </c>
      <c r="R181" s="447">
        <v>1197495.844967306</v>
      </c>
      <c r="S181" s="447">
        <v>809507.1911978988</v>
      </c>
      <c r="T181" s="447">
        <v>113714.5661341993</v>
      </c>
      <c r="U181" s="447">
        <v>202164.30687413848</v>
      </c>
      <c r="V181" s="447">
        <v>273029.05265254574</v>
      </c>
      <c r="W181" s="450">
        <v>0.7404497979612847</v>
      </c>
      <c r="X181" s="452">
        <v>12.998226759533802</v>
      </c>
      <c r="Y181" s="447">
        <v>113714.5661341993</v>
      </c>
      <c r="Z181" s="447">
        <v>114959.60111686136</v>
      </c>
      <c r="AA181" s="448">
        <v>0.9891698042567455</v>
      </c>
      <c r="AB181" s="448">
        <v>0.07781407781407781</v>
      </c>
      <c r="AC181" s="449">
        <v>416</v>
      </c>
      <c r="AD181" s="449">
        <v>370</v>
      </c>
      <c r="AE181" s="447">
        <v>1125386.0642062365</v>
      </c>
      <c r="AF181" s="447">
        <v>0</v>
      </c>
      <c r="AG181" s="451">
        <v>0</v>
      </c>
      <c r="AH181" s="450">
        <v>0</v>
      </c>
      <c r="AI181" s="452">
        <v>0</v>
      </c>
      <c r="AJ181" s="447">
        <v>1125386.0642062365</v>
      </c>
      <c r="AK181" s="453">
        <v>1.0362</v>
      </c>
      <c r="AL181" s="447">
        <v>1166125.0397305023</v>
      </c>
      <c r="AM181" s="447">
        <v>2743264.7686380264</v>
      </c>
      <c r="AN181" s="447">
        <v>2716188.202443564</v>
      </c>
      <c r="AO181" s="447">
        <v>2604143.7348175333</v>
      </c>
      <c r="AP181" s="447">
        <v>2716188.202443564</v>
      </c>
      <c r="AQ181" s="447">
        <v>20202</v>
      </c>
      <c r="AR181" s="447">
        <v>2736390.202443564</v>
      </c>
      <c r="AS181" s="454">
        <v>541.8058018896276</v>
      </c>
      <c r="AT181" s="450">
        <v>5050</v>
      </c>
      <c r="AU181" s="450">
        <v>229</v>
      </c>
      <c r="AV181" s="450">
        <v>503</v>
      </c>
      <c r="AW181" s="450">
        <v>95</v>
      </c>
      <c r="AX181" s="450">
        <v>113</v>
      </c>
      <c r="AY181" s="450">
        <v>884</v>
      </c>
      <c r="AZ181" s="450">
        <v>268</v>
      </c>
      <c r="BA181" s="450">
        <v>123</v>
      </c>
      <c r="BB181" s="450">
        <v>81</v>
      </c>
      <c r="BC181" s="450">
        <v>73</v>
      </c>
      <c r="BD181" s="450">
        <v>1554</v>
      </c>
      <c r="BE181" s="450">
        <v>215</v>
      </c>
      <c r="BF181" s="450">
        <v>49</v>
      </c>
      <c r="BG181" s="450">
        <v>844</v>
      </c>
      <c r="BH181" s="450">
        <v>6</v>
      </c>
      <c r="BI181" s="450">
        <v>13</v>
      </c>
      <c r="BJ181" s="452">
        <v>1.2116742741996938</v>
      </c>
      <c r="BK181" s="452">
        <v>6.433048972121821</v>
      </c>
      <c r="BL181" s="452">
        <v>4.04520292069961</v>
      </c>
      <c r="BM181" s="452">
        <v>4.775692102844421</v>
      </c>
      <c r="BN181" s="449">
        <v>4786</v>
      </c>
      <c r="BO181" s="449">
        <v>264</v>
      </c>
      <c r="BP181" s="447">
        <v>1215802.448451892</v>
      </c>
      <c r="BQ181" s="447">
        <v>5059065</v>
      </c>
      <c r="BR181" s="447">
        <v>6786034</v>
      </c>
      <c r="BS181" s="448">
        <v>0.07782178217821782</v>
      </c>
      <c r="BT181" s="449">
        <v>416</v>
      </c>
      <c r="BU181" s="449">
        <v>370</v>
      </c>
      <c r="BV181" s="447">
        <v>528101.2598019802</v>
      </c>
      <c r="BW181" s="448">
        <v>0.009136667138864416</v>
      </c>
      <c r="BX181" s="447">
        <v>4691.376445220881</v>
      </c>
      <c r="BY181" s="447">
        <v>6807660.084699092</v>
      </c>
      <c r="BZ181" s="455">
        <v>1.0266666666666666</v>
      </c>
      <c r="CA181" s="447">
        <v>6989197.686957735</v>
      </c>
      <c r="CB181" s="447">
        <v>5256066.10938131</v>
      </c>
      <c r="CC181" s="447">
        <v>5249633.102180026</v>
      </c>
      <c r="CD181" s="447">
        <v>5120669.969446643</v>
      </c>
      <c r="CE181" s="447">
        <v>5249633.102180026</v>
      </c>
      <c r="CF181" s="454">
        <v>1039.5313073623813</v>
      </c>
      <c r="CG181" s="450">
        <v>5050</v>
      </c>
      <c r="CH181" s="450">
        <v>229</v>
      </c>
      <c r="CI181" s="450">
        <v>503</v>
      </c>
      <c r="CJ181" s="450">
        <v>95</v>
      </c>
      <c r="CK181" s="450">
        <v>113</v>
      </c>
      <c r="CL181" s="450">
        <v>884</v>
      </c>
      <c r="CM181" s="450">
        <v>268</v>
      </c>
      <c r="CN181" s="450">
        <v>123</v>
      </c>
      <c r="CO181" s="450">
        <v>81</v>
      </c>
      <c r="CP181" s="450">
        <v>73</v>
      </c>
      <c r="CQ181" s="450">
        <v>1554</v>
      </c>
      <c r="CR181" s="450">
        <v>215</v>
      </c>
      <c r="CS181" s="450">
        <v>49</v>
      </c>
      <c r="CT181" s="450">
        <v>844</v>
      </c>
      <c r="CU181" s="450">
        <v>6</v>
      </c>
      <c r="CV181" s="450">
        <v>13</v>
      </c>
      <c r="CW181" s="447">
        <v>3668114.986602516</v>
      </c>
      <c r="CX181" s="452">
        <v>1.0022457033561916</v>
      </c>
      <c r="CY181" s="452">
        <v>1.0266666666666666</v>
      </c>
      <c r="CZ181" s="447">
        <v>3676352.484738826</v>
      </c>
      <c r="DA181" s="454">
        <v>727.9905910373913</v>
      </c>
      <c r="DB181" s="449">
        <v>5050.5</v>
      </c>
      <c r="DC181" s="452">
        <v>1.0004059004059007</v>
      </c>
      <c r="DD181" s="454">
        <v>328.7</v>
      </c>
      <c r="DE181" s="447">
        <v>69362</v>
      </c>
      <c r="DF181" s="454">
        <v>62.58200556213927</v>
      </c>
      <c r="DG181" s="454">
        <v>65.27303180131126</v>
      </c>
      <c r="DH181" s="454">
        <v>66.7090385009401</v>
      </c>
      <c r="DI181" s="454">
        <v>68.17663734796076</v>
      </c>
      <c r="DJ181" s="454">
        <v>70.42646638044346</v>
      </c>
      <c r="DK181" s="454">
        <v>72.9618191701394</v>
      </c>
      <c r="DL181" s="454">
        <v>75.29659738358386</v>
      </c>
      <c r="DM181" s="454">
        <v>78.3837578763108</v>
      </c>
      <c r="DN181" s="454">
        <v>81.83264322286846</v>
      </c>
      <c r="DO181" s="454">
        <v>86.33343860012621</v>
      </c>
      <c r="DP181" s="454">
        <v>85.55643765272508</v>
      </c>
      <c r="DQ181" s="454">
        <v>89.91981597301405</v>
      </c>
      <c r="DR181" s="454">
        <v>95.4049247473679</v>
      </c>
      <c r="DS181" s="454">
        <v>50.42</v>
      </c>
      <c r="DT181" s="454">
        <v>53.047219850094</v>
      </c>
      <c r="DU181" s="454">
        <v>55.76563409359213</v>
      </c>
      <c r="DV181" s="454">
        <v>59.208470813901016</v>
      </c>
      <c r="DW181" s="454">
        <v>63.00023910704972</v>
      </c>
      <c r="DX181" s="454">
        <v>66.72963852932673</v>
      </c>
      <c r="DY181" s="454">
        <v>71.24919454248545</v>
      </c>
      <c r="DZ181" s="454">
        <v>75.21176844907853</v>
      </c>
      <c r="EA181" s="454">
        <v>77.48251908427964</v>
      </c>
      <c r="EB181" s="454">
        <v>79.64226476437909</v>
      </c>
      <c r="EC181" s="454">
        <v>84.94717940849274</v>
      </c>
      <c r="ED181" s="454">
        <v>91.44794920115007</v>
      </c>
      <c r="EE181" s="454">
        <v>-0.78</v>
      </c>
      <c r="EF181" s="454">
        <v>90.66794920115007</v>
      </c>
      <c r="EG181" s="454">
        <v>4714.733358459804</v>
      </c>
      <c r="EH181" s="447">
        <v>23335525.61036321</v>
      </c>
      <c r="EI181" s="454">
        <v>52.86</v>
      </c>
      <c r="EJ181" s="454">
        <v>55.291531850094</v>
      </c>
      <c r="EK181" s="454">
        <v>57.80446686159214</v>
      </c>
      <c r="EL181" s="454">
        <v>61.05132078207702</v>
      </c>
      <c r="EM181" s="454">
        <v>64.63668987879001</v>
      </c>
      <c r="EN181" s="454">
        <v>68.13698619302338</v>
      </c>
      <c r="EO181" s="454">
        <v>72.42123367681202</v>
      </c>
      <c r="EP181" s="454">
        <v>76.2994207657336</v>
      </c>
      <c r="EQ181" s="454">
        <v>78.51977684359636</v>
      </c>
      <c r="ER181" s="454">
        <v>80.33535904767861</v>
      </c>
      <c r="ES181" s="454">
        <v>85.52993308189099</v>
      </c>
      <c r="ET181" s="454">
        <v>91.91167543675672</v>
      </c>
      <c r="EU181" s="447">
        <v>9764216</v>
      </c>
      <c r="EV181" s="447">
        <v>0</v>
      </c>
      <c r="EW181" s="447">
        <v>0</v>
      </c>
      <c r="EX181" s="447">
        <v>0</v>
      </c>
      <c r="EY181" s="447">
        <v>0</v>
      </c>
      <c r="EZ181" s="447">
        <v>0</v>
      </c>
      <c r="FA181" s="447">
        <v>0</v>
      </c>
      <c r="FB181" s="447">
        <v>0</v>
      </c>
      <c r="FC181" s="447">
        <v>0</v>
      </c>
      <c r="FD181" s="447">
        <v>9764216</v>
      </c>
      <c r="FE181" s="447">
        <v>45295.54819231743</v>
      </c>
      <c r="FF181" s="447">
        <v>0</v>
      </c>
      <c r="FG181" s="447">
        <v>0</v>
      </c>
      <c r="FH181" s="447">
        <v>9823</v>
      </c>
      <c r="FI181" s="456">
        <v>0.0313</v>
      </c>
      <c r="FJ181" s="447">
        <v>307.4599</v>
      </c>
      <c r="FK181" s="471">
        <v>307.4599</v>
      </c>
      <c r="FL181" s="446">
        <v>89.94</v>
      </c>
      <c r="FM181" s="450">
        <v>85.29</v>
      </c>
      <c r="FN181" s="450">
        <v>84.37</v>
      </c>
      <c r="FO181" s="450">
        <v>-0.92</v>
      </c>
      <c r="FP181" s="472">
        <v>84.51</v>
      </c>
      <c r="FQ181" s="446">
        <v>0</v>
      </c>
      <c r="FR181" s="450">
        <v>0</v>
      </c>
      <c r="FS181" s="450">
        <v>0</v>
      </c>
      <c r="FT181" s="450">
        <v>0</v>
      </c>
      <c r="FU181" s="450">
        <v>0</v>
      </c>
      <c r="FV181" s="450">
        <v>0</v>
      </c>
      <c r="FW181" s="450">
        <v>0</v>
      </c>
      <c r="FX181" s="450">
        <v>0</v>
      </c>
      <c r="FY181" s="450">
        <v>0</v>
      </c>
      <c r="FZ181" s="450">
        <v>0</v>
      </c>
      <c r="GA181" s="450">
        <v>0</v>
      </c>
      <c r="GB181" s="450">
        <v>0</v>
      </c>
      <c r="GC181" s="450">
        <v>0</v>
      </c>
      <c r="GD181" s="450">
        <v>0</v>
      </c>
      <c r="GE181" s="450">
        <v>0</v>
      </c>
      <c r="GF181" s="450">
        <v>0</v>
      </c>
      <c r="GG181" s="450">
        <v>0</v>
      </c>
      <c r="GH181" s="450">
        <v>0</v>
      </c>
      <c r="GI181" s="450">
        <v>0</v>
      </c>
      <c r="GJ181" s="450">
        <v>0</v>
      </c>
      <c r="GK181" s="450">
        <v>0</v>
      </c>
      <c r="GL181" s="450">
        <v>0</v>
      </c>
      <c r="GM181" s="450">
        <v>0</v>
      </c>
      <c r="GN181" s="450">
        <v>0</v>
      </c>
      <c r="GO181" s="450">
        <v>0</v>
      </c>
      <c r="GP181" s="450">
        <v>0</v>
      </c>
      <c r="GQ181" s="450">
        <v>0</v>
      </c>
      <c r="GR181" s="450">
        <v>0</v>
      </c>
      <c r="GS181" s="450">
        <v>0</v>
      </c>
      <c r="GT181" s="450">
        <v>0</v>
      </c>
      <c r="GU181" s="450">
        <v>0</v>
      </c>
      <c r="GV181" s="450">
        <v>0</v>
      </c>
      <c r="GW181" s="450">
        <v>0</v>
      </c>
      <c r="GX181" s="450">
        <v>10130515</v>
      </c>
      <c r="GY181" s="450">
        <v>10130515</v>
      </c>
      <c r="GZ181" s="450">
        <v>0</v>
      </c>
      <c r="HA181" s="450" t="s">
        <v>888</v>
      </c>
      <c r="HB181" s="450" t="s">
        <v>888</v>
      </c>
      <c r="HC181" s="450">
        <v>0</v>
      </c>
      <c r="HD181" s="450">
        <v>0</v>
      </c>
      <c r="HE181" s="450">
        <v>0</v>
      </c>
      <c r="HF181" s="450">
        <v>0</v>
      </c>
      <c r="HG181" s="472">
        <v>0</v>
      </c>
    </row>
    <row r="182" spans="2:215" ht="12.75">
      <c r="B182" s="445" t="s">
        <v>27</v>
      </c>
      <c r="C182" s="446">
        <v>3430.13</v>
      </c>
      <c r="D182" s="447">
        <v>830020.29</v>
      </c>
      <c r="E182" s="447">
        <v>712157.40882</v>
      </c>
      <c r="F182" s="447">
        <v>125260.37820287952</v>
      </c>
      <c r="G182" s="447">
        <v>117862.88118000001</v>
      </c>
      <c r="H182" s="448">
        <v>0.5234582945835873</v>
      </c>
      <c r="I182" s="449">
        <v>1580.64</v>
      </c>
      <c r="J182" s="449">
        <v>214.89</v>
      </c>
      <c r="K182" s="447">
        <v>837417.7870228796</v>
      </c>
      <c r="L182" s="447">
        <v>669934.2296183037</v>
      </c>
      <c r="M182" s="447">
        <v>212495.86512018906</v>
      </c>
      <c r="N182" s="447">
        <v>167483.55740457587</v>
      </c>
      <c r="O182" s="450">
        <v>1.268756577739036</v>
      </c>
      <c r="P182" s="451">
        <v>0.792681326946792</v>
      </c>
      <c r="Q182" s="452">
        <v>0.2069892394748887</v>
      </c>
      <c r="R182" s="447">
        <v>882430.0947384927</v>
      </c>
      <c r="S182" s="447">
        <v>596522.7440432211</v>
      </c>
      <c r="T182" s="447">
        <v>61690.202303280996</v>
      </c>
      <c r="U182" s="447">
        <v>187669.32441736676</v>
      </c>
      <c r="V182" s="447">
        <v>201194.06160037636</v>
      </c>
      <c r="W182" s="450">
        <v>0.9327776522058925</v>
      </c>
      <c r="X182" s="452">
        <v>16.374446279789094</v>
      </c>
      <c r="Y182" s="447">
        <v>61690.202303280996</v>
      </c>
      <c r="Z182" s="447">
        <v>84713.2890948953</v>
      </c>
      <c r="AA182" s="448">
        <v>0.7282234341553663</v>
      </c>
      <c r="AB182" s="448">
        <v>0.05728645853072624</v>
      </c>
      <c r="AC182" s="449">
        <v>186</v>
      </c>
      <c r="AD182" s="449">
        <v>207</v>
      </c>
      <c r="AE182" s="447">
        <v>845882.2707638689</v>
      </c>
      <c r="AF182" s="447">
        <v>0</v>
      </c>
      <c r="AG182" s="451">
        <v>0</v>
      </c>
      <c r="AH182" s="450">
        <v>0.018087035753164227</v>
      </c>
      <c r="AI182" s="452">
        <v>0.015231272205710411</v>
      </c>
      <c r="AJ182" s="447">
        <v>845882.2707638689</v>
      </c>
      <c r="AK182" s="453">
        <v>1.104</v>
      </c>
      <c r="AL182" s="447">
        <v>933854.0269233114</v>
      </c>
      <c r="AM182" s="447">
        <v>2196856.0521618803</v>
      </c>
      <c r="AN182" s="447">
        <v>2175172.648140474</v>
      </c>
      <c r="AO182" s="447">
        <v>2117047.3492486984</v>
      </c>
      <c r="AP182" s="447">
        <v>2175172.648140474</v>
      </c>
      <c r="AQ182" s="447">
        <v>13720.52</v>
      </c>
      <c r="AR182" s="447">
        <v>2188893.1681404742</v>
      </c>
      <c r="AS182" s="454">
        <v>638.1370875565865</v>
      </c>
      <c r="AT182" s="450">
        <v>3360</v>
      </c>
      <c r="AU182" s="450">
        <v>0</v>
      </c>
      <c r="AV182" s="450">
        <v>360</v>
      </c>
      <c r="AW182" s="450">
        <v>44</v>
      </c>
      <c r="AX182" s="450">
        <v>0</v>
      </c>
      <c r="AY182" s="450">
        <v>564</v>
      </c>
      <c r="AZ182" s="450">
        <v>58</v>
      </c>
      <c r="BA182" s="450">
        <v>256</v>
      </c>
      <c r="BB182" s="450">
        <v>74</v>
      </c>
      <c r="BC182" s="450">
        <v>35</v>
      </c>
      <c r="BD182" s="450">
        <v>1028</v>
      </c>
      <c r="BE182" s="450">
        <v>686</v>
      </c>
      <c r="BF182" s="450">
        <v>0</v>
      </c>
      <c r="BG182" s="450">
        <v>255</v>
      </c>
      <c r="BH182" s="450">
        <v>0</v>
      </c>
      <c r="BI182" s="450">
        <v>0</v>
      </c>
      <c r="BJ182" s="452">
        <v>1.3679622726860847</v>
      </c>
      <c r="BK182" s="452">
        <v>8.440672647594592</v>
      </c>
      <c r="BL182" s="452">
        <v>4.699924564063003</v>
      </c>
      <c r="BM182" s="452">
        <v>7.481496167063177</v>
      </c>
      <c r="BN182" s="449">
        <v>2674</v>
      </c>
      <c r="BO182" s="449">
        <v>686</v>
      </c>
      <c r="BP182" s="447">
        <v>923195.3310053853</v>
      </c>
      <c r="BQ182" s="447">
        <v>3610406</v>
      </c>
      <c r="BR182" s="447">
        <v>4483697</v>
      </c>
      <c r="BS182" s="448">
        <v>0.05848214285714286</v>
      </c>
      <c r="BT182" s="449">
        <v>186</v>
      </c>
      <c r="BU182" s="449">
        <v>207</v>
      </c>
      <c r="BV182" s="447">
        <v>262216.2084821429</v>
      </c>
      <c r="BW182" s="448">
        <v>0.004771403667917932</v>
      </c>
      <c r="BX182" s="447">
        <v>2138.783076549098</v>
      </c>
      <c r="BY182" s="447">
        <v>4797956.322564078</v>
      </c>
      <c r="BZ182" s="455">
        <v>1.116666666666667</v>
      </c>
      <c r="CA182" s="447">
        <v>5357717.893529888</v>
      </c>
      <c r="CB182" s="447">
        <v>4029149.0819264557</v>
      </c>
      <c r="CC182" s="447">
        <v>4024217.7236597063</v>
      </c>
      <c r="CD182" s="447">
        <v>3956064.046113423</v>
      </c>
      <c r="CE182" s="447">
        <v>4024217.7236597063</v>
      </c>
      <c r="CF182" s="454">
        <v>1197.6838463272936</v>
      </c>
      <c r="CG182" s="450">
        <v>3360</v>
      </c>
      <c r="CH182" s="450">
        <v>0</v>
      </c>
      <c r="CI182" s="450">
        <v>360</v>
      </c>
      <c r="CJ182" s="450">
        <v>44</v>
      </c>
      <c r="CK182" s="450">
        <v>0</v>
      </c>
      <c r="CL182" s="450">
        <v>564</v>
      </c>
      <c r="CM182" s="450">
        <v>58</v>
      </c>
      <c r="CN182" s="450">
        <v>256</v>
      </c>
      <c r="CO182" s="450">
        <v>74</v>
      </c>
      <c r="CP182" s="450">
        <v>35</v>
      </c>
      <c r="CQ182" s="450">
        <v>1028</v>
      </c>
      <c r="CR182" s="450">
        <v>686</v>
      </c>
      <c r="CS182" s="450">
        <v>0</v>
      </c>
      <c r="CT182" s="450">
        <v>255</v>
      </c>
      <c r="CU182" s="450">
        <v>0</v>
      </c>
      <c r="CV182" s="450">
        <v>0</v>
      </c>
      <c r="CW182" s="447">
        <v>2534821.007179471</v>
      </c>
      <c r="CX182" s="452">
        <v>1.0901049046244295</v>
      </c>
      <c r="CY182" s="452">
        <v>1.116666666666667</v>
      </c>
      <c r="CZ182" s="447">
        <v>2763220.812271378</v>
      </c>
      <c r="DA182" s="454">
        <v>822.3871465093387</v>
      </c>
      <c r="DB182" s="449">
        <v>3430.13</v>
      </c>
      <c r="DC182" s="452">
        <v>0.9931221265666316</v>
      </c>
      <c r="DD182" s="454">
        <v>333.2</v>
      </c>
      <c r="DE182" s="447">
        <v>73083</v>
      </c>
      <c r="DF182" s="454">
        <v>64.05830868746679</v>
      </c>
      <c r="DG182" s="454">
        <v>66.81281596102785</v>
      </c>
      <c r="DH182" s="454">
        <v>68.28269791217045</v>
      </c>
      <c r="DI182" s="454">
        <v>69.78491726623818</v>
      </c>
      <c r="DJ182" s="454">
        <v>72.08781953602404</v>
      </c>
      <c r="DK182" s="454">
        <v>74.6829810393209</v>
      </c>
      <c r="DL182" s="454">
        <v>77.07283643257915</v>
      </c>
      <c r="DM182" s="454">
        <v>80.2328227263149</v>
      </c>
      <c r="DN182" s="454">
        <v>83.76306692627273</v>
      </c>
      <c r="DO182" s="454">
        <v>88.37003560721773</v>
      </c>
      <c r="DP182" s="454">
        <v>87.57470528675277</v>
      </c>
      <c r="DQ182" s="454">
        <v>92.04101525637716</v>
      </c>
      <c r="DR182" s="454">
        <v>97.65551718701617</v>
      </c>
      <c r="DS182" s="454">
        <v>51.15</v>
      </c>
      <c r="DT182" s="454">
        <v>53.87603979121703</v>
      </c>
      <c r="DU182" s="454">
        <v>56.69726873324762</v>
      </c>
      <c r="DV182" s="454">
        <v>60.258221218267195</v>
      </c>
      <c r="DW182" s="454">
        <v>64.17829773315282</v>
      </c>
      <c r="DX182" s="454">
        <v>68.03880878927461</v>
      </c>
      <c r="DY182" s="454">
        <v>72.70928450497088</v>
      </c>
      <c r="DZ182" s="454">
        <v>76.78122345686549</v>
      </c>
      <c r="EA182" s="454">
        <v>79.11502914384523</v>
      </c>
      <c r="EB182" s="454">
        <v>81.39052202656761</v>
      </c>
      <c r="EC182" s="454">
        <v>86.84135397121348</v>
      </c>
      <c r="ED182" s="454">
        <v>93.51788671934716</v>
      </c>
      <c r="EE182" s="454">
        <v>-1.14</v>
      </c>
      <c r="EF182" s="454">
        <v>92.37788671934716</v>
      </c>
      <c r="EG182" s="454">
        <v>4803.650109406052</v>
      </c>
      <c r="EH182" s="447">
        <v>16147601.462781444</v>
      </c>
      <c r="EI182" s="454">
        <v>63.11</v>
      </c>
      <c r="EJ182" s="454">
        <v>64.87684779121703</v>
      </c>
      <c r="EK182" s="454">
        <v>66.69089164524762</v>
      </c>
      <c r="EL182" s="454">
        <v>69.2912071278512</v>
      </c>
      <c r="EM182" s="454">
        <v>72.1995892208634</v>
      </c>
      <c r="EN182" s="454">
        <v>74.9371194687057</v>
      </c>
      <c r="EO182" s="454">
        <v>78.45419763880109</v>
      </c>
      <c r="EP182" s="454">
        <v>82.11250284505992</v>
      </c>
      <c r="EQ182" s="454">
        <v>84.19929258705334</v>
      </c>
      <c r="ER182" s="454">
        <v>84.78782023487179</v>
      </c>
      <c r="ES182" s="454">
        <v>89.69780230475563</v>
      </c>
      <c r="ET182" s="454">
        <v>95.79090548076333</v>
      </c>
      <c r="EU182" s="447">
        <v>4189820</v>
      </c>
      <c r="EV182" s="447">
        <v>0</v>
      </c>
      <c r="EW182" s="447">
        <v>0</v>
      </c>
      <c r="EX182" s="447">
        <v>0</v>
      </c>
      <c r="EY182" s="447">
        <v>0</v>
      </c>
      <c r="EZ182" s="447">
        <v>0</v>
      </c>
      <c r="FA182" s="447">
        <v>0</v>
      </c>
      <c r="FB182" s="447">
        <v>0</v>
      </c>
      <c r="FC182" s="447">
        <v>0</v>
      </c>
      <c r="FD182" s="447">
        <v>4189820</v>
      </c>
      <c r="FE182" s="447">
        <v>42570.59188595255</v>
      </c>
      <c r="FF182" s="447">
        <v>0</v>
      </c>
      <c r="FG182" s="447">
        <v>0</v>
      </c>
      <c r="FH182" s="447">
        <v>36711</v>
      </c>
      <c r="FI182" s="456">
        <v>0.0313</v>
      </c>
      <c r="FJ182" s="447">
        <v>1149.0543</v>
      </c>
      <c r="FK182" s="471">
        <v>1149.0543</v>
      </c>
      <c r="FL182" s="446">
        <v>92.73</v>
      </c>
      <c r="FM182" s="450">
        <v>89.77</v>
      </c>
      <c r="FN182" s="450">
        <v>88.6</v>
      </c>
      <c r="FO182" s="450">
        <v>-1.17</v>
      </c>
      <c r="FP182" s="472">
        <v>88.63</v>
      </c>
      <c r="FQ182" s="446">
        <v>253977</v>
      </c>
      <c r="FR182" s="450">
        <v>0</v>
      </c>
      <c r="FS182" s="450">
        <v>0</v>
      </c>
      <c r="FT182" s="450">
        <v>0</v>
      </c>
      <c r="FU182" s="450">
        <v>0</v>
      </c>
      <c r="FV182" s="450">
        <v>0</v>
      </c>
      <c r="FW182" s="450">
        <v>0</v>
      </c>
      <c r="FX182" s="450">
        <v>0</v>
      </c>
      <c r="FY182" s="450">
        <v>0</v>
      </c>
      <c r="FZ182" s="450">
        <v>0</v>
      </c>
      <c r="GA182" s="450">
        <v>0</v>
      </c>
      <c r="GB182" s="450">
        <v>0</v>
      </c>
      <c r="GC182" s="450">
        <v>0</v>
      </c>
      <c r="GD182" s="450">
        <v>0</v>
      </c>
      <c r="GE182" s="450">
        <v>0</v>
      </c>
      <c r="GF182" s="450">
        <v>0</v>
      </c>
      <c r="GG182" s="450">
        <v>0</v>
      </c>
      <c r="GH182" s="450">
        <v>0</v>
      </c>
      <c r="GI182" s="450">
        <v>0</v>
      </c>
      <c r="GJ182" s="450">
        <v>0</v>
      </c>
      <c r="GK182" s="450">
        <v>0</v>
      </c>
      <c r="GL182" s="450">
        <v>0</v>
      </c>
      <c r="GM182" s="450">
        <v>0</v>
      </c>
      <c r="GN182" s="450">
        <v>0</v>
      </c>
      <c r="GO182" s="450">
        <v>0</v>
      </c>
      <c r="GP182" s="450">
        <v>0</v>
      </c>
      <c r="GQ182" s="450">
        <v>0</v>
      </c>
      <c r="GR182" s="450">
        <v>0</v>
      </c>
      <c r="GS182" s="450">
        <v>0</v>
      </c>
      <c r="GT182" s="450">
        <v>0</v>
      </c>
      <c r="GU182" s="450">
        <v>0</v>
      </c>
      <c r="GV182" s="450">
        <v>0</v>
      </c>
      <c r="GW182" s="450">
        <v>0</v>
      </c>
      <c r="GX182" s="450">
        <v>23133325</v>
      </c>
      <c r="GY182" s="450">
        <v>24133325</v>
      </c>
      <c r="GZ182" s="450">
        <v>0</v>
      </c>
      <c r="HA182" s="450" t="s">
        <v>888</v>
      </c>
      <c r="HB182" s="450" t="s">
        <v>888</v>
      </c>
      <c r="HC182" s="450">
        <v>0</v>
      </c>
      <c r="HD182" s="450">
        <v>0</v>
      </c>
      <c r="HE182" s="450">
        <v>0</v>
      </c>
      <c r="HF182" s="450">
        <v>0</v>
      </c>
      <c r="HG182" s="472">
        <v>0</v>
      </c>
    </row>
    <row r="183" spans="2:215" ht="12.75">
      <c r="B183" s="445" t="s">
        <v>28</v>
      </c>
      <c r="C183" s="446">
        <v>2767</v>
      </c>
      <c r="D183" s="447">
        <v>675511</v>
      </c>
      <c r="E183" s="447">
        <v>579588.438</v>
      </c>
      <c r="F183" s="447">
        <v>72291.52327463051</v>
      </c>
      <c r="G183" s="447">
        <v>95922.562</v>
      </c>
      <c r="H183" s="448">
        <v>0.3712034694615106</v>
      </c>
      <c r="I183" s="449">
        <v>781.42</v>
      </c>
      <c r="J183" s="449">
        <v>245.7</v>
      </c>
      <c r="K183" s="447">
        <v>651879.9612746305</v>
      </c>
      <c r="L183" s="447">
        <v>521503.96901970444</v>
      </c>
      <c r="M183" s="447">
        <v>143102.61152057676</v>
      </c>
      <c r="N183" s="447">
        <v>130375.99225492607</v>
      </c>
      <c r="O183" s="450">
        <v>1.0976147452114202</v>
      </c>
      <c r="P183" s="451">
        <v>0.9255511384170582</v>
      </c>
      <c r="Q183" s="452">
        <v>0.0748102638236357</v>
      </c>
      <c r="R183" s="447">
        <v>664606.5805402813</v>
      </c>
      <c r="S183" s="447">
        <v>449274.0484452302</v>
      </c>
      <c r="T183" s="447">
        <v>62580.245982732195</v>
      </c>
      <c r="U183" s="447">
        <v>72086.66916695918</v>
      </c>
      <c r="V183" s="447">
        <v>151530.30036318413</v>
      </c>
      <c r="W183" s="450">
        <v>0.47572445243085776</v>
      </c>
      <c r="X183" s="452">
        <v>8.35110540211756</v>
      </c>
      <c r="Y183" s="447">
        <v>62580.245982732195</v>
      </c>
      <c r="Z183" s="447">
        <v>63802.231731867</v>
      </c>
      <c r="AA183" s="448">
        <v>0.9808472883163354</v>
      </c>
      <c r="AB183" s="448">
        <v>0.077159378388146</v>
      </c>
      <c r="AC183" s="449">
        <v>222</v>
      </c>
      <c r="AD183" s="449">
        <v>205</v>
      </c>
      <c r="AE183" s="447">
        <v>583940.9635949215</v>
      </c>
      <c r="AF183" s="447">
        <v>0</v>
      </c>
      <c r="AG183" s="451">
        <v>0</v>
      </c>
      <c r="AH183" s="450">
        <v>0</v>
      </c>
      <c r="AI183" s="452">
        <v>0</v>
      </c>
      <c r="AJ183" s="447">
        <v>583940.9635949215</v>
      </c>
      <c r="AK183" s="453">
        <v>1.0836</v>
      </c>
      <c r="AL183" s="447">
        <v>632758.4281514569</v>
      </c>
      <c r="AM183" s="447">
        <v>1488540.1169396257</v>
      </c>
      <c r="AN183" s="447">
        <v>1473847.9313838584</v>
      </c>
      <c r="AO183" s="447">
        <v>1473746.3899470698</v>
      </c>
      <c r="AP183" s="447">
        <v>1473847.9313838584</v>
      </c>
      <c r="AQ183" s="447">
        <v>11068</v>
      </c>
      <c r="AR183" s="447">
        <v>1484915.9313838584</v>
      </c>
      <c r="AS183" s="454">
        <v>536.6519448441845</v>
      </c>
      <c r="AT183" s="450">
        <v>2720</v>
      </c>
      <c r="AU183" s="450">
        <v>3</v>
      </c>
      <c r="AV183" s="450">
        <v>143</v>
      </c>
      <c r="AW183" s="450">
        <v>5</v>
      </c>
      <c r="AX183" s="450">
        <v>185</v>
      </c>
      <c r="AY183" s="450">
        <v>255</v>
      </c>
      <c r="AZ183" s="450">
        <v>184</v>
      </c>
      <c r="BA183" s="450">
        <v>201</v>
      </c>
      <c r="BB183" s="450">
        <v>325</v>
      </c>
      <c r="BC183" s="450">
        <v>0</v>
      </c>
      <c r="BD183" s="450">
        <v>663</v>
      </c>
      <c r="BE183" s="450">
        <v>207</v>
      </c>
      <c r="BF183" s="450">
        <v>0</v>
      </c>
      <c r="BG183" s="450">
        <v>549</v>
      </c>
      <c r="BH183" s="450">
        <v>0</v>
      </c>
      <c r="BI183" s="450">
        <v>0</v>
      </c>
      <c r="BJ183" s="452">
        <v>1.3077202241365868</v>
      </c>
      <c r="BK183" s="452">
        <v>8.898531812587972</v>
      </c>
      <c r="BL183" s="452">
        <v>3.921599341823331</v>
      </c>
      <c r="BM183" s="452">
        <v>9.953864941529282</v>
      </c>
      <c r="BN183" s="449">
        <v>2513</v>
      </c>
      <c r="BO183" s="449">
        <v>207</v>
      </c>
      <c r="BP183" s="447">
        <v>715945.437429402</v>
      </c>
      <c r="BQ183" s="447">
        <v>2784405</v>
      </c>
      <c r="BR183" s="447">
        <v>3673787</v>
      </c>
      <c r="BS183" s="448">
        <v>0.07849264705882353</v>
      </c>
      <c r="BT183" s="449">
        <v>222</v>
      </c>
      <c r="BU183" s="449">
        <v>205</v>
      </c>
      <c r="BV183" s="447">
        <v>288365.26636029413</v>
      </c>
      <c r="BW183" s="448">
        <v>0.005552933249834638</v>
      </c>
      <c r="BX183" s="447">
        <v>2124.2907523244935</v>
      </c>
      <c r="BY183" s="447">
        <v>3790839.994542021</v>
      </c>
      <c r="BZ183" s="455">
        <v>1.0633333333333332</v>
      </c>
      <c r="CA183" s="447">
        <v>4030926.527529682</v>
      </c>
      <c r="CB183" s="447">
        <v>3031366.010764115</v>
      </c>
      <c r="CC183" s="447">
        <v>3027655.8596794154</v>
      </c>
      <c r="CD183" s="447">
        <v>2955563.7968224618</v>
      </c>
      <c r="CE183" s="447">
        <v>3027655.8596794154</v>
      </c>
      <c r="CF183" s="454">
        <v>1113.1087719409616</v>
      </c>
      <c r="CG183" s="450">
        <v>2720</v>
      </c>
      <c r="CH183" s="450">
        <v>3</v>
      </c>
      <c r="CI183" s="450">
        <v>143</v>
      </c>
      <c r="CJ183" s="450">
        <v>5</v>
      </c>
      <c r="CK183" s="450">
        <v>185</v>
      </c>
      <c r="CL183" s="450">
        <v>255</v>
      </c>
      <c r="CM183" s="450">
        <v>184</v>
      </c>
      <c r="CN183" s="450">
        <v>201</v>
      </c>
      <c r="CO183" s="450">
        <v>325</v>
      </c>
      <c r="CP183" s="450">
        <v>0</v>
      </c>
      <c r="CQ183" s="450">
        <v>663</v>
      </c>
      <c r="CR183" s="450">
        <v>207</v>
      </c>
      <c r="CS183" s="450">
        <v>0</v>
      </c>
      <c r="CT183" s="450">
        <v>549</v>
      </c>
      <c r="CU183" s="450">
        <v>0</v>
      </c>
      <c r="CV183" s="450">
        <v>0</v>
      </c>
      <c r="CW183" s="447">
        <v>1974878.490355763</v>
      </c>
      <c r="CX183" s="452">
        <v>1.0380401927617697</v>
      </c>
      <c r="CY183" s="452">
        <v>1.0633333333333332</v>
      </c>
      <c r="CZ183" s="447">
        <v>2050003.2488099688</v>
      </c>
      <c r="DA183" s="454">
        <v>753.677665003665</v>
      </c>
      <c r="DB183" s="449">
        <v>2767</v>
      </c>
      <c r="DC183" s="452">
        <v>1.0072641850379471</v>
      </c>
      <c r="DD183" s="454">
        <v>345.4</v>
      </c>
      <c r="DE183" s="447">
        <v>83510</v>
      </c>
      <c r="DF183" s="454">
        <v>69.54700017194274</v>
      </c>
      <c r="DG183" s="454">
        <v>72.53752117933628</v>
      </c>
      <c r="DH183" s="454">
        <v>74.13334664528166</v>
      </c>
      <c r="DI183" s="454">
        <v>75.76428027147784</v>
      </c>
      <c r="DJ183" s="454">
        <v>78.26450152043661</v>
      </c>
      <c r="DK183" s="454">
        <v>81.08202357517231</v>
      </c>
      <c r="DL183" s="454">
        <v>83.67664832957782</v>
      </c>
      <c r="DM183" s="454">
        <v>87.1073909110905</v>
      </c>
      <c r="DN183" s="454">
        <v>90.94011611117847</v>
      </c>
      <c r="DO183" s="454">
        <v>95.94182249729327</v>
      </c>
      <c r="DP183" s="454">
        <v>95.07834609481763</v>
      </c>
      <c r="DQ183" s="454">
        <v>99.92734174565332</v>
      </c>
      <c r="DR183" s="454">
        <v>106.02290959213816</v>
      </c>
      <c r="DS183" s="454">
        <v>53.06</v>
      </c>
      <c r="DT183" s="454">
        <v>56.21792266452816</v>
      </c>
      <c r="DU183" s="454">
        <v>59.48911288629555</v>
      </c>
      <c r="DV183" s="454">
        <v>63.55378460015496</v>
      </c>
      <c r="DW183" s="454">
        <v>68.01890694996221</v>
      </c>
      <c r="DX183" s="454">
        <v>72.44236803189713</v>
      </c>
      <c r="DY183" s="454">
        <v>77.75148227918203</v>
      </c>
      <c r="DZ183" s="454">
        <v>82.2578329007674</v>
      </c>
      <c r="EA183" s="454">
        <v>84.84267480951806</v>
      </c>
      <c r="EB183" s="454">
        <v>87.66191007127645</v>
      </c>
      <c r="EC183" s="454">
        <v>93.6916023370599</v>
      </c>
      <c r="ED183" s="454">
        <v>101.06081995774996</v>
      </c>
      <c r="EE183" s="454">
        <v>-5.29</v>
      </c>
      <c r="EF183" s="454">
        <v>95.77081995774995</v>
      </c>
      <c r="EG183" s="454">
        <v>4980.082637802998</v>
      </c>
      <c r="EH183" s="447">
        <v>13504290.885624876</v>
      </c>
      <c r="EI183" s="454">
        <v>54.93</v>
      </c>
      <c r="EJ183" s="454">
        <v>57.93794866452816</v>
      </c>
      <c r="EK183" s="454">
        <v>61.05166095029555</v>
      </c>
      <c r="EL183" s="454">
        <v>64.96613273150297</v>
      </c>
      <c r="EM183" s="454">
        <v>69.27307209059924</v>
      </c>
      <c r="EN183" s="454">
        <v>73.52095005284497</v>
      </c>
      <c r="EO183" s="454">
        <v>78.64972538622737</v>
      </c>
      <c r="EP183" s="454">
        <v>83.09140250410549</v>
      </c>
      <c r="EQ183" s="454">
        <v>85.63762235456815</v>
      </c>
      <c r="ER183" s="454">
        <v>88.19309298511665</v>
      </c>
      <c r="ES183" s="454">
        <v>94.13822093101675</v>
      </c>
      <c r="ET183" s="454">
        <v>101.41621670389111</v>
      </c>
      <c r="EU183" s="447">
        <v>6846241</v>
      </c>
      <c r="EV183" s="447">
        <v>0</v>
      </c>
      <c r="EW183" s="447">
        <v>0</v>
      </c>
      <c r="EX183" s="447">
        <v>0</v>
      </c>
      <c r="EY183" s="447">
        <v>0</v>
      </c>
      <c r="EZ183" s="447">
        <v>0</v>
      </c>
      <c r="FA183" s="447">
        <v>0</v>
      </c>
      <c r="FB183" s="447">
        <v>0</v>
      </c>
      <c r="FC183" s="447">
        <v>0</v>
      </c>
      <c r="FD183" s="447">
        <v>6846241</v>
      </c>
      <c r="FE183" s="447">
        <v>43869.1417479125</v>
      </c>
      <c r="FF183" s="447">
        <v>0</v>
      </c>
      <c r="FG183" s="447">
        <v>0</v>
      </c>
      <c r="FH183" s="447">
        <v>0</v>
      </c>
      <c r="FI183" s="456">
        <v>0</v>
      </c>
      <c r="FJ183" s="447">
        <v>0</v>
      </c>
      <c r="FK183" s="471">
        <v>0</v>
      </c>
      <c r="FL183" s="446">
        <v>99.9</v>
      </c>
      <c r="FM183" s="450">
        <v>93.56</v>
      </c>
      <c r="FN183" s="450">
        <v>88.27</v>
      </c>
      <c r="FO183" s="450">
        <v>-5.29</v>
      </c>
      <c r="FP183" s="472">
        <v>88.27</v>
      </c>
      <c r="FQ183" s="446">
        <v>0</v>
      </c>
      <c r="FR183" s="450">
        <v>0</v>
      </c>
      <c r="FS183" s="450">
        <v>0</v>
      </c>
      <c r="FT183" s="450">
        <v>0</v>
      </c>
      <c r="FU183" s="450">
        <v>0</v>
      </c>
      <c r="FV183" s="450">
        <v>0</v>
      </c>
      <c r="FW183" s="450">
        <v>0</v>
      </c>
      <c r="FX183" s="450">
        <v>0</v>
      </c>
      <c r="FY183" s="450">
        <v>0</v>
      </c>
      <c r="FZ183" s="450">
        <v>0</v>
      </c>
      <c r="GA183" s="450">
        <v>0</v>
      </c>
      <c r="GB183" s="450">
        <v>0</v>
      </c>
      <c r="GC183" s="450">
        <v>0</v>
      </c>
      <c r="GD183" s="450">
        <v>0</v>
      </c>
      <c r="GE183" s="450">
        <v>0</v>
      </c>
      <c r="GF183" s="450">
        <v>0</v>
      </c>
      <c r="GG183" s="450">
        <v>0</v>
      </c>
      <c r="GH183" s="450">
        <v>0</v>
      </c>
      <c r="GI183" s="450">
        <v>0</v>
      </c>
      <c r="GJ183" s="450">
        <v>0</v>
      </c>
      <c r="GK183" s="450">
        <v>0</v>
      </c>
      <c r="GL183" s="450">
        <v>0</v>
      </c>
      <c r="GM183" s="450">
        <v>0</v>
      </c>
      <c r="GN183" s="450">
        <v>0</v>
      </c>
      <c r="GO183" s="450">
        <v>0</v>
      </c>
      <c r="GP183" s="450">
        <v>0</v>
      </c>
      <c r="GQ183" s="450">
        <v>0</v>
      </c>
      <c r="GR183" s="450">
        <v>0</v>
      </c>
      <c r="GS183" s="450">
        <v>0</v>
      </c>
      <c r="GT183" s="450">
        <v>0</v>
      </c>
      <c r="GU183" s="450">
        <v>0</v>
      </c>
      <c r="GV183" s="450">
        <v>0</v>
      </c>
      <c r="GW183" s="450">
        <v>0</v>
      </c>
      <c r="GX183" s="450">
        <v>1124305</v>
      </c>
      <c r="GY183" s="450">
        <v>1079332</v>
      </c>
      <c r="GZ183" s="450">
        <v>0</v>
      </c>
      <c r="HA183" s="450" t="s">
        <v>889</v>
      </c>
      <c r="HB183" s="450" t="s">
        <v>888</v>
      </c>
      <c r="HC183" s="450">
        <v>0</v>
      </c>
      <c r="HD183" s="450">
        <v>76</v>
      </c>
      <c r="HE183" s="450">
        <v>0</v>
      </c>
      <c r="HF183" s="450">
        <v>0</v>
      </c>
      <c r="HG183" s="472">
        <v>0</v>
      </c>
    </row>
    <row r="184" spans="2:215" ht="12.75">
      <c r="B184" s="445" t="s">
        <v>29</v>
      </c>
      <c r="C184" s="446">
        <v>23484</v>
      </c>
      <c r="D184" s="447">
        <v>5502572</v>
      </c>
      <c r="E184" s="447">
        <v>4721206.776</v>
      </c>
      <c r="F184" s="447">
        <v>730507.295728479</v>
      </c>
      <c r="G184" s="447">
        <v>781365.224</v>
      </c>
      <c r="H184" s="448">
        <v>0.4604854368932039</v>
      </c>
      <c r="I184" s="449">
        <v>9088.68</v>
      </c>
      <c r="J184" s="449">
        <v>1725.36</v>
      </c>
      <c r="K184" s="447">
        <v>5451714.071728479</v>
      </c>
      <c r="L184" s="447">
        <v>4361371.257382783</v>
      </c>
      <c r="M184" s="447">
        <v>1400884.3708842401</v>
      </c>
      <c r="N184" s="447">
        <v>1090342.8143456955</v>
      </c>
      <c r="O184" s="450">
        <v>1.284810935104752</v>
      </c>
      <c r="P184" s="451">
        <v>0.7809146653040367</v>
      </c>
      <c r="Q184" s="452">
        <v>0.2190853346959632</v>
      </c>
      <c r="R184" s="447">
        <v>5762255.628267024</v>
      </c>
      <c r="S184" s="447">
        <v>3895284.8047085083</v>
      </c>
      <c r="T184" s="447">
        <v>565784.7714538852</v>
      </c>
      <c r="U184" s="447">
        <v>1347216.1592063028</v>
      </c>
      <c r="V184" s="447">
        <v>1313794.2832448815</v>
      </c>
      <c r="W184" s="450">
        <v>1.025439200328132</v>
      </c>
      <c r="X184" s="452">
        <v>18.001073524064875</v>
      </c>
      <c r="Y184" s="447">
        <v>565784.7714538852</v>
      </c>
      <c r="Z184" s="447">
        <v>553176.5403136343</v>
      </c>
      <c r="AA184" s="448">
        <v>1.0227924183717234</v>
      </c>
      <c r="AB184" s="448">
        <v>0.08045903593936297</v>
      </c>
      <c r="AC184" s="449">
        <v>1859</v>
      </c>
      <c r="AD184" s="449">
        <v>1920</v>
      </c>
      <c r="AE184" s="447">
        <v>5808285.735368697</v>
      </c>
      <c r="AF184" s="447">
        <v>1199033.2346930197</v>
      </c>
      <c r="AG184" s="451">
        <v>1</v>
      </c>
      <c r="AH184" s="450">
        <v>0.5563065798619221</v>
      </c>
      <c r="AI184" s="452">
        <v>0.4684712886810303</v>
      </c>
      <c r="AJ184" s="447">
        <v>7007318.970061717</v>
      </c>
      <c r="AK184" s="453">
        <v>1.0076</v>
      </c>
      <c r="AL184" s="447">
        <v>7060574.594234186</v>
      </c>
      <c r="AM184" s="447">
        <v>16609732.9795608</v>
      </c>
      <c r="AN184" s="447">
        <v>16445791.627768967</v>
      </c>
      <c r="AO184" s="447">
        <v>15809598.353722982</v>
      </c>
      <c r="AP184" s="447">
        <v>16445791.627768967</v>
      </c>
      <c r="AQ184" s="447">
        <v>93936</v>
      </c>
      <c r="AR184" s="447">
        <v>16539727.627768967</v>
      </c>
      <c r="AS184" s="454">
        <v>704.2977187774216</v>
      </c>
      <c r="AT184" s="450">
        <v>23484</v>
      </c>
      <c r="AU184" s="450">
        <v>3095</v>
      </c>
      <c r="AV184" s="450">
        <v>3034</v>
      </c>
      <c r="AW184" s="450">
        <v>135</v>
      </c>
      <c r="AX184" s="450">
        <v>1070</v>
      </c>
      <c r="AY184" s="450">
        <v>2166</v>
      </c>
      <c r="AZ184" s="450">
        <v>337</v>
      </c>
      <c r="BA184" s="450">
        <v>630</v>
      </c>
      <c r="BB184" s="450">
        <v>1947</v>
      </c>
      <c r="BC184" s="450">
        <v>85</v>
      </c>
      <c r="BD184" s="450">
        <v>4982</v>
      </c>
      <c r="BE184" s="450">
        <v>3026</v>
      </c>
      <c r="BF184" s="450">
        <v>2119</v>
      </c>
      <c r="BG184" s="450">
        <v>844</v>
      </c>
      <c r="BH184" s="450">
        <v>0</v>
      </c>
      <c r="BI184" s="450">
        <v>14</v>
      </c>
      <c r="BJ184" s="452">
        <v>1.8565333573585368</v>
      </c>
      <c r="BK184" s="452">
        <v>19.18589656562873</v>
      </c>
      <c r="BL184" s="452">
        <v>11.011877404961593</v>
      </c>
      <c r="BM184" s="452">
        <v>16.348038321334275</v>
      </c>
      <c r="BN184" s="449">
        <v>18339</v>
      </c>
      <c r="BO184" s="449">
        <v>5145</v>
      </c>
      <c r="BP184" s="447">
        <v>8662774.011837384</v>
      </c>
      <c r="BQ184" s="447">
        <v>25584373</v>
      </c>
      <c r="BR184" s="447">
        <v>32971484</v>
      </c>
      <c r="BS184" s="448">
        <v>0.08045903593936297</v>
      </c>
      <c r="BT184" s="449">
        <v>1859</v>
      </c>
      <c r="BU184" s="449">
        <v>1920</v>
      </c>
      <c r="BV184" s="447">
        <v>2652853.8161301315</v>
      </c>
      <c r="BW184" s="448">
        <v>0.018894470793479168</v>
      </c>
      <c r="BX184" s="447">
        <v>134552.9261972311</v>
      </c>
      <c r="BY184" s="447">
        <v>37034553.75416475</v>
      </c>
      <c r="BZ184" s="455">
        <v>0.9533333333333333</v>
      </c>
      <c r="CA184" s="447">
        <v>35306274.57897039</v>
      </c>
      <c r="CB184" s="447">
        <v>26551275.493226625</v>
      </c>
      <c r="CC184" s="447">
        <v>26518778.842138782</v>
      </c>
      <c r="CD184" s="447">
        <v>25191105.77674181</v>
      </c>
      <c r="CE184" s="447">
        <v>26518778.842138782</v>
      </c>
      <c r="CF184" s="454">
        <v>1129.2275098849761</v>
      </c>
      <c r="CG184" s="450">
        <v>23484</v>
      </c>
      <c r="CH184" s="450">
        <v>3095</v>
      </c>
      <c r="CI184" s="450">
        <v>3034</v>
      </c>
      <c r="CJ184" s="450">
        <v>135</v>
      </c>
      <c r="CK184" s="450">
        <v>1070</v>
      </c>
      <c r="CL184" s="450">
        <v>2166</v>
      </c>
      <c r="CM184" s="450">
        <v>337</v>
      </c>
      <c r="CN184" s="450">
        <v>630</v>
      </c>
      <c r="CO184" s="450">
        <v>1947</v>
      </c>
      <c r="CP184" s="450">
        <v>85</v>
      </c>
      <c r="CQ184" s="450">
        <v>4982</v>
      </c>
      <c r="CR184" s="450">
        <v>3026</v>
      </c>
      <c r="CS184" s="450">
        <v>2119</v>
      </c>
      <c r="CT184" s="450">
        <v>844</v>
      </c>
      <c r="CU184" s="450">
        <v>0</v>
      </c>
      <c r="CV184" s="450">
        <v>14</v>
      </c>
      <c r="CW184" s="447">
        <v>16850930.745582074</v>
      </c>
      <c r="CX184" s="452">
        <v>0.930656724545035</v>
      </c>
      <c r="CY184" s="452">
        <v>0.9533333333333333</v>
      </c>
      <c r="CZ184" s="447">
        <v>15682432.013218638</v>
      </c>
      <c r="DA184" s="454">
        <v>667.7921995068403</v>
      </c>
      <c r="DB184" s="449">
        <v>23484</v>
      </c>
      <c r="DC184" s="452">
        <v>1.021397547266224</v>
      </c>
      <c r="DD184" s="454">
        <v>320.6</v>
      </c>
      <c r="DE184" s="447">
        <v>29850</v>
      </c>
      <c r="DF184" s="454">
        <v>49.40210471362163</v>
      </c>
      <c r="DG184" s="454">
        <v>51.52639521630736</v>
      </c>
      <c r="DH184" s="454">
        <v>52.659975911066105</v>
      </c>
      <c r="DI184" s="454">
        <v>53.81849538110955</v>
      </c>
      <c r="DJ184" s="454">
        <v>55.59450572868616</v>
      </c>
      <c r="DK184" s="454">
        <v>57.59590793491885</v>
      </c>
      <c r="DL184" s="454">
        <v>59.43897698883624</v>
      </c>
      <c r="DM184" s="454">
        <v>61.87597504537852</v>
      </c>
      <c r="DN184" s="454">
        <v>64.59851794737516</v>
      </c>
      <c r="DO184" s="454">
        <v>68.15143643448079</v>
      </c>
      <c r="DP184" s="454">
        <v>67.53807350657046</v>
      </c>
      <c r="DQ184" s="454">
        <v>70.98251525540554</v>
      </c>
      <c r="DR184" s="454">
        <v>75.31244868598527</v>
      </c>
      <c r="DS184" s="454">
        <v>37.41</v>
      </c>
      <c r="DT184" s="454">
        <v>39.6757155911066</v>
      </c>
      <c r="DU184" s="454">
        <v>42.0230162282219</v>
      </c>
      <c r="DV184" s="454">
        <v>44.932867009369836</v>
      </c>
      <c r="DW184" s="454">
        <v>48.12837275216596</v>
      </c>
      <c r="DX184" s="454">
        <v>51.29689673166876</v>
      </c>
      <c r="DY184" s="454">
        <v>55.095250607209444</v>
      </c>
      <c r="DZ184" s="454">
        <v>58.30600566875426</v>
      </c>
      <c r="EA184" s="454">
        <v>60.1479231684007</v>
      </c>
      <c r="EB184" s="454">
        <v>62.190136370206055</v>
      </c>
      <c r="EC184" s="454">
        <v>66.48596971115036</v>
      </c>
      <c r="ED184" s="454">
        <v>71.73432256914421</v>
      </c>
      <c r="EE184" s="454">
        <v>-1.96</v>
      </c>
      <c r="EF184" s="454">
        <v>69.77432256914422</v>
      </c>
      <c r="EG184" s="454">
        <v>3628.2647735954993</v>
      </c>
      <c r="EH184" s="447">
        <v>83502046.54425438</v>
      </c>
      <c r="EI184" s="454">
        <v>40.22</v>
      </c>
      <c r="EJ184" s="454">
        <v>42.2603535911066</v>
      </c>
      <c r="EK184" s="454">
        <v>44.37101626022189</v>
      </c>
      <c r="EL184" s="454">
        <v>47.05516553829383</v>
      </c>
      <c r="EM184" s="454">
        <v>50.01297384585046</v>
      </c>
      <c r="EN184" s="454">
        <v>52.91765367223743</v>
      </c>
      <c r="EO184" s="454">
        <v>56.44501698731503</v>
      </c>
      <c r="EP184" s="454">
        <v>59.55858886949224</v>
      </c>
      <c r="EQ184" s="454">
        <v>61.342470014171155</v>
      </c>
      <c r="ER184" s="454">
        <v>62.98833101613705</v>
      </c>
      <c r="ES184" s="454">
        <v>67.15709176944914</v>
      </c>
      <c r="ET184" s="454">
        <v>72.26836794703547</v>
      </c>
      <c r="EU184" s="447">
        <v>404518382</v>
      </c>
      <c r="EV184" s="447">
        <v>0</v>
      </c>
      <c r="EW184" s="447">
        <v>0</v>
      </c>
      <c r="EX184" s="447">
        <v>0</v>
      </c>
      <c r="EY184" s="447">
        <v>0</v>
      </c>
      <c r="EZ184" s="447">
        <v>0</v>
      </c>
      <c r="FA184" s="447">
        <v>0</v>
      </c>
      <c r="FB184" s="447">
        <v>0</v>
      </c>
      <c r="FC184" s="447">
        <v>0</v>
      </c>
      <c r="FD184" s="447">
        <v>404518382</v>
      </c>
      <c r="FE184" s="447">
        <v>238264.94866288127</v>
      </c>
      <c r="FF184" s="447">
        <v>0</v>
      </c>
      <c r="FG184" s="447">
        <v>0</v>
      </c>
      <c r="FH184" s="447">
        <v>118923</v>
      </c>
      <c r="FI184" s="456">
        <v>0.0536</v>
      </c>
      <c r="FJ184" s="447">
        <v>6374.272800000001</v>
      </c>
      <c r="FK184" s="471">
        <v>6374.272800000001</v>
      </c>
      <c r="FL184" s="446">
        <v>71.45</v>
      </c>
      <c r="FM184" s="450">
        <v>67.88</v>
      </c>
      <c r="FN184" s="450">
        <v>61.74</v>
      </c>
      <c r="FO184" s="450">
        <v>-6.14</v>
      </c>
      <c r="FP184" s="472">
        <v>65.92</v>
      </c>
      <c r="FQ184" s="446">
        <v>1549636</v>
      </c>
      <c r="FR184" s="450">
        <v>2398260</v>
      </c>
      <c r="FS184" s="450">
        <v>0</v>
      </c>
      <c r="FT184" s="450">
        <v>0</v>
      </c>
      <c r="FU184" s="450">
        <v>0</v>
      </c>
      <c r="FV184" s="450">
        <v>0</v>
      </c>
      <c r="FW184" s="450">
        <v>0</v>
      </c>
      <c r="FX184" s="450">
        <v>0</v>
      </c>
      <c r="FY184" s="450">
        <v>0</v>
      </c>
      <c r="FZ184" s="450">
        <v>0</v>
      </c>
      <c r="GA184" s="450">
        <v>0</v>
      </c>
      <c r="GB184" s="450">
        <v>0</v>
      </c>
      <c r="GC184" s="450">
        <v>0</v>
      </c>
      <c r="GD184" s="450">
        <v>0</v>
      </c>
      <c r="GE184" s="450">
        <v>0</v>
      </c>
      <c r="GF184" s="450">
        <v>0</v>
      </c>
      <c r="GG184" s="450">
        <v>0</v>
      </c>
      <c r="GH184" s="450">
        <v>0</v>
      </c>
      <c r="GI184" s="450">
        <v>0</v>
      </c>
      <c r="GJ184" s="450">
        <v>0</v>
      </c>
      <c r="GK184" s="450">
        <v>0</v>
      </c>
      <c r="GL184" s="450">
        <v>0</v>
      </c>
      <c r="GM184" s="450">
        <v>0</v>
      </c>
      <c r="GN184" s="450">
        <v>0</v>
      </c>
      <c r="GO184" s="450">
        <v>0</v>
      </c>
      <c r="GP184" s="450">
        <v>0</v>
      </c>
      <c r="GQ184" s="450">
        <v>0</v>
      </c>
      <c r="GR184" s="450">
        <v>0</v>
      </c>
      <c r="GS184" s="450">
        <v>0</v>
      </c>
      <c r="GT184" s="450">
        <v>0</v>
      </c>
      <c r="GU184" s="450">
        <v>0</v>
      </c>
      <c r="GV184" s="450">
        <v>0</v>
      </c>
      <c r="GW184" s="450">
        <v>0</v>
      </c>
      <c r="GX184" s="450">
        <v>351914000</v>
      </c>
      <c r="GY184" s="450">
        <v>401691000</v>
      </c>
      <c r="GZ184" s="450">
        <v>1</v>
      </c>
      <c r="HA184" s="450" t="s">
        <v>888</v>
      </c>
      <c r="HB184" s="450" t="s">
        <v>889</v>
      </c>
      <c r="HC184" s="450">
        <v>0</v>
      </c>
      <c r="HD184" s="450">
        <v>0</v>
      </c>
      <c r="HE184" s="450">
        <v>0</v>
      </c>
      <c r="HF184" s="450">
        <v>0</v>
      </c>
      <c r="HG184" s="472">
        <v>0</v>
      </c>
    </row>
    <row r="185" spans="2:215" ht="13.5" thickBot="1">
      <c r="B185" s="482" t="s">
        <v>30</v>
      </c>
      <c r="C185" s="483">
        <v>0</v>
      </c>
      <c r="D185" s="484">
        <v>0</v>
      </c>
      <c r="E185" s="484">
        <v>0</v>
      </c>
      <c r="F185" s="484">
        <v>0</v>
      </c>
      <c r="G185" s="484">
        <v>0</v>
      </c>
      <c r="H185" s="485">
        <v>0</v>
      </c>
      <c r="I185" s="486">
        <v>0</v>
      </c>
      <c r="J185" s="486">
        <v>0</v>
      </c>
      <c r="K185" s="484">
        <v>0</v>
      </c>
      <c r="L185" s="484">
        <v>0</v>
      </c>
      <c r="M185" s="484">
        <v>0</v>
      </c>
      <c r="N185" s="484">
        <v>0</v>
      </c>
      <c r="O185" s="473">
        <v>0</v>
      </c>
      <c r="P185" s="487">
        <v>0</v>
      </c>
      <c r="Q185" s="488">
        <v>0</v>
      </c>
      <c r="R185" s="484">
        <v>0</v>
      </c>
      <c r="S185" s="484">
        <v>0</v>
      </c>
      <c r="T185" s="484">
        <v>0</v>
      </c>
      <c r="U185" s="484">
        <v>0</v>
      </c>
      <c r="V185" s="484">
        <v>0</v>
      </c>
      <c r="W185" s="473">
        <v>0.9724607959387872</v>
      </c>
      <c r="X185" s="488">
        <v>17.071064068316478</v>
      </c>
      <c r="Y185" s="484">
        <v>0</v>
      </c>
      <c r="Z185" s="484">
        <v>0</v>
      </c>
      <c r="AA185" s="485">
        <v>0</v>
      </c>
      <c r="AB185" s="485">
        <v>0</v>
      </c>
      <c r="AC185" s="486">
        <v>0</v>
      </c>
      <c r="AD185" s="486">
        <v>0</v>
      </c>
      <c r="AE185" s="484">
        <v>0</v>
      </c>
      <c r="AF185" s="484">
        <v>0</v>
      </c>
      <c r="AG185" s="487">
        <v>0</v>
      </c>
      <c r="AH185" s="473">
        <v>0.017405234039789753</v>
      </c>
      <c r="AI185" s="488">
        <v>0.01465712022036314</v>
      </c>
      <c r="AJ185" s="484">
        <v>0</v>
      </c>
      <c r="AK185" s="489">
        <v>1.08</v>
      </c>
      <c r="AL185" s="484">
        <v>0</v>
      </c>
      <c r="AM185" s="484">
        <v>0</v>
      </c>
      <c r="AN185" s="484">
        <v>0</v>
      </c>
      <c r="AO185" s="484">
        <v>0</v>
      </c>
      <c r="AP185" s="484">
        <v>0</v>
      </c>
      <c r="AQ185" s="484">
        <v>0</v>
      </c>
      <c r="AR185" s="484">
        <v>0</v>
      </c>
      <c r="AS185" s="490">
        <v>0</v>
      </c>
      <c r="AT185" s="473">
        <v>0</v>
      </c>
      <c r="AU185" s="473">
        <v>0</v>
      </c>
      <c r="AV185" s="473">
        <v>0</v>
      </c>
      <c r="AW185" s="473">
        <v>0</v>
      </c>
      <c r="AX185" s="473">
        <v>0</v>
      </c>
      <c r="AY185" s="473">
        <v>0</v>
      </c>
      <c r="AZ185" s="473">
        <v>0</v>
      </c>
      <c r="BA185" s="473">
        <v>0</v>
      </c>
      <c r="BB185" s="473">
        <v>0</v>
      </c>
      <c r="BC185" s="473">
        <v>0</v>
      </c>
      <c r="BD185" s="473">
        <v>0</v>
      </c>
      <c r="BE185" s="473">
        <v>0</v>
      </c>
      <c r="BF185" s="473">
        <v>0</v>
      </c>
      <c r="BG185" s="473">
        <v>0</v>
      </c>
      <c r="BH185" s="473">
        <v>0</v>
      </c>
      <c r="BI185" s="473">
        <v>0</v>
      </c>
      <c r="BJ185" s="488">
        <v>1</v>
      </c>
      <c r="BK185" s="488">
        <v>13.030611156081463</v>
      </c>
      <c r="BL185" s="488">
        <v>6.516954182717</v>
      </c>
      <c r="BM185" s="488">
        <v>13.027313946728926</v>
      </c>
      <c r="BN185" s="486">
        <v>0</v>
      </c>
      <c r="BO185" s="486">
        <v>0</v>
      </c>
      <c r="BP185" s="484">
        <v>0</v>
      </c>
      <c r="BQ185" s="484">
        <v>0</v>
      </c>
      <c r="BR185" s="484">
        <v>0</v>
      </c>
      <c r="BS185" s="485">
        <v>0</v>
      </c>
      <c r="BT185" s="486">
        <v>0</v>
      </c>
      <c r="BU185" s="486">
        <v>0</v>
      </c>
      <c r="BV185" s="484">
        <v>0</v>
      </c>
      <c r="BW185" s="485">
        <v>0</v>
      </c>
      <c r="BX185" s="484">
        <v>0</v>
      </c>
      <c r="BY185" s="484">
        <v>0</v>
      </c>
      <c r="BZ185" s="491">
        <v>1.0466666666666666</v>
      </c>
      <c r="CA185" s="484">
        <v>0</v>
      </c>
      <c r="CB185" s="484">
        <v>0</v>
      </c>
      <c r="CC185" s="484">
        <v>0</v>
      </c>
      <c r="CD185" s="484">
        <v>0</v>
      </c>
      <c r="CE185" s="484">
        <v>0</v>
      </c>
      <c r="CF185" s="490">
        <v>0</v>
      </c>
      <c r="CG185" s="473">
        <v>0</v>
      </c>
      <c r="CH185" s="473">
        <v>0</v>
      </c>
      <c r="CI185" s="473">
        <v>0</v>
      </c>
      <c r="CJ185" s="473">
        <v>0</v>
      </c>
      <c r="CK185" s="473">
        <v>0</v>
      </c>
      <c r="CL185" s="473">
        <v>0</v>
      </c>
      <c r="CM185" s="473">
        <v>0</v>
      </c>
      <c r="CN185" s="473">
        <v>0</v>
      </c>
      <c r="CO185" s="473">
        <v>0</v>
      </c>
      <c r="CP185" s="473">
        <v>0</v>
      </c>
      <c r="CQ185" s="473">
        <v>0</v>
      </c>
      <c r="CR185" s="473">
        <v>0</v>
      </c>
      <c r="CS185" s="473">
        <v>0</v>
      </c>
      <c r="CT185" s="473">
        <v>0</v>
      </c>
      <c r="CU185" s="473">
        <v>0</v>
      </c>
      <c r="CV185" s="473">
        <v>0</v>
      </c>
      <c r="CW185" s="484">
        <v>0</v>
      </c>
      <c r="CX185" s="488">
        <v>1.0217699703046887</v>
      </c>
      <c r="CY185" s="488">
        <v>1.0466666666666666</v>
      </c>
      <c r="CZ185" s="484">
        <v>0</v>
      </c>
      <c r="DA185" s="490">
        <v>0</v>
      </c>
      <c r="DB185" s="486">
        <v>0</v>
      </c>
      <c r="DC185" s="488">
        <v>0</v>
      </c>
      <c r="DD185" s="490">
        <v>328.3</v>
      </c>
      <c r="DE185" s="484">
        <v>0</v>
      </c>
      <c r="DF185" s="490">
        <v>0</v>
      </c>
      <c r="DG185" s="490">
        <v>0</v>
      </c>
      <c r="DH185" s="490">
        <v>0</v>
      </c>
      <c r="DI185" s="490">
        <v>0</v>
      </c>
      <c r="DJ185" s="490">
        <v>0</v>
      </c>
      <c r="DK185" s="490">
        <v>0</v>
      </c>
      <c r="DL185" s="490">
        <v>0</v>
      </c>
      <c r="DM185" s="490">
        <v>0</v>
      </c>
      <c r="DN185" s="490">
        <v>0</v>
      </c>
      <c r="DO185" s="490">
        <v>0</v>
      </c>
      <c r="DP185" s="490">
        <v>0</v>
      </c>
      <c r="DQ185" s="490">
        <v>0</v>
      </c>
      <c r="DR185" s="490">
        <v>0</v>
      </c>
      <c r="DS185" s="490">
        <v>0</v>
      </c>
      <c r="DT185" s="490">
        <v>0</v>
      </c>
      <c r="DU185" s="490">
        <v>0</v>
      </c>
      <c r="DV185" s="490">
        <v>0</v>
      </c>
      <c r="DW185" s="490">
        <v>0</v>
      </c>
      <c r="DX185" s="490">
        <v>0</v>
      </c>
      <c r="DY185" s="490">
        <v>0</v>
      </c>
      <c r="DZ185" s="490">
        <v>0</v>
      </c>
      <c r="EA185" s="490">
        <v>0</v>
      </c>
      <c r="EB185" s="490">
        <v>0</v>
      </c>
      <c r="EC185" s="490">
        <v>0</v>
      </c>
      <c r="ED185" s="490">
        <v>0</v>
      </c>
      <c r="EE185" s="490">
        <v>0</v>
      </c>
      <c r="EF185" s="490">
        <v>0</v>
      </c>
      <c r="EG185" s="490">
        <v>0</v>
      </c>
      <c r="EH185" s="484">
        <v>0</v>
      </c>
      <c r="EI185" s="490">
        <v>0</v>
      </c>
      <c r="EJ185" s="490">
        <v>0</v>
      </c>
      <c r="EK185" s="490">
        <v>0</v>
      </c>
      <c r="EL185" s="490">
        <v>0</v>
      </c>
      <c r="EM185" s="490">
        <v>0</v>
      </c>
      <c r="EN185" s="490">
        <v>0</v>
      </c>
      <c r="EO185" s="490">
        <v>0</v>
      </c>
      <c r="EP185" s="490">
        <v>0</v>
      </c>
      <c r="EQ185" s="490">
        <v>0</v>
      </c>
      <c r="ER185" s="490">
        <v>0</v>
      </c>
      <c r="ES185" s="490">
        <v>0</v>
      </c>
      <c r="ET185" s="490">
        <v>0</v>
      </c>
      <c r="EU185" s="484">
        <v>0</v>
      </c>
      <c r="EV185" s="484">
        <v>0</v>
      </c>
      <c r="EW185" s="484">
        <v>0</v>
      </c>
      <c r="EX185" s="484">
        <v>0</v>
      </c>
      <c r="EY185" s="484">
        <v>0</v>
      </c>
      <c r="EZ185" s="484">
        <v>0</v>
      </c>
      <c r="FA185" s="484">
        <v>0</v>
      </c>
      <c r="FB185" s="484">
        <v>0</v>
      </c>
      <c r="FC185" s="484">
        <v>0</v>
      </c>
      <c r="FD185" s="484">
        <v>0</v>
      </c>
      <c r="FE185" s="484">
        <v>0</v>
      </c>
      <c r="FF185" s="484">
        <v>0</v>
      </c>
      <c r="FG185" s="484">
        <v>0</v>
      </c>
      <c r="FH185" s="484">
        <v>0</v>
      </c>
      <c r="FI185" s="492">
        <v>0</v>
      </c>
      <c r="FJ185" s="484">
        <v>0</v>
      </c>
      <c r="FK185" s="496">
        <v>0</v>
      </c>
      <c r="FL185" s="483">
        <v>0</v>
      </c>
      <c r="FM185" s="473">
        <v>0</v>
      </c>
      <c r="FN185" s="473">
        <v>0</v>
      </c>
      <c r="FO185" s="473">
        <v>0</v>
      </c>
      <c r="FP185" s="474">
        <v>0</v>
      </c>
      <c r="FQ185" s="483">
        <v>0</v>
      </c>
      <c r="FR185" s="473">
        <v>0</v>
      </c>
      <c r="FS185" s="473">
        <v>0</v>
      </c>
      <c r="FT185" s="473">
        <v>0</v>
      </c>
      <c r="FU185" s="473">
        <v>0</v>
      </c>
      <c r="FV185" s="473">
        <v>0</v>
      </c>
      <c r="FW185" s="473">
        <v>0</v>
      </c>
      <c r="FX185" s="473">
        <v>0</v>
      </c>
      <c r="FY185" s="473">
        <v>0</v>
      </c>
      <c r="FZ185" s="473">
        <v>0</v>
      </c>
      <c r="GA185" s="473">
        <v>0</v>
      </c>
      <c r="GB185" s="473">
        <v>0</v>
      </c>
      <c r="GC185" s="473">
        <v>0</v>
      </c>
      <c r="GD185" s="473">
        <v>0</v>
      </c>
      <c r="GE185" s="473">
        <v>0</v>
      </c>
      <c r="GF185" s="473">
        <v>0</v>
      </c>
      <c r="GG185" s="473">
        <v>0</v>
      </c>
      <c r="GH185" s="473">
        <v>0</v>
      </c>
      <c r="GI185" s="473">
        <v>0</v>
      </c>
      <c r="GJ185" s="473">
        <v>0</v>
      </c>
      <c r="GK185" s="473">
        <v>0</v>
      </c>
      <c r="GL185" s="473">
        <v>0</v>
      </c>
      <c r="GM185" s="473">
        <v>0</v>
      </c>
      <c r="GN185" s="473">
        <v>0</v>
      </c>
      <c r="GO185" s="473">
        <v>0</v>
      </c>
      <c r="GP185" s="473">
        <v>0</v>
      </c>
      <c r="GQ185" s="473">
        <v>0</v>
      </c>
      <c r="GR185" s="473">
        <v>0</v>
      </c>
      <c r="GS185" s="473">
        <v>0</v>
      </c>
      <c r="GT185" s="473">
        <v>0</v>
      </c>
      <c r="GU185" s="473">
        <v>0</v>
      </c>
      <c r="GV185" s="473">
        <v>0</v>
      </c>
      <c r="GW185" s="473">
        <v>0</v>
      </c>
      <c r="GX185" s="473">
        <v>0</v>
      </c>
      <c r="GY185" s="473">
        <v>0</v>
      </c>
      <c r="GZ185" s="473">
        <v>0</v>
      </c>
      <c r="HA185" s="473">
        <v>0</v>
      </c>
      <c r="HB185" s="473">
        <v>0</v>
      </c>
      <c r="HC185" s="473">
        <v>0</v>
      </c>
      <c r="HD185" s="473">
        <v>0</v>
      </c>
      <c r="HE185" s="473">
        <v>0</v>
      </c>
      <c r="HF185" s="473">
        <v>0</v>
      </c>
      <c r="HG185" s="474">
        <v>0</v>
      </c>
    </row>
    <row r="186" ht="12.75">
      <c r="CZ186" s="45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4">
    <tabColor indexed="9"/>
  </sheetPr>
  <dimension ref="A2:H93"/>
  <sheetViews>
    <sheetView workbookViewId="0" topLeftCell="A1">
      <selection activeCell="J23" sqref="J23"/>
    </sheetView>
  </sheetViews>
  <sheetFormatPr defaultColWidth="9.140625" defaultRowHeight="12.75"/>
  <cols>
    <col min="1" max="1" width="9.140625" style="3" customWidth="1"/>
    <col min="2" max="2" width="13.421875" style="3" customWidth="1"/>
    <col min="3" max="3" width="11.8515625" style="3" customWidth="1"/>
    <col min="4" max="4" width="15.28125" style="3" customWidth="1"/>
    <col min="5" max="5" width="19.57421875" style="3" customWidth="1"/>
    <col min="6" max="7" width="15.8515625" style="3" customWidth="1"/>
    <col min="8" max="8" width="11.00390625" style="3" customWidth="1"/>
    <col min="9" max="16384" width="9.140625" style="3" customWidth="1"/>
  </cols>
  <sheetData>
    <row r="1" ht="13.5" thickBot="1"/>
    <row r="2" spans="2:8" ht="12.75" customHeight="1">
      <c r="B2" s="516" t="s">
        <v>31</v>
      </c>
      <c r="C2" s="517"/>
      <c r="D2" s="517"/>
      <c r="E2" s="517"/>
      <c r="F2" s="517"/>
      <c r="G2" s="517"/>
      <c r="H2" s="518"/>
    </row>
    <row r="3" spans="2:8" ht="13.5" thickBot="1">
      <c r="B3" s="519"/>
      <c r="C3" s="520"/>
      <c r="D3" s="520"/>
      <c r="E3" s="520"/>
      <c r="F3" s="520"/>
      <c r="G3" s="520"/>
      <c r="H3" s="521"/>
    </row>
    <row r="4" ht="13.5" thickBot="1"/>
    <row r="5" spans="2:3" ht="13.5" thickBot="1">
      <c r="B5" s="522" t="str">
        <f>name</f>
        <v>Adur</v>
      </c>
      <c r="C5" s="523"/>
    </row>
    <row r="6" ht="13.5" thickBot="1"/>
    <row r="7" spans="2:8" ht="18">
      <c r="B7" s="31"/>
      <c r="C7" s="32"/>
      <c r="D7" s="32"/>
      <c r="E7" s="32"/>
      <c r="F7" s="33"/>
      <c r="G7" s="34"/>
      <c r="H7" s="35"/>
    </row>
    <row r="8" spans="2:8" ht="18">
      <c r="B8" s="36" t="s">
        <v>163</v>
      </c>
      <c r="C8" s="37"/>
      <c r="D8" s="37"/>
      <c r="E8" s="37"/>
      <c r="F8" s="38"/>
      <c r="G8" s="39"/>
      <c r="H8" s="40"/>
    </row>
    <row r="9" spans="2:8" ht="15">
      <c r="B9" s="41"/>
      <c r="C9" s="42"/>
      <c r="D9" s="42"/>
      <c r="E9" s="42"/>
      <c r="F9" s="43"/>
      <c r="G9" s="44"/>
      <c r="H9" s="45"/>
    </row>
    <row r="10" spans="1:8" ht="15">
      <c r="A10" s="20"/>
      <c r="B10" s="41" t="s">
        <v>215</v>
      </c>
      <c r="C10" s="42"/>
      <c r="D10" s="42"/>
      <c r="E10" s="42"/>
      <c r="F10" s="43"/>
      <c r="G10" s="44"/>
      <c r="H10" s="45"/>
    </row>
    <row r="11" spans="1:8" ht="15">
      <c r="A11" s="20"/>
      <c r="B11" s="41"/>
      <c r="C11" s="42"/>
      <c r="D11" s="42"/>
      <c r="E11" s="42"/>
      <c r="F11" s="43"/>
      <c r="G11" s="44"/>
      <c r="H11" s="45"/>
    </row>
    <row r="12" spans="2:8" ht="66" customHeight="1">
      <c r="B12" s="524" t="s">
        <v>32</v>
      </c>
      <c r="C12" s="525"/>
      <c r="D12" s="525"/>
      <c r="E12" s="525"/>
      <c r="F12" s="525"/>
      <c r="G12" s="525"/>
      <c r="H12" s="526"/>
    </row>
    <row r="13" spans="2:8" ht="15">
      <c r="B13" s="41"/>
      <c r="C13" s="42"/>
      <c r="D13" s="42"/>
      <c r="E13" s="42"/>
      <c r="F13" s="43"/>
      <c r="G13" s="44"/>
      <c r="H13" s="45"/>
    </row>
    <row r="14" spans="2:8" ht="15">
      <c r="B14" s="41" t="s">
        <v>164</v>
      </c>
      <c r="C14" s="42"/>
      <c r="D14" s="42"/>
      <c r="E14" s="42"/>
      <c r="F14" s="43"/>
      <c r="G14" s="44"/>
      <c r="H14" s="45"/>
    </row>
    <row r="15" spans="2:8" ht="15">
      <c r="B15" s="41"/>
      <c r="C15" s="42"/>
      <c r="D15" s="42"/>
      <c r="E15" s="42"/>
      <c r="F15" s="43"/>
      <c r="G15" s="44"/>
      <c r="H15" s="45"/>
    </row>
    <row r="16" spans="2:8" ht="15">
      <c r="B16" s="41" t="s">
        <v>165</v>
      </c>
      <c r="C16" s="42"/>
      <c r="D16" s="42"/>
      <c r="E16" s="42"/>
      <c r="F16" s="43"/>
      <c r="G16" s="44"/>
      <c r="H16" s="45"/>
    </row>
    <row r="17" spans="2:8" ht="15">
      <c r="B17" s="41"/>
      <c r="C17" s="42"/>
      <c r="D17" s="42"/>
      <c r="E17" s="42"/>
      <c r="F17" s="43"/>
      <c r="G17" s="44"/>
      <c r="H17" s="45"/>
    </row>
    <row r="18" spans="2:8" ht="15">
      <c r="B18" s="41" t="s">
        <v>166</v>
      </c>
      <c r="C18" s="42"/>
      <c r="D18" s="42"/>
      <c r="E18" s="42"/>
      <c r="F18" s="43"/>
      <c r="G18" s="44"/>
      <c r="H18" s="45"/>
    </row>
    <row r="19" spans="2:8" ht="15">
      <c r="B19" s="41"/>
      <c r="C19" s="42"/>
      <c r="D19" s="42"/>
      <c r="E19" s="42"/>
      <c r="F19" s="43"/>
      <c r="G19" s="44"/>
      <c r="H19" s="45"/>
    </row>
    <row r="20" spans="2:8" ht="15">
      <c r="B20" s="41" t="s">
        <v>167</v>
      </c>
      <c r="C20" s="42"/>
      <c r="D20" s="42"/>
      <c r="E20" s="42"/>
      <c r="F20" s="43"/>
      <c r="G20" s="44"/>
      <c r="H20" s="45"/>
    </row>
    <row r="21" spans="2:8" ht="15">
      <c r="B21" s="41"/>
      <c r="C21" s="42"/>
      <c r="D21" s="42"/>
      <c r="E21" s="42"/>
      <c r="F21" s="43"/>
      <c r="G21" s="44"/>
      <c r="H21" s="45"/>
    </row>
    <row r="22" spans="2:8" ht="15">
      <c r="B22" s="41" t="s">
        <v>168</v>
      </c>
      <c r="C22" s="42"/>
      <c r="D22" s="42"/>
      <c r="E22" s="42"/>
      <c r="F22" s="43"/>
      <c r="G22" s="44"/>
      <c r="H22" s="45"/>
    </row>
    <row r="23" spans="2:8" ht="15">
      <c r="B23" s="41"/>
      <c r="C23" s="42"/>
      <c r="D23" s="42"/>
      <c r="E23" s="42"/>
      <c r="F23" s="43"/>
      <c r="G23" s="44"/>
      <c r="H23" s="45"/>
    </row>
    <row r="24" spans="2:8" ht="15">
      <c r="B24" s="41"/>
      <c r="C24" s="42"/>
      <c r="D24" s="42"/>
      <c r="E24" s="42" t="s">
        <v>169</v>
      </c>
      <c r="F24" s="43"/>
      <c r="G24" s="44"/>
      <c r="H24" s="45"/>
    </row>
    <row r="25" spans="2:8" ht="15">
      <c r="B25" s="41"/>
      <c r="C25" s="42"/>
      <c r="D25" s="42"/>
      <c r="E25" s="42"/>
      <c r="F25" s="43"/>
      <c r="G25" s="44"/>
      <c r="H25" s="45"/>
    </row>
    <row r="26" spans="2:8" ht="15">
      <c r="B26" s="41" t="s">
        <v>171</v>
      </c>
      <c r="C26" s="42"/>
      <c r="D26" s="42"/>
      <c r="E26" s="42"/>
      <c r="F26" s="43"/>
      <c r="G26" s="44"/>
      <c r="H26" s="45"/>
    </row>
    <row r="27" spans="2:8" ht="15">
      <c r="B27" s="41"/>
      <c r="C27" s="42"/>
      <c r="D27" s="42"/>
      <c r="E27" s="42"/>
      <c r="F27" s="43"/>
      <c r="G27" s="44"/>
      <c r="H27" s="45"/>
    </row>
    <row r="28" spans="2:8" ht="15">
      <c r="B28" s="41" t="s">
        <v>672</v>
      </c>
      <c r="C28" s="42"/>
      <c r="D28" s="42"/>
      <c r="E28" s="42"/>
      <c r="F28" s="43"/>
      <c r="G28" s="44"/>
      <c r="H28" s="45"/>
    </row>
    <row r="29" spans="2:8" ht="15.75" thickBot="1">
      <c r="B29" s="46"/>
      <c r="C29" s="47"/>
      <c r="D29" s="47"/>
      <c r="E29" s="47"/>
      <c r="F29" s="48"/>
      <c r="G29" s="49"/>
      <c r="H29" s="50"/>
    </row>
    <row r="87" spans="6:7" ht="12.75">
      <c r="F87" s="71"/>
      <c r="G87" s="75"/>
    </row>
    <row r="88" spans="6:7" ht="12.75">
      <c r="F88" s="71"/>
      <c r="G88" s="75"/>
    </row>
    <row r="89" spans="6:7" ht="12.75">
      <c r="F89" s="71"/>
      <c r="G89" s="75"/>
    </row>
    <row r="90" spans="6:7" ht="12.75">
      <c r="F90" s="71"/>
      <c r="G90" s="75"/>
    </row>
    <row r="91" spans="6:7" ht="12.75">
      <c r="F91" s="71"/>
      <c r="G91" s="75"/>
    </row>
    <row r="92" spans="6:7" ht="12.75">
      <c r="F92" s="71"/>
      <c r="G92" s="75"/>
    </row>
    <row r="93" spans="6:7" ht="12.75">
      <c r="F93" s="71"/>
      <c r="G93" s="75"/>
    </row>
  </sheetData>
  <mergeCells count="3">
    <mergeCell ref="B2:H3"/>
    <mergeCell ref="B5:C5"/>
    <mergeCell ref="B12:H1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1"/>
  </sheetPr>
  <dimension ref="B3:G89"/>
  <sheetViews>
    <sheetView workbookViewId="0" topLeftCell="A1">
      <selection activeCell="D41" sqref="D41"/>
    </sheetView>
  </sheetViews>
  <sheetFormatPr defaultColWidth="9.140625" defaultRowHeight="12.75"/>
  <cols>
    <col min="1" max="1" width="9.140625" style="3" customWidth="1"/>
    <col min="2" max="3" width="20.7109375" style="3" customWidth="1"/>
    <col min="4" max="4" width="71.140625" style="3" bestFit="1" customWidth="1"/>
    <col min="5" max="5" width="20.7109375" style="3" customWidth="1"/>
    <col min="6" max="16384" width="9.140625" style="3" customWidth="1"/>
  </cols>
  <sheetData>
    <row r="2" ht="13.5" thickBot="1"/>
    <row r="3" spans="2:4" ht="18">
      <c r="B3" s="22" t="s">
        <v>33</v>
      </c>
      <c r="C3" s="61"/>
      <c r="D3" s="62"/>
    </row>
    <row r="4" spans="2:4" ht="18.75" thickBot="1">
      <c r="B4" s="63"/>
      <c r="C4" s="64"/>
      <c r="D4" s="65"/>
    </row>
    <row r="5" spans="2:4" ht="18.75" thickBot="1">
      <c r="B5" s="527" t="str">
        <f>name</f>
        <v>Adur</v>
      </c>
      <c r="C5" s="528"/>
      <c r="D5" s="65"/>
    </row>
    <row r="6" spans="2:4" ht="18">
      <c r="B6" s="63"/>
      <c r="C6" s="64"/>
      <c r="D6" s="65"/>
    </row>
    <row r="7" spans="2:4" ht="18">
      <c r="B7" s="63"/>
      <c r="C7" s="64"/>
      <c r="D7" s="65"/>
    </row>
    <row r="8" spans="2:4" ht="18.75" thickBot="1">
      <c r="B8" s="66"/>
      <c r="C8" s="67"/>
      <c r="D8" s="68"/>
    </row>
    <row r="13" ht="13.5" thickBot="1"/>
    <row r="14" spans="2:5" ht="26.25" thickBot="1">
      <c r="B14" s="18" t="s">
        <v>568</v>
      </c>
      <c r="C14" s="264" t="s">
        <v>569</v>
      </c>
      <c r="D14" s="265" t="s">
        <v>570</v>
      </c>
      <c r="E14" s="275" t="str">
        <f>name</f>
        <v>Adur</v>
      </c>
    </row>
    <row r="15" spans="2:5" ht="12.75">
      <c r="B15" s="276">
        <v>1</v>
      </c>
      <c r="C15" s="267" t="s">
        <v>281</v>
      </c>
      <c r="D15" s="268" t="s">
        <v>216</v>
      </c>
      <c r="E15" s="363">
        <f>VLOOKUP($B$5,SchedData!$B$15:$J$185,Schedules!$B15+1,FALSE)</f>
        <v>2658</v>
      </c>
    </row>
    <row r="16" spans="2:5" ht="12.75">
      <c r="B16" s="266">
        <v>2</v>
      </c>
      <c r="C16" s="267" t="s">
        <v>571</v>
      </c>
      <c r="D16" s="269" t="s">
        <v>217</v>
      </c>
      <c r="E16" s="393">
        <f>VLOOKUP($B$5,SchedData!$B$15:$J$185,Schedules!$B16+1,FALSE)</f>
        <v>2658</v>
      </c>
    </row>
    <row r="17" spans="2:5" ht="12.75">
      <c r="B17" s="266">
        <v>3</v>
      </c>
      <c r="C17" s="267" t="s">
        <v>282</v>
      </c>
      <c r="D17" s="269" t="s">
        <v>218</v>
      </c>
      <c r="E17" s="364">
        <f>VLOOKUP($B$5,SchedData!$B$15:$J$185,Schedules!$B17+1,FALSE)</f>
        <v>2658</v>
      </c>
    </row>
    <row r="18" spans="2:5" ht="12.75">
      <c r="B18" s="266">
        <v>4</v>
      </c>
      <c r="C18" s="267" t="s">
        <v>258</v>
      </c>
      <c r="D18" s="269" t="s">
        <v>576</v>
      </c>
      <c r="E18" s="351">
        <f>VLOOKUP($B$5,SchedData!$B$15:$J$185,Schedules!$B18+1,FALSE)</f>
        <v>554.9053057111668</v>
      </c>
    </row>
    <row r="19" spans="2:5" ht="12.75">
      <c r="B19" s="266">
        <v>5</v>
      </c>
      <c r="C19" s="267" t="s">
        <v>572</v>
      </c>
      <c r="D19" s="269" t="s">
        <v>577</v>
      </c>
      <c r="E19" s="351">
        <f>VLOOKUP($B$5,SchedData!$B$15:$J$185,Schedules!$B19+1,FALSE)</f>
        <v>1161.903966805929</v>
      </c>
    </row>
    <row r="20" spans="2:5" ht="12.75">
      <c r="B20" s="266">
        <v>6</v>
      </c>
      <c r="C20" s="267" t="s">
        <v>573</v>
      </c>
      <c r="D20" s="269" t="s">
        <v>578</v>
      </c>
      <c r="E20" s="351">
        <f>VLOOKUP($B$5,SchedData!$B$15:$J$185,Schedules!$B20+1,FALSE)</f>
        <v>783.0240603604093</v>
      </c>
    </row>
    <row r="21" spans="2:5" ht="12.75">
      <c r="B21" s="266">
        <v>7</v>
      </c>
      <c r="C21" s="270" t="s">
        <v>574</v>
      </c>
      <c r="D21" s="271" t="s">
        <v>579</v>
      </c>
      <c r="E21" s="394">
        <f>VLOOKUP($B$5,SchedData!$B$15:$J$185,Schedules!$B21+1,FALSE)</f>
        <v>4342.4160561698</v>
      </c>
    </row>
    <row r="22" spans="2:5" ht="13.5" thickBot="1">
      <c r="B22" s="272">
        <v>8</v>
      </c>
      <c r="C22" s="273" t="s">
        <v>575</v>
      </c>
      <c r="D22" s="274" t="s">
        <v>169</v>
      </c>
      <c r="E22" s="9">
        <f>VLOOKUP($B$5,SchedData!$B$15:$J$185,Schedules!$B22+1,FALSE)</f>
        <v>12887156</v>
      </c>
    </row>
    <row r="83" spans="6:7" ht="12.75">
      <c r="F83" s="71"/>
      <c r="G83" s="75"/>
    </row>
    <row r="84" spans="6:7" ht="12.75">
      <c r="F84" s="71"/>
      <c r="G84" s="75"/>
    </row>
    <row r="85" spans="6:7" ht="12.75">
      <c r="F85" s="71"/>
      <c r="G85" s="75"/>
    </row>
    <row r="86" spans="6:7" ht="12.75">
      <c r="F86" s="71"/>
      <c r="G86" s="75"/>
    </row>
    <row r="87" spans="6:7" ht="12.75">
      <c r="F87" s="71"/>
      <c r="G87" s="75"/>
    </row>
    <row r="88" spans="6:7" ht="12.75">
      <c r="F88" s="71"/>
      <c r="G88" s="75"/>
    </row>
    <row r="89" spans="6:7" ht="12.75">
      <c r="F89" s="71"/>
      <c r="G89" s="75"/>
    </row>
  </sheetData>
  <mergeCells count="1">
    <mergeCell ref="B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8">
    <tabColor indexed="15"/>
  </sheetPr>
  <dimension ref="A3:J187"/>
  <sheetViews>
    <sheetView zoomScale="85" zoomScaleNormal="85" workbookViewId="0" topLeftCell="A1">
      <selection activeCell="B10" sqref="B10:I12"/>
    </sheetView>
  </sheetViews>
  <sheetFormatPr defaultColWidth="9.140625" defaultRowHeight="12.75"/>
  <cols>
    <col min="1" max="1" width="9.140625" style="3" customWidth="1"/>
    <col min="2" max="5" width="14.7109375" style="3" customWidth="1"/>
    <col min="6" max="6" width="17.8515625" style="3" customWidth="1"/>
    <col min="7" max="8" width="14.7109375" style="3" customWidth="1"/>
    <col min="9" max="9" width="17.57421875" style="3" customWidth="1"/>
    <col min="10" max="10" width="13.8515625" style="3" bestFit="1" customWidth="1"/>
    <col min="11" max="16384" width="9.140625" style="3" customWidth="1"/>
  </cols>
  <sheetData>
    <row r="2" ht="13.5" thickBot="1"/>
    <row r="3" spans="2:7" ht="18">
      <c r="B3" s="22" t="s">
        <v>34</v>
      </c>
      <c r="C3" s="61"/>
      <c r="D3" s="23"/>
      <c r="E3" s="23"/>
      <c r="F3" s="23"/>
      <c r="G3" s="24"/>
    </row>
    <row r="4" spans="2:7" ht="18.75" thickBot="1">
      <c r="B4" s="63"/>
      <c r="C4" s="64"/>
      <c r="D4" s="25"/>
      <c r="E4" s="25"/>
      <c r="F4" s="25"/>
      <c r="G4" s="26"/>
    </row>
    <row r="5" spans="2:7" ht="18.75" thickBot="1">
      <c r="B5" s="527" t="str">
        <f>name</f>
        <v>Adur</v>
      </c>
      <c r="C5" s="528"/>
      <c r="D5" s="25"/>
      <c r="E5" s="25"/>
      <c r="F5" s="25"/>
      <c r="G5" s="26"/>
    </row>
    <row r="6" spans="2:7" ht="12.75">
      <c r="B6" s="10"/>
      <c r="C6" s="25"/>
      <c r="D6" s="25"/>
      <c r="E6" s="25"/>
      <c r="F6" s="25"/>
      <c r="G6" s="26"/>
    </row>
    <row r="7" spans="2:7" ht="13.5" thickBot="1">
      <c r="B7" s="11"/>
      <c r="C7" s="29"/>
      <c r="D7" s="29"/>
      <c r="E7" s="29"/>
      <c r="F7" s="29"/>
      <c r="G7" s="30"/>
    </row>
    <row r="9" ht="13.5" thickBot="1"/>
    <row r="10" spans="2:9" ht="18">
      <c r="B10" s="109" t="s">
        <v>56</v>
      </c>
      <c r="C10" s="116"/>
      <c r="D10" s="116"/>
      <c r="E10" s="116"/>
      <c r="F10" s="89"/>
      <c r="G10" s="116"/>
      <c r="H10" s="116"/>
      <c r="I10" s="90"/>
    </row>
    <row r="11" spans="2:9" ht="15.75">
      <c r="B11" s="110" t="s">
        <v>458</v>
      </c>
      <c r="C11" s="196"/>
      <c r="D11" s="196"/>
      <c r="E11" s="196"/>
      <c r="F11" s="69"/>
      <c r="G11" s="196"/>
      <c r="H11" s="196"/>
      <c r="I11" s="212">
        <f>VLOOKUP($B$5,ComData!$B$15:$FK$185,45,FALSE)</f>
        <v>2658</v>
      </c>
    </row>
    <row r="12" spans="2:9" ht="16.5" thickBot="1">
      <c r="B12" s="198"/>
      <c r="C12" s="175"/>
      <c r="D12" s="175"/>
      <c r="E12" s="175"/>
      <c r="F12" s="70"/>
      <c r="G12" s="175"/>
      <c r="H12" s="175"/>
      <c r="I12" s="5"/>
    </row>
    <row r="13" spans="2:9" ht="18">
      <c r="B13" s="31" t="s">
        <v>459</v>
      </c>
      <c r="C13" s="116"/>
      <c r="D13" s="116"/>
      <c r="E13" s="116"/>
      <c r="F13" s="117"/>
      <c r="G13" s="179"/>
      <c r="H13" s="179"/>
      <c r="I13" s="90"/>
    </row>
    <row r="14" spans="2:9" ht="15.75">
      <c r="B14" s="200"/>
      <c r="C14" s="196"/>
      <c r="D14" s="196"/>
      <c r="E14" s="196"/>
      <c r="F14" s="199"/>
      <c r="G14" s="95"/>
      <c r="H14" s="95"/>
      <c r="I14" s="4"/>
    </row>
    <row r="15" spans="2:9" ht="15.75">
      <c r="B15" s="100" t="s">
        <v>460</v>
      </c>
      <c r="C15" s="95"/>
      <c r="D15" s="95"/>
      <c r="E15" s="95"/>
      <c r="F15" s="135"/>
      <c r="G15" s="95"/>
      <c r="H15" s="95"/>
      <c r="I15" s="4"/>
    </row>
    <row r="16" spans="2:9" ht="15">
      <c r="B16" s="94"/>
      <c r="C16" s="95"/>
      <c r="D16" s="69"/>
      <c r="E16" s="98"/>
      <c r="F16" s="135"/>
      <c r="G16" s="95"/>
      <c r="H16" s="95"/>
      <c r="I16" s="4"/>
    </row>
    <row r="17" spans="2:9" ht="15">
      <c r="B17" s="150" t="s">
        <v>461</v>
      </c>
      <c r="C17" s="95"/>
      <c r="D17" s="95"/>
      <c r="E17" s="95"/>
      <c r="F17" s="201"/>
      <c r="G17" s="95"/>
      <c r="H17" s="95"/>
      <c r="I17" s="4"/>
    </row>
    <row r="18" spans="2:9" ht="15">
      <c r="B18" s="94"/>
      <c r="C18" s="95"/>
      <c r="D18" s="95"/>
      <c r="E18" s="95"/>
      <c r="F18" s="135"/>
      <c r="G18" s="98"/>
      <c r="H18" s="95"/>
      <c r="I18" s="4"/>
    </row>
    <row r="19" spans="2:9" ht="15">
      <c r="B19" s="94" t="s">
        <v>462</v>
      </c>
      <c r="C19" s="95"/>
      <c r="D19" s="95"/>
      <c r="E19" s="95"/>
      <c r="F19" s="201"/>
      <c r="G19" s="95"/>
      <c r="H19" s="95"/>
      <c r="I19" s="4"/>
    </row>
    <row r="20" spans="2:9" ht="15">
      <c r="B20" s="94" t="s">
        <v>463</v>
      </c>
      <c r="C20" s="95"/>
      <c r="D20" s="95"/>
      <c r="E20" s="95"/>
      <c r="F20" s="135"/>
      <c r="G20" s="95"/>
      <c r="H20" s="95"/>
      <c r="I20" s="4"/>
    </row>
    <row r="21" spans="2:9" ht="15">
      <c r="B21" s="94"/>
      <c r="C21" s="95"/>
      <c r="D21" s="95"/>
      <c r="E21" s="95"/>
      <c r="F21" s="135"/>
      <c r="G21" s="95"/>
      <c r="H21" s="95"/>
      <c r="I21" s="4"/>
    </row>
    <row r="22" spans="2:9" ht="15">
      <c r="B22" s="94"/>
      <c r="C22" s="95"/>
      <c r="D22" s="95"/>
      <c r="E22" s="95"/>
      <c r="F22" s="135"/>
      <c r="G22" s="95"/>
      <c r="H22" s="95"/>
      <c r="I22" s="4"/>
    </row>
    <row r="23" spans="2:9" ht="47.25">
      <c r="B23" s="100" t="s">
        <v>444</v>
      </c>
      <c r="C23" s="95"/>
      <c r="D23" s="95"/>
      <c r="E23" s="231" t="s">
        <v>521</v>
      </c>
      <c r="F23" s="231" t="s">
        <v>522</v>
      </c>
      <c r="G23" s="231" t="s">
        <v>523</v>
      </c>
      <c r="H23" s="95" t="s">
        <v>56</v>
      </c>
      <c r="I23" s="232" t="s">
        <v>524</v>
      </c>
    </row>
    <row r="24" spans="2:9" ht="15">
      <c r="B24" s="94"/>
      <c r="C24" s="95"/>
      <c r="D24" s="95"/>
      <c r="E24" s="95"/>
      <c r="F24" s="135"/>
      <c r="G24" s="95"/>
      <c r="H24" s="95"/>
      <c r="I24" s="233"/>
    </row>
    <row r="25" spans="1:9" ht="15.75">
      <c r="A25" s="354">
        <v>46</v>
      </c>
      <c r="B25" s="234" t="s">
        <v>465</v>
      </c>
      <c r="C25" s="95"/>
      <c r="D25" s="95"/>
      <c r="E25" s="235">
        <v>168</v>
      </c>
      <c r="F25" s="386">
        <v>1.14</v>
      </c>
      <c r="G25" s="235">
        <f>ROUND(E25*F25,0)</f>
        <v>192</v>
      </c>
      <c r="H25" s="352">
        <f>VLOOKUP($B$5,ComData!$B$15:$FK$185,A25,FALSE)</f>
        <v>74</v>
      </c>
      <c r="I25" s="206">
        <f>H25*G25</f>
        <v>14208</v>
      </c>
    </row>
    <row r="26" spans="1:9" ht="15.75">
      <c r="A26" s="354">
        <v>47</v>
      </c>
      <c r="B26" s="234" t="s">
        <v>466</v>
      </c>
      <c r="C26" s="95"/>
      <c r="D26" s="95"/>
      <c r="E26" s="235">
        <v>190</v>
      </c>
      <c r="F26" s="387">
        <v>1.64</v>
      </c>
      <c r="G26" s="235">
        <f aca="true" t="shared" si="0" ref="G26:G39">ROUND(E26*F26,0)</f>
        <v>312</v>
      </c>
      <c r="H26" s="352">
        <f>VLOOKUP($B$5,ComData!$B$15:$FK$185,A26,FALSE)</f>
        <v>174</v>
      </c>
      <c r="I26" s="206">
        <f aca="true" t="shared" si="1" ref="I26:I39">H26*G26</f>
        <v>54288</v>
      </c>
    </row>
    <row r="27" spans="1:9" ht="15.75">
      <c r="A27" s="354">
        <v>48</v>
      </c>
      <c r="B27" s="234" t="s">
        <v>467</v>
      </c>
      <c r="C27" s="95"/>
      <c r="D27" s="95"/>
      <c r="E27" s="235">
        <v>214</v>
      </c>
      <c r="F27" s="387">
        <v>1.15</v>
      </c>
      <c r="G27" s="235">
        <f t="shared" si="0"/>
        <v>246</v>
      </c>
      <c r="H27" s="352">
        <f>VLOOKUP($B$5,ComData!$B$15:$FK$185,A27,FALSE)</f>
        <v>59</v>
      </c>
      <c r="I27" s="206">
        <f t="shared" si="1"/>
        <v>14514</v>
      </c>
    </row>
    <row r="28" spans="1:9" ht="15.75">
      <c r="A28" s="354">
        <v>49</v>
      </c>
      <c r="B28" s="234" t="s">
        <v>468</v>
      </c>
      <c r="C28" s="95"/>
      <c r="D28" s="95"/>
      <c r="E28" s="235">
        <v>155</v>
      </c>
      <c r="F28" s="387">
        <v>1.16</v>
      </c>
      <c r="G28" s="235">
        <f t="shared" si="0"/>
        <v>180</v>
      </c>
      <c r="H28" s="352">
        <f>VLOOKUP($B$5,ComData!$B$15:$FK$185,A28,FALSE)</f>
        <v>59</v>
      </c>
      <c r="I28" s="206">
        <f t="shared" si="1"/>
        <v>10620</v>
      </c>
    </row>
    <row r="29" spans="1:9" ht="15.75">
      <c r="A29" s="354">
        <v>50</v>
      </c>
      <c r="B29" s="234" t="s">
        <v>470</v>
      </c>
      <c r="C29" s="95"/>
      <c r="D29" s="95"/>
      <c r="E29" s="235">
        <v>186</v>
      </c>
      <c r="F29" s="387">
        <v>1.28</v>
      </c>
      <c r="G29" s="235">
        <f t="shared" si="0"/>
        <v>238</v>
      </c>
      <c r="H29" s="352">
        <f>VLOOKUP($B$5,ComData!$B$15:$FK$185,A29,FALSE)</f>
        <v>303</v>
      </c>
      <c r="I29" s="206">
        <f t="shared" si="1"/>
        <v>72114</v>
      </c>
    </row>
    <row r="30" spans="1:9" ht="15.75">
      <c r="A30" s="354">
        <v>51</v>
      </c>
      <c r="B30" s="234" t="s">
        <v>471</v>
      </c>
      <c r="C30" s="95"/>
      <c r="D30" s="95"/>
      <c r="E30" s="235">
        <v>141</v>
      </c>
      <c r="F30" s="387">
        <v>1.21</v>
      </c>
      <c r="G30" s="235">
        <f t="shared" si="0"/>
        <v>171</v>
      </c>
      <c r="H30" s="352">
        <f>VLOOKUP($B$5,ComData!$B$15:$FK$185,A30,FALSE)</f>
        <v>159</v>
      </c>
      <c r="I30" s="206">
        <f t="shared" si="1"/>
        <v>27189</v>
      </c>
    </row>
    <row r="31" spans="1:9" ht="15.75">
      <c r="A31" s="354">
        <v>52</v>
      </c>
      <c r="B31" s="234" t="s">
        <v>472</v>
      </c>
      <c r="C31" s="95"/>
      <c r="D31" s="95"/>
      <c r="E31" s="235">
        <v>207</v>
      </c>
      <c r="F31" s="387">
        <v>1.23</v>
      </c>
      <c r="G31" s="235">
        <f t="shared" si="0"/>
        <v>255</v>
      </c>
      <c r="H31" s="352">
        <f>VLOOKUP($B$5,ComData!$B$15:$FK$185,A31,FALSE)</f>
        <v>163</v>
      </c>
      <c r="I31" s="206">
        <f t="shared" si="1"/>
        <v>41565</v>
      </c>
    </row>
    <row r="32" spans="1:9" ht="15.75">
      <c r="A32" s="354">
        <v>53</v>
      </c>
      <c r="B32" s="234" t="s">
        <v>473</v>
      </c>
      <c r="C32" s="95"/>
      <c r="D32" s="95"/>
      <c r="E32" s="235">
        <v>173</v>
      </c>
      <c r="F32" s="387">
        <v>1.3</v>
      </c>
      <c r="G32" s="235">
        <f t="shared" si="0"/>
        <v>225</v>
      </c>
      <c r="H32" s="352">
        <f>VLOOKUP($B$5,ComData!$B$15:$FK$185,A32,FALSE)</f>
        <v>56</v>
      </c>
      <c r="I32" s="206">
        <f t="shared" si="1"/>
        <v>12600</v>
      </c>
    </row>
    <row r="33" spans="1:9" ht="15.75">
      <c r="A33" s="354">
        <v>54</v>
      </c>
      <c r="B33" s="234" t="s">
        <v>474</v>
      </c>
      <c r="C33" s="69"/>
      <c r="D33" s="69"/>
      <c r="E33" s="235">
        <v>82</v>
      </c>
      <c r="F33" s="387">
        <v>1.44</v>
      </c>
      <c r="G33" s="235">
        <f t="shared" si="0"/>
        <v>118</v>
      </c>
      <c r="H33" s="352">
        <f>VLOOKUP($B$5,ComData!$B$15:$FK$185,A33,FALSE)</f>
        <v>85</v>
      </c>
      <c r="I33" s="206">
        <f t="shared" si="1"/>
        <v>10030</v>
      </c>
    </row>
    <row r="34" spans="1:9" ht="15.75">
      <c r="A34" s="354">
        <v>55</v>
      </c>
      <c r="B34" s="234" t="s">
        <v>475</v>
      </c>
      <c r="C34" s="95"/>
      <c r="D34" s="95"/>
      <c r="E34" s="235">
        <v>89</v>
      </c>
      <c r="F34" s="387">
        <v>1.44</v>
      </c>
      <c r="G34" s="235">
        <f t="shared" si="0"/>
        <v>128</v>
      </c>
      <c r="H34" s="352">
        <f>VLOOKUP($B$5,ComData!$B$15:$FK$185,A34,FALSE)</f>
        <v>582</v>
      </c>
      <c r="I34" s="206">
        <f t="shared" si="1"/>
        <v>74496</v>
      </c>
    </row>
    <row r="35" spans="1:9" ht="15.75">
      <c r="A35" s="354">
        <v>56</v>
      </c>
      <c r="B35" s="234" t="s">
        <v>476</v>
      </c>
      <c r="C35" s="95"/>
      <c r="D35" s="95"/>
      <c r="E35" s="235">
        <v>111</v>
      </c>
      <c r="F35" s="387">
        <v>1.72</v>
      </c>
      <c r="G35" s="235">
        <f t="shared" si="0"/>
        <v>191</v>
      </c>
      <c r="H35" s="352">
        <f>VLOOKUP($B$5,ComData!$B$15:$FK$185,A35,FALSE)</f>
        <v>745</v>
      </c>
      <c r="I35" s="206">
        <f t="shared" si="1"/>
        <v>142295</v>
      </c>
    </row>
    <row r="36" spans="1:9" ht="15.75">
      <c r="A36" s="354">
        <v>57</v>
      </c>
      <c r="B36" s="234" t="s">
        <v>477</v>
      </c>
      <c r="C36" s="95"/>
      <c r="D36" s="95"/>
      <c r="E36" s="235">
        <v>84</v>
      </c>
      <c r="F36" s="387">
        <v>1.72</v>
      </c>
      <c r="G36" s="235">
        <f t="shared" si="0"/>
        <v>144</v>
      </c>
      <c r="H36" s="352">
        <f>VLOOKUP($B$5,ComData!$B$15:$FK$185,A36,FALSE)</f>
        <v>28</v>
      </c>
      <c r="I36" s="206">
        <f t="shared" si="1"/>
        <v>4032</v>
      </c>
    </row>
    <row r="37" spans="1:9" ht="15.75">
      <c r="A37" s="354">
        <v>58</v>
      </c>
      <c r="B37" s="234" t="s">
        <v>478</v>
      </c>
      <c r="C37" s="95"/>
      <c r="D37" s="95"/>
      <c r="E37" s="235">
        <v>135</v>
      </c>
      <c r="F37" s="387">
        <v>1.71</v>
      </c>
      <c r="G37" s="235">
        <f t="shared" si="0"/>
        <v>231</v>
      </c>
      <c r="H37" s="352">
        <f>VLOOKUP($B$5,ComData!$B$15:$FK$185,A37,FALSE)</f>
        <v>171</v>
      </c>
      <c r="I37" s="206">
        <f t="shared" si="1"/>
        <v>39501</v>
      </c>
    </row>
    <row r="38" spans="1:9" ht="15.75">
      <c r="A38" s="354">
        <v>59</v>
      </c>
      <c r="B38" s="234" t="s">
        <v>479</v>
      </c>
      <c r="C38" s="95"/>
      <c r="D38" s="95"/>
      <c r="E38" s="235">
        <v>82</v>
      </c>
      <c r="F38" s="387">
        <v>1.44</v>
      </c>
      <c r="G38" s="235">
        <f t="shared" si="0"/>
        <v>118</v>
      </c>
      <c r="H38" s="352">
        <f>VLOOKUP($B$5,ComData!$B$15:$FK$185,A38,FALSE)</f>
        <v>0</v>
      </c>
      <c r="I38" s="206">
        <f t="shared" si="1"/>
        <v>0</v>
      </c>
    </row>
    <row r="39" spans="1:9" ht="15.75">
      <c r="A39" s="354">
        <v>60</v>
      </c>
      <c r="B39" s="234" t="s">
        <v>480</v>
      </c>
      <c r="C39" s="95"/>
      <c r="D39" s="95"/>
      <c r="E39" s="235">
        <v>89</v>
      </c>
      <c r="F39" s="387">
        <v>1.44</v>
      </c>
      <c r="G39" s="235">
        <f t="shared" si="0"/>
        <v>128</v>
      </c>
      <c r="H39" s="352">
        <f>VLOOKUP($B$5,ComData!$B$15:$FK$185,A39,FALSE)</f>
        <v>0</v>
      </c>
      <c r="I39" s="206">
        <f t="shared" si="1"/>
        <v>0</v>
      </c>
    </row>
    <row r="40" spans="2:9" ht="15">
      <c r="B40" s="94"/>
      <c r="C40" s="95"/>
      <c r="D40" s="95"/>
      <c r="E40" s="95"/>
      <c r="F40" s="135"/>
      <c r="G40" s="95"/>
      <c r="H40" s="95"/>
      <c r="I40" s="4"/>
    </row>
    <row r="41" spans="2:9" ht="15.75">
      <c r="B41" s="94" t="s">
        <v>481</v>
      </c>
      <c r="C41" s="95"/>
      <c r="D41" s="95"/>
      <c r="E41" s="95"/>
      <c r="F41" s="151"/>
      <c r="G41" s="98"/>
      <c r="H41" s="353">
        <f>SUM(H25:H39)</f>
        <v>2658</v>
      </c>
      <c r="I41" s="206">
        <f>SUM(I25:I39)</f>
        <v>517452</v>
      </c>
    </row>
    <row r="42" spans="2:10" ht="15">
      <c r="B42" s="94"/>
      <c r="C42" s="95"/>
      <c r="D42" s="95"/>
      <c r="E42" s="95"/>
      <c r="F42" s="135"/>
      <c r="G42" s="95"/>
      <c r="H42" s="95"/>
      <c r="I42" s="4"/>
      <c r="J42" s="75"/>
    </row>
    <row r="43" spans="2:9" ht="15">
      <c r="B43" s="150" t="s">
        <v>740</v>
      </c>
      <c r="C43" s="95"/>
      <c r="D43" s="95"/>
      <c r="E43" s="95"/>
      <c r="F43" s="135"/>
      <c r="G43" s="95"/>
      <c r="H43" s="95"/>
      <c r="I43" s="376">
        <f>VLOOKUP($B$5,ComData!$B$15:$FK$185,61,FALSE)</f>
        <v>1.4363466480464666</v>
      </c>
    </row>
    <row r="44" spans="2:9" ht="15">
      <c r="B44" s="94"/>
      <c r="C44" s="95"/>
      <c r="D44" s="95"/>
      <c r="E44" s="95"/>
      <c r="F44" s="135"/>
      <c r="G44" s="95"/>
      <c r="H44" s="95"/>
      <c r="I44" s="2"/>
    </row>
    <row r="45" spans="2:9" ht="15">
      <c r="B45" s="94" t="s">
        <v>482</v>
      </c>
      <c r="C45" s="95"/>
      <c r="D45" s="95"/>
      <c r="E45" s="95"/>
      <c r="F45" s="135"/>
      <c r="G45" s="135"/>
      <c r="H45" s="95"/>
      <c r="I45" s="2"/>
    </row>
    <row r="46" spans="2:9" ht="15">
      <c r="B46" s="94"/>
      <c r="C46" s="95"/>
      <c r="D46" s="95"/>
      <c r="E46" s="95"/>
      <c r="F46" s="135"/>
      <c r="G46" s="135"/>
      <c r="H46" s="95"/>
      <c r="I46" s="2"/>
    </row>
    <row r="47" spans="2:9" ht="15">
      <c r="B47" s="150" t="s">
        <v>483</v>
      </c>
      <c r="C47" s="95"/>
      <c r="D47" s="95"/>
      <c r="E47" s="95"/>
      <c r="F47" s="135"/>
      <c r="G47" s="95"/>
      <c r="H47" s="95"/>
      <c r="I47" s="376">
        <f>VLOOKUP($B$5,ComData!$B$15:$FK$185,62,FALSE)</f>
        <v>8.780935746879802</v>
      </c>
    </row>
    <row r="48" spans="2:9" ht="15">
      <c r="B48" s="94"/>
      <c r="C48" s="95"/>
      <c r="D48" s="95"/>
      <c r="E48" s="95"/>
      <c r="F48" s="183"/>
      <c r="G48" s="98"/>
      <c r="H48" s="95"/>
      <c r="I48" s="379"/>
    </row>
    <row r="49" spans="2:9" ht="15">
      <c r="B49" s="94" t="s">
        <v>421</v>
      </c>
      <c r="C49" s="95"/>
      <c r="D49" s="95"/>
      <c r="E49" s="95"/>
      <c r="F49" s="135">
        <v>1</v>
      </c>
      <c r="G49" s="95" t="s">
        <v>525</v>
      </c>
      <c r="H49" s="95"/>
      <c r="I49" s="2"/>
    </row>
    <row r="50" spans="2:9" ht="15">
      <c r="B50" s="94" t="s">
        <v>297</v>
      </c>
      <c r="C50" s="95"/>
      <c r="D50" s="95"/>
      <c r="E50" s="95"/>
      <c r="F50" s="210">
        <v>0.5</v>
      </c>
      <c r="G50" s="95" t="s">
        <v>526</v>
      </c>
      <c r="H50" s="95"/>
      <c r="I50" s="379"/>
    </row>
    <row r="51" spans="2:9" ht="15">
      <c r="B51" s="94"/>
      <c r="C51" s="95"/>
      <c r="D51" s="95"/>
      <c r="E51" s="95"/>
      <c r="F51" s="135"/>
      <c r="G51" s="95"/>
      <c r="H51" s="95"/>
      <c r="I51" s="380"/>
    </row>
    <row r="52" spans="2:9" ht="15">
      <c r="B52" s="150" t="s">
        <v>484</v>
      </c>
      <c r="C52" s="95"/>
      <c r="D52" s="95"/>
      <c r="E52" s="95"/>
      <c r="F52" s="135"/>
      <c r="G52" s="95"/>
      <c r="H52" s="95"/>
      <c r="I52" s="376">
        <f>VLOOKUP($B$5,ComData!$B$15:$FK$185,63,FALSE)</f>
        <v>6.39935211097652</v>
      </c>
    </row>
    <row r="53" spans="2:9" ht="15">
      <c r="B53" s="94"/>
      <c r="C53" s="95"/>
      <c r="D53" s="95"/>
      <c r="E53" s="95"/>
      <c r="F53" s="135"/>
      <c r="G53" s="95"/>
      <c r="H53" s="95"/>
      <c r="I53" s="2"/>
    </row>
    <row r="54" spans="2:9" ht="15">
      <c r="B54" s="150" t="s">
        <v>485</v>
      </c>
      <c r="C54" s="95"/>
      <c r="D54" s="95"/>
      <c r="E54" s="95"/>
      <c r="F54" s="135"/>
      <c r="G54" s="95"/>
      <c r="H54" s="95"/>
      <c r="I54" s="376">
        <f>VLOOKUP($B$5,ComData!$B$15:$FK$185,64,FALSE)</f>
        <v>4.763167271806566</v>
      </c>
    </row>
    <row r="55" spans="2:9" ht="15">
      <c r="B55" s="94"/>
      <c r="C55" s="95"/>
      <c r="D55" s="95"/>
      <c r="E55" s="95"/>
      <c r="F55" s="135"/>
      <c r="G55" s="95"/>
      <c r="H55" s="95"/>
      <c r="I55" s="2"/>
    </row>
    <row r="56" spans="2:9" ht="15">
      <c r="B56" s="150" t="s">
        <v>486</v>
      </c>
      <c r="C56" s="95"/>
      <c r="D56" s="95"/>
      <c r="E56" s="95"/>
      <c r="F56" s="135"/>
      <c r="G56" s="95"/>
      <c r="H56" s="95"/>
      <c r="I56" s="376">
        <f>ComData!BK12</f>
        <v>33.532939510174174</v>
      </c>
    </row>
    <row r="57" spans="2:9" ht="15">
      <c r="B57" s="94"/>
      <c r="C57" s="95"/>
      <c r="D57" s="95"/>
      <c r="E57" s="95"/>
      <c r="F57" s="135"/>
      <c r="G57" s="95"/>
      <c r="H57" s="95"/>
      <c r="I57" s="2"/>
    </row>
    <row r="58" spans="2:9" ht="15">
      <c r="B58" s="150" t="s">
        <v>487</v>
      </c>
      <c r="C58" s="95"/>
      <c r="D58" s="95"/>
      <c r="E58" s="95"/>
      <c r="F58" s="236">
        <v>0.98</v>
      </c>
      <c r="G58" s="95" t="s">
        <v>527</v>
      </c>
      <c r="H58" s="95"/>
      <c r="I58" s="2"/>
    </row>
    <row r="59" spans="2:9" ht="15">
      <c r="B59" s="94"/>
      <c r="C59" s="95"/>
      <c r="D59" s="95"/>
      <c r="E59" s="95"/>
      <c r="F59" s="183"/>
      <c r="G59" s="95"/>
      <c r="H59" s="95"/>
      <c r="I59" s="221"/>
    </row>
    <row r="60" spans="2:9" ht="15">
      <c r="B60" s="150" t="s">
        <v>488</v>
      </c>
      <c r="C60" s="95"/>
      <c r="D60" s="95"/>
      <c r="E60" s="95"/>
      <c r="F60" s="135"/>
      <c r="G60" s="95"/>
      <c r="H60" s="95"/>
      <c r="I60" s="381">
        <f>VLOOKUP($B$5,ComData!$B$15:$FK$185,65,FALSE)</f>
        <v>1885</v>
      </c>
    </row>
    <row r="61" spans="2:9" ht="15">
      <c r="B61" s="94"/>
      <c r="C61" s="95"/>
      <c r="D61" s="95"/>
      <c r="E61" s="95"/>
      <c r="F61" s="135"/>
      <c r="G61" s="95"/>
      <c r="H61" s="95"/>
      <c r="I61" s="221"/>
    </row>
    <row r="62" spans="2:9" ht="15">
      <c r="B62" s="94" t="s">
        <v>297</v>
      </c>
      <c r="C62" s="95"/>
      <c r="D62" s="95"/>
      <c r="E62" s="95"/>
      <c r="F62" s="236">
        <v>3.34</v>
      </c>
      <c r="G62" s="95" t="s">
        <v>528</v>
      </c>
      <c r="H62" s="95"/>
      <c r="I62" s="2"/>
    </row>
    <row r="63" spans="2:9" ht="15">
      <c r="B63" s="94"/>
      <c r="C63" s="95"/>
      <c r="D63" s="95"/>
      <c r="E63" s="95"/>
      <c r="F63" s="135"/>
      <c r="G63" s="95"/>
      <c r="H63" s="95"/>
      <c r="I63" s="379"/>
    </row>
    <row r="64" spans="2:9" ht="15">
      <c r="B64" s="150" t="s">
        <v>489</v>
      </c>
      <c r="C64" s="95"/>
      <c r="D64" s="95"/>
      <c r="E64" s="95"/>
      <c r="F64" s="183"/>
      <c r="G64" s="98"/>
      <c r="H64" s="95"/>
      <c r="I64" s="381">
        <f>VLOOKUP($B$5,ComData!$B$15:$FK$185,66,FALSE)</f>
        <v>773</v>
      </c>
    </row>
    <row r="65" spans="2:9" ht="15">
      <c r="B65" s="94"/>
      <c r="C65" s="95"/>
      <c r="D65" s="95"/>
      <c r="E65" s="95"/>
      <c r="F65" s="135"/>
      <c r="G65" s="95"/>
      <c r="H65" s="95"/>
      <c r="I65" s="4"/>
    </row>
    <row r="66" spans="2:9" ht="18.75" thickBot="1">
      <c r="B66" s="166" t="s">
        <v>490</v>
      </c>
      <c r="C66" s="203"/>
      <c r="D66" s="203"/>
      <c r="E66" s="203"/>
      <c r="F66" s="204"/>
      <c r="G66" s="203"/>
      <c r="H66" s="203"/>
      <c r="I66" s="256">
        <f>VLOOKUP($B$5,ComData!$B$15:$FK$185,67,FALSE)</f>
        <v>743240.4457249403</v>
      </c>
    </row>
    <row r="67" spans="2:9" ht="15">
      <c r="B67" s="94"/>
      <c r="C67" s="95"/>
      <c r="D67" s="95"/>
      <c r="E67" s="95"/>
      <c r="F67" s="135"/>
      <c r="G67" s="95"/>
      <c r="H67" s="95"/>
      <c r="I67" s="4"/>
    </row>
    <row r="68" spans="2:9" ht="18">
      <c r="B68" s="101" t="s">
        <v>491</v>
      </c>
      <c r="C68" s="95"/>
      <c r="D68" s="95"/>
      <c r="E68" s="95"/>
      <c r="F68" s="210"/>
      <c r="G68" s="98"/>
      <c r="H68" s="95"/>
      <c r="I68" s="4"/>
    </row>
    <row r="69" spans="2:9" ht="15">
      <c r="B69" s="94"/>
      <c r="C69" s="95"/>
      <c r="D69" s="95"/>
      <c r="E69" s="95"/>
      <c r="F69" s="210"/>
      <c r="G69" s="98"/>
      <c r="H69" s="95"/>
      <c r="I69" s="4"/>
    </row>
    <row r="70" spans="2:9" ht="15">
      <c r="B70" s="94" t="s">
        <v>492</v>
      </c>
      <c r="C70" s="95"/>
      <c r="D70" s="95"/>
      <c r="E70" s="95"/>
      <c r="F70" s="135"/>
      <c r="G70" s="95"/>
      <c r="H70" s="95"/>
      <c r="I70" s="4"/>
    </row>
    <row r="71" spans="2:9" ht="15.75">
      <c r="B71" s="94" t="s">
        <v>463</v>
      </c>
      <c r="C71" s="95"/>
      <c r="D71" s="95"/>
      <c r="E71" s="95"/>
      <c r="F71" s="135"/>
      <c r="G71" s="95"/>
      <c r="H71" s="95"/>
      <c r="I71" s="209"/>
    </row>
    <row r="72" spans="2:9" ht="15">
      <c r="B72" s="94"/>
      <c r="C72" s="95"/>
      <c r="D72" s="95"/>
      <c r="E72" s="95"/>
      <c r="F72" s="135"/>
      <c r="G72" s="95"/>
      <c r="H72" s="95"/>
      <c r="I72" s="4"/>
    </row>
    <row r="73" spans="2:9" ht="15.75">
      <c r="B73" s="100" t="s">
        <v>444</v>
      </c>
      <c r="C73" s="95"/>
      <c r="D73" s="95"/>
      <c r="E73" s="95"/>
      <c r="F73" s="135" t="s">
        <v>529</v>
      </c>
      <c r="G73" s="95"/>
      <c r="H73" s="95" t="str">
        <f>H23</f>
        <v>Stock</v>
      </c>
      <c r="I73" s="209" t="s">
        <v>530</v>
      </c>
    </row>
    <row r="74" spans="2:9" ht="15.75">
      <c r="B74" s="94"/>
      <c r="C74" s="95"/>
      <c r="D74" s="95"/>
      <c r="E74" s="95"/>
      <c r="F74" s="135"/>
      <c r="G74" s="95"/>
      <c r="H74" s="95"/>
      <c r="I74" s="206"/>
    </row>
    <row r="75" spans="1:9" ht="15.75">
      <c r="A75" s="354"/>
      <c r="B75" s="234" t="s">
        <v>465</v>
      </c>
      <c r="C75" s="95"/>
      <c r="D75" s="95"/>
      <c r="E75" s="95"/>
      <c r="F75" s="144">
        <v>1014</v>
      </c>
      <c r="G75" s="95"/>
      <c r="H75" s="352">
        <f>VLOOKUP($B$5,ComData!$B$15:$FK$185,A25,FALSE)</f>
        <v>74</v>
      </c>
      <c r="I75" s="206">
        <f>H75*F75</f>
        <v>75036</v>
      </c>
    </row>
    <row r="76" spans="1:9" ht="15.75">
      <c r="A76" s="354"/>
      <c r="B76" s="234" t="s">
        <v>466</v>
      </c>
      <c r="C76" s="95"/>
      <c r="D76" s="95"/>
      <c r="E76" s="95"/>
      <c r="F76" s="144">
        <v>1042</v>
      </c>
      <c r="G76" s="95"/>
      <c r="H76" s="352">
        <f>VLOOKUP($B$5,ComData!$B$15:$FK$185,A26,FALSE)</f>
        <v>174</v>
      </c>
      <c r="I76" s="206">
        <f aca="true" t="shared" si="2" ref="I76:I89">H76*F76</f>
        <v>181308</v>
      </c>
    </row>
    <row r="77" spans="1:9" ht="15.75">
      <c r="A77" s="354"/>
      <c r="B77" s="234" t="s">
        <v>467</v>
      </c>
      <c r="C77" s="95"/>
      <c r="D77" s="95"/>
      <c r="E77" s="95"/>
      <c r="F77" s="144">
        <v>1255</v>
      </c>
      <c r="G77" s="95"/>
      <c r="H77" s="352">
        <f>VLOOKUP($B$5,ComData!$B$15:$FK$185,A27,FALSE)</f>
        <v>59</v>
      </c>
      <c r="I77" s="206">
        <f t="shared" si="2"/>
        <v>74045</v>
      </c>
    </row>
    <row r="78" spans="1:9" ht="15.75">
      <c r="A78" s="354"/>
      <c r="B78" s="234" t="s">
        <v>468</v>
      </c>
      <c r="C78" s="95"/>
      <c r="D78" s="95"/>
      <c r="E78" s="95"/>
      <c r="F78" s="144">
        <v>917</v>
      </c>
      <c r="G78" s="95"/>
      <c r="H78" s="352">
        <f>VLOOKUP($B$5,ComData!$B$15:$FK$185,A28,FALSE)</f>
        <v>59</v>
      </c>
      <c r="I78" s="206">
        <f t="shared" si="2"/>
        <v>54103</v>
      </c>
    </row>
    <row r="79" spans="1:9" ht="15.75">
      <c r="A79" s="354"/>
      <c r="B79" s="234" t="s">
        <v>470</v>
      </c>
      <c r="C79" s="95"/>
      <c r="D79" s="95"/>
      <c r="E79" s="95"/>
      <c r="F79" s="144">
        <v>970</v>
      </c>
      <c r="G79" s="95"/>
      <c r="H79" s="352">
        <f>VLOOKUP($B$5,ComData!$B$15:$FK$185,A29,FALSE)</f>
        <v>303</v>
      </c>
      <c r="I79" s="206">
        <f t="shared" si="2"/>
        <v>293910</v>
      </c>
    </row>
    <row r="80" spans="1:9" ht="15.75">
      <c r="A80" s="354"/>
      <c r="B80" s="234" t="s">
        <v>471</v>
      </c>
      <c r="C80" s="95"/>
      <c r="D80" s="95"/>
      <c r="E80" s="95"/>
      <c r="F80" s="144">
        <v>968</v>
      </c>
      <c r="G80" s="95"/>
      <c r="H80" s="352">
        <f>VLOOKUP($B$5,ComData!$B$15:$FK$185,A30,FALSE)</f>
        <v>159</v>
      </c>
      <c r="I80" s="206">
        <f t="shared" si="2"/>
        <v>153912</v>
      </c>
    </row>
    <row r="81" spans="1:9" ht="15.75">
      <c r="A81" s="354"/>
      <c r="B81" s="234" t="s">
        <v>472</v>
      </c>
      <c r="C81" s="95"/>
      <c r="D81" s="95"/>
      <c r="E81" s="95"/>
      <c r="F81" s="144">
        <v>995</v>
      </c>
      <c r="G81" s="95"/>
      <c r="H81" s="352">
        <f>VLOOKUP($B$5,ComData!$B$15:$FK$185,A31,FALSE)</f>
        <v>163</v>
      </c>
      <c r="I81" s="206">
        <f t="shared" si="2"/>
        <v>162185</v>
      </c>
    </row>
    <row r="82" spans="1:9" ht="15.75">
      <c r="A82" s="354"/>
      <c r="B82" s="234" t="s">
        <v>473</v>
      </c>
      <c r="C82" s="95"/>
      <c r="D82" s="95"/>
      <c r="E82" s="95"/>
      <c r="F82" s="144">
        <v>1190</v>
      </c>
      <c r="G82" s="95"/>
      <c r="H82" s="352">
        <f>VLOOKUP($B$5,ComData!$B$15:$FK$185,A32,FALSE)</f>
        <v>56</v>
      </c>
      <c r="I82" s="206">
        <f t="shared" si="2"/>
        <v>66640</v>
      </c>
    </row>
    <row r="83" spans="1:9" ht="15.75">
      <c r="A83" s="354"/>
      <c r="B83" s="234" t="s">
        <v>474</v>
      </c>
      <c r="C83" s="95"/>
      <c r="D83" s="95"/>
      <c r="E83" s="95"/>
      <c r="F83" s="144">
        <v>692</v>
      </c>
      <c r="G83" s="95"/>
      <c r="H83" s="352">
        <f>VLOOKUP($B$5,ComData!$B$15:$FK$185,A33,FALSE)</f>
        <v>85</v>
      </c>
      <c r="I83" s="206">
        <f t="shared" si="2"/>
        <v>58820</v>
      </c>
    </row>
    <row r="84" spans="1:9" ht="15.75">
      <c r="A84" s="354"/>
      <c r="B84" s="234" t="s">
        <v>475</v>
      </c>
      <c r="C84" s="95"/>
      <c r="D84" s="95"/>
      <c r="E84" s="95"/>
      <c r="F84" s="144">
        <v>1002</v>
      </c>
      <c r="G84" s="95"/>
      <c r="H84" s="352">
        <f>VLOOKUP($B$5,ComData!$B$15:$FK$185,A34,FALSE)</f>
        <v>582</v>
      </c>
      <c r="I84" s="206">
        <f t="shared" si="2"/>
        <v>583164</v>
      </c>
    </row>
    <row r="85" spans="1:9" ht="15.75">
      <c r="A85" s="354"/>
      <c r="B85" s="234" t="s">
        <v>476</v>
      </c>
      <c r="C85" s="95"/>
      <c r="D85" s="95"/>
      <c r="E85" s="95"/>
      <c r="F85" s="144">
        <v>1386</v>
      </c>
      <c r="G85" s="95"/>
      <c r="H85" s="352">
        <f>VLOOKUP($B$5,ComData!$B$15:$FK$185,A35,FALSE)</f>
        <v>745</v>
      </c>
      <c r="I85" s="206">
        <f t="shared" si="2"/>
        <v>1032570</v>
      </c>
    </row>
    <row r="86" spans="1:9" ht="15.75">
      <c r="A86" s="354"/>
      <c r="B86" s="234" t="s">
        <v>477</v>
      </c>
      <c r="C86" s="95"/>
      <c r="D86" s="95"/>
      <c r="E86" s="95"/>
      <c r="F86" s="144">
        <v>1296</v>
      </c>
      <c r="G86" s="95"/>
      <c r="H86" s="352">
        <f>VLOOKUP($B$5,ComData!$B$15:$FK$185,A36,FALSE)</f>
        <v>28</v>
      </c>
      <c r="I86" s="206">
        <f t="shared" si="2"/>
        <v>36288</v>
      </c>
    </row>
    <row r="87" spans="1:9" ht="15.75">
      <c r="A87" s="354"/>
      <c r="B87" s="234" t="s">
        <v>478</v>
      </c>
      <c r="C87" s="95"/>
      <c r="D87" s="95"/>
      <c r="E87" s="95"/>
      <c r="F87" s="144">
        <v>898</v>
      </c>
      <c r="G87" s="95"/>
      <c r="H87" s="352">
        <f>VLOOKUP($B$5,ComData!$B$15:$FK$185,A37,FALSE)</f>
        <v>171</v>
      </c>
      <c r="I87" s="206">
        <f t="shared" si="2"/>
        <v>153558</v>
      </c>
    </row>
    <row r="88" spans="1:9" ht="15.75">
      <c r="A88" s="354"/>
      <c r="B88" s="234" t="s">
        <v>479</v>
      </c>
      <c r="C88" s="95"/>
      <c r="D88" s="95"/>
      <c r="E88" s="95"/>
      <c r="F88" s="144">
        <v>692</v>
      </c>
      <c r="G88" s="95"/>
      <c r="H88" s="352">
        <f>VLOOKUP($B$5,ComData!$B$15:$FK$185,A38,FALSE)</f>
        <v>0</v>
      </c>
      <c r="I88" s="206">
        <f t="shared" si="2"/>
        <v>0</v>
      </c>
    </row>
    <row r="89" spans="1:9" ht="15.75">
      <c r="A89" s="354"/>
      <c r="B89" s="234" t="s">
        <v>480</v>
      </c>
      <c r="C89" s="95"/>
      <c r="D89" s="95"/>
      <c r="E89" s="95"/>
      <c r="F89" s="144">
        <v>1002</v>
      </c>
      <c r="G89" s="98"/>
      <c r="H89" s="352">
        <f>VLOOKUP($B$5,ComData!$B$15:$FK$185,A39,FALSE)</f>
        <v>0</v>
      </c>
      <c r="I89" s="206">
        <f t="shared" si="2"/>
        <v>0</v>
      </c>
    </row>
    <row r="90" spans="2:9" ht="18">
      <c r="B90" s="94"/>
      <c r="C90" s="95"/>
      <c r="D90" s="95"/>
      <c r="E90" s="95"/>
      <c r="F90" s="135"/>
      <c r="G90" s="95"/>
      <c r="H90" s="95"/>
      <c r="I90" s="371"/>
    </row>
    <row r="91" spans="2:9" ht="18.75" thickBot="1">
      <c r="B91" s="166" t="s">
        <v>493</v>
      </c>
      <c r="C91" s="203"/>
      <c r="D91" s="203"/>
      <c r="E91" s="203"/>
      <c r="F91" s="204"/>
      <c r="G91" s="203"/>
      <c r="H91" s="203"/>
      <c r="I91" s="372">
        <f>VLOOKUP($B$5,ComData!$B$15:$FK$185,68,FALSE)</f>
        <v>2925539</v>
      </c>
    </row>
    <row r="92" spans="2:9" ht="15">
      <c r="B92" s="94"/>
      <c r="C92" s="95"/>
      <c r="D92" s="95"/>
      <c r="E92" s="95"/>
      <c r="F92" s="135"/>
      <c r="G92" s="95"/>
      <c r="H92" s="95"/>
      <c r="I92" s="4"/>
    </row>
    <row r="93" spans="2:9" ht="18">
      <c r="B93" s="101" t="s">
        <v>494</v>
      </c>
      <c r="C93" s="238"/>
      <c r="D93" s="95"/>
      <c r="E93" s="95"/>
      <c r="F93" s="236"/>
      <c r="G93" s="391"/>
      <c r="H93" s="95"/>
      <c r="I93" s="211"/>
    </row>
    <row r="94" spans="2:9" ht="15">
      <c r="B94" s="94"/>
      <c r="C94" s="95"/>
      <c r="D94" s="95"/>
      <c r="E94" s="95"/>
      <c r="F94" s="236"/>
      <c r="G94" s="391"/>
      <c r="H94" s="95"/>
      <c r="I94" s="4"/>
    </row>
    <row r="95" spans="2:9" ht="15.75">
      <c r="B95" s="94" t="s">
        <v>495</v>
      </c>
      <c r="C95" s="95"/>
      <c r="D95" s="95"/>
      <c r="E95" s="95"/>
      <c r="F95" s="236"/>
      <c r="G95" s="391"/>
      <c r="H95" s="95"/>
      <c r="I95" s="211"/>
    </row>
    <row r="96" spans="2:9" ht="15">
      <c r="B96" s="94"/>
      <c r="C96" s="95"/>
      <c r="D96" s="95"/>
      <c r="E96" s="95"/>
      <c r="F96" s="236"/>
      <c r="G96" s="391"/>
      <c r="H96" s="95"/>
      <c r="I96" s="136"/>
    </row>
    <row r="97" spans="2:9" ht="15.75">
      <c r="B97" s="150" t="s">
        <v>249</v>
      </c>
      <c r="C97" s="95"/>
      <c r="D97" s="95"/>
      <c r="E97" s="95"/>
      <c r="F97" s="236"/>
      <c r="G97" s="391"/>
      <c r="H97" s="95"/>
      <c r="I97" s="206"/>
    </row>
    <row r="98" spans="2:9" ht="15">
      <c r="B98" s="94"/>
      <c r="C98" s="95"/>
      <c r="D98" s="95"/>
      <c r="E98" s="95"/>
      <c r="F98" s="236"/>
      <c r="G98" s="391"/>
      <c r="H98" s="95"/>
      <c r="I98" s="4"/>
    </row>
    <row r="99" spans="2:9" ht="15">
      <c r="B99" s="94" t="s">
        <v>496</v>
      </c>
      <c r="C99" s="95"/>
      <c r="D99" s="95"/>
      <c r="E99" s="95"/>
      <c r="F99" s="236"/>
      <c r="G99" s="391"/>
      <c r="H99" s="95"/>
      <c r="I99" s="4"/>
    </row>
    <row r="100" spans="2:9" ht="15">
      <c r="B100" s="94" t="s">
        <v>497</v>
      </c>
      <c r="C100" s="95"/>
      <c r="D100" s="95"/>
      <c r="E100" s="95"/>
      <c r="F100" s="135"/>
      <c r="G100" s="95"/>
      <c r="H100" s="95"/>
      <c r="I100" s="4"/>
    </row>
    <row r="101" spans="2:9" ht="15.75">
      <c r="B101" s="94"/>
      <c r="C101" s="95"/>
      <c r="D101" s="95"/>
      <c r="E101" s="95"/>
      <c r="F101" s="151"/>
      <c r="G101" s="98"/>
      <c r="H101" s="95"/>
      <c r="I101" s="206"/>
    </row>
    <row r="102" spans="2:9" ht="43.5">
      <c r="B102" s="100" t="s">
        <v>464</v>
      </c>
      <c r="C102" s="95"/>
      <c r="D102" s="95"/>
      <c r="E102" s="95"/>
      <c r="F102" s="19"/>
      <c r="G102" s="239" t="s">
        <v>523</v>
      </c>
      <c r="H102" s="95" t="str">
        <f>H23</f>
        <v>Stock</v>
      </c>
      <c r="I102" s="240" t="s">
        <v>531</v>
      </c>
    </row>
    <row r="103" spans="2:9" ht="15.75">
      <c r="B103" s="94"/>
      <c r="C103" s="95"/>
      <c r="D103" s="95"/>
      <c r="E103" s="95"/>
      <c r="F103" s="135"/>
      <c r="G103" s="95"/>
      <c r="H103" s="95"/>
      <c r="I103" s="209"/>
    </row>
    <row r="104" spans="1:9" ht="15.75">
      <c r="A104" s="354">
        <v>46</v>
      </c>
      <c r="B104" s="234" t="s">
        <v>465</v>
      </c>
      <c r="C104" s="95"/>
      <c r="D104" s="95"/>
      <c r="E104" s="95"/>
      <c r="F104" s="19"/>
      <c r="G104" s="235">
        <v>1545</v>
      </c>
      <c r="H104" s="352">
        <f>VLOOKUP($B$5,ComData!$B$15:$FK$185,A104,FALSE)</f>
        <v>74</v>
      </c>
      <c r="I104" s="206">
        <f>H104*G104</f>
        <v>114330</v>
      </c>
    </row>
    <row r="105" spans="1:9" ht="15.75">
      <c r="A105" s="354">
        <v>47</v>
      </c>
      <c r="B105" s="234" t="s">
        <v>466</v>
      </c>
      <c r="C105" s="95"/>
      <c r="D105" s="95"/>
      <c r="E105" s="95"/>
      <c r="F105" s="19"/>
      <c r="G105" s="235">
        <v>1606</v>
      </c>
      <c r="H105" s="352">
        <f>VLOOKUP($B$5,ComData!$B$15:$FK$185,A105,FALSE)</f>
        <v>174</v>
      </c>
      <c r="I105" s="206">
        <f aca="true" t="shared" si="3" ref="I105:I118">H105*G105</f>
        <v>279444</v>
      </c>
    </row>
    <row r="106" spans="1:9" ht="15.75">
      <c r="A106" s="354">
        <v>48</v>
      </c>
      <c r="B106" s="234" t="s">
        <v>467</v>
      </c>
      <c r="C106" s="95"/>
      <c r="D106" s="95"/>
      <c r="E106" s="95"/>
      <c r="F106" s="19"/>
      <c r="G106" s="235">
        <v>1655</v>
      </c>
      <c r="H106" s="352">
        <f>VLOOKUP($B$5,ComData!$B$15:$FK$185,A106,FALSE)</f>
        <v>59</v>
      </c>
      <c r="I106" s="206">
        <f t="shared" si="3"/>
        <v>97645</v>
      </c>
    </row>
    <row r="107" spans="1:9" ht="15.75">
      <c r="A107" s="354">
        <v>49</v>
      </c>
      <c r="B107" s="234" t="s">
        <v>468</v>
      </c>
      <c r="C107" s="95"/>
      <c r="D107" s="95"/>
      <c r="E107" s="95"/>
      <c r="F107" s="19"/>
      <c r="G107" s="235">
        <v>1545</v>
      </c>
      <c r="H107" s="352">
        <f>VLOOKUP($B$5,ComData!$B$15:$FK$185,A107,FALSE)</f>
        <v>59</v>
      </c>
      <c r="I107" s="206">
        <f t="shared" si="3"/>
        <v>91155</v>
      </c>
    </row>
    <row r="108" spans="1:9" ht="15.75">
      <c r="A108" s="354">
        <v>50</v>
      </c>
      <c r="B108" s="234" t="s">
        <v>470</v>
      </c>
      <c r="C108" s="95"/>
      <c r="D108" s="95"/>
      <c r="E108" s="95"/>
      <c r="F108" s="19"/>
      <c r="G108" s="235">
        <v>1632</v>
      </c>
      <c r="H108" s="352">
        <f>VLOOKUP($B$5,ComData!$B$15:$FK$185,A108,FALSE)</f>
        <v>303</v>
      </c>
      <c r="I108" s="206">
        <f t="shared" si="3"/>
        <v>494496</v>
      </c>
    </row>
    <row r="109" spans="1:9" ht="15.75">
      <c r="A109" s="354">
        <v>51</v>
      </c>
      <c r="B109" s="234" t="s">
        <v>471</v>
      </c>
      <c r="C109" s="95"/>
      <c r="D109" s="95"/>
      <c r="E109" s="95"/>
      <c r="F109" s="19"/>
      <c r="G109" s="235">
        <v>1621</v>
      </c>
      <c r="H109" s="352">
        <f>VLOOKUP($B$5,ComData!$B$15:$FK$185,A109,FALSE)</f>
        <v>159</v>
      </c>
      <c r="I109" s="206">
        <f t="shared" si="3"/>
        <v>257739</v>
      </c>
    </row>
    <row r="110" spans="1:9" ht="15.75">
      <c r="A110" s="354">
        <v>52</v>
      </c>
      <c r="B110" s="234" t="s">
        <v>472</v>
      </c>
      <c r="C110" s="95"/>
      <c r="D110" s="95"/>
      <c r="E110" s="95"/>
      <c r="F110" s="19"/>
      <c r="G110" s="235">
        <v>1621</v>
      </c>
      <c r="H110" s="352">
        <f>VLOOKUP($B$5,ComData!$B$15:$FK$185,A110,FALSE)</f>
        <v>163</v>
      </c>
      <c r="I110" s="206">
        <f t="shared" si="3"/>
        <v>264223</v>
      </c>
    </row>
    <row r="111" spans="1:9" ht="15.75">
      <c r="A111" s="354">
        <v>53</v>
      </c>
      <c r="B111" s="234" t="s">
        <v>473</v>
      </c>
      <c r="C111" s="95"/>
      <c r="D111" s="95"/>
      <c r="E111" s="95"/>
      <c r="F111" s="19"/>
      <c r="G111" s="235">
        <v>1606</v>
      </c>
      <c r="H111" s="352">
        <f>VLOOKUP($B$5,ComData!$B$15:$FK$185,A111,FALSE)</f>
        <v>56</v>
      </c>
      <c r="I111" s="206">
        <f t="shared" si="3"/>
        <v>89936</v>
      </c>
    </row>
    <row r="112" spans="1:9" ht="15.75">
      <c r="A112" s="354">
        <v>54</v>
      </c>
      <c r="B112" s="234" t="s">
        <v>474</v>
      </c>
      <c r="C112" s="95"/>
      <c r="D112" s="95"/>
      <c r="E112" s="95"/>
      <c r="F112" s="19"/>
      <c r="G112" s="235">
        <v>1127</v>
      </c>
      <c r="H112" s="352">
        <f>VLOOKUP($B$5,ComData!$B$15:$FK$185,A112,FALSE)</f>
        <v>85</v>
      </c>
      <c r="I112" s="206">
        <f t="shared" si="3"/>
        <v>95795</v>
      </c>
    </row>
    <row r="113" spans="1:9" ht="15.75">
      <c r="A113" s="354">
        <v>55</v>
      </c>
      <c r="B113" s="234" t="s">
        <v>475</v>
      </c>
      <c r="C113" s="95"/>
      <c r="D113" s="95"/>
      <c r="E113" s="95"/>
      <c r="F113" s="19"/>
      <c r="G113" s="235">
        <v>1125</v>
      </c>
      <c r="H113" s="352">
        <f>VLOOKUP($B$5,ComData!$B$15:$FK$185,A113,FALSE)</f>
        <v>582</v>
      </c>
      <c r="I113" s="206">
        <f t="shared" si="3"/>
        <v>654750</v>
      </c>
    </row>
    <row r="114" spans="1:9" ht="15.75">
      <c r="A114" s="354">
        <v>56</v>
      </c>
      <c r="B114" s="234" t="s">
        <v>476</v>
      </c>
      <c r="C114" s="95"/>
      <c r="D114" s="95"/>
      <c r="E114" s="95"/>
      <c r="F114" s="19"/>
      <c r="G114" s="235">
        <v>1186</v>
      </c>
      <c r="H114" s="352">
        <f>VLOOKUP($B$5,ComData!$B$15:$FK$185,A114,FALSE)</f>
        <v>745</v>
      </c>
      <c r="I114" s="206">
        <f t="shared" si="3"/>
        <v>883570</v>
      </c>
    </row>
    <row r="115" spans="1:9" ht="15.75">
      <c r="A115" s="354">
        <v>57</v>
      </c>
      <c r="B115" s="234" t="s">
        <v>477</v>
      </c>
      <c r="C115" s="95"/>
      <c r="D115" s="95"/>
      <c r="E115" s="95"/>
      <c r="F115" s="19"/>
      <c r="G115" s="235">
        <v>1414</v>
      </c>
      <c r="H115" s="352">
        <f>VLOOKUP($B$5,ComData!$B$15:$FK$185,A115,FALSE)</f>
        <v>28</v>
      </c>
      <c r="I115" s="206">
        <f t="shared" si="3"/>
        <v>39592</v>
      </c>
    </row>
    <row r="116" spans="1:9" ht="15.75">
      <c r="A116" s="354">
        <v>58</v>
      </c>
      <c r="B116" s="234" t="s">
        <v>478</v>
      </c>
      <c r="C116" s="95"/>
      <c r="D116" s="95"/>
      <c r="E116" s="95"/>
      <c r="F116" s="19"/>
      <c r="G116" s="235">
        <v>1078</v>
      </c>
      <c r="H116" s="352">
        <f>VLOOKUP($B$5,ComData!$B$15:$FK$185,A116,FALSE)</f>
        <v>171</v>
      </c>
      <c r="I116" s="206">
        <f t="shared" si="3"/>
        <v>184338</v>
      </c>
    </row>
    <row r="117" spans="1:9" ht="15.75">
      <c r="A117" s="354">
        <v>59</v>
      </c>
      <c r="B117" s="234" t="s">
        <v>479</v>
      </c>
      <c r="C117" s="95"/>
      <c r="D117" s="95"/>
      <c r="E117" s="95"/>
      <c r="F117" s="19"/>
      <c r="G117" s="235">
        <v>1127</v>
      </c>
      <c r="H117" s="352">
        <f>VLOOKUP($B$5,ComData!$B$15:$FK$185,A117,FALSE)</f>
        <v>0</v>
      </c>
      <c r="I117" s="206">
        <f t="shared" si="3"/>
        <v>0</v>
      </c>
    </row>
    <row r="118" spans="1:9" ht="15.75">
      <c r="A118" s="354">
        <v>60</v>
      </c>
      <c r="B118" s="234" t="s">
        <v>480</v>
      </c>
      <c r="C118" s="95"/>
      <c r="D118" s="95"/>
      <c r="E118" s="95"/>
      <c r="F118" s="19"/>
      <c r="G118" s="235">
        <v>1125</v>
      </c>
      <c r="H118" s="352">
        <f>VLOOKUP($B$5,ComData!$B$15:$FK$185,A118,FALSE)</f>
        <v>0</v>
      </c>
      <c r="I118" s="206">
        <f t="shared" si="3"/>
        <v>0</v>
      </c>
    </row>
    <row r="119" spans="2:9" ht="15">
      <c r="B119" s="94"/>
      <c r="C119" s="95"/>
      <c r="D119" s="95"/>
      <c r="E119" s="95"/>
      <c r="F119" s="135"/>
      <c r="G119" s="95"/>
      <c r="H119" s="95"/>
      <c r="I119" s="4"/>
    </row>
    <row r="120" spans="2:9" ht="15.75">
      <c r="B120" s="94" t="s">
        <v>498</v>
      </c>
      <c r="C120" s="95"/>
      <c r="D120" s="95"/>
      <c r="E120" s="95"/>
      <c r="F120" s="135"/>
      <c r="G120" s="95"/>
      <c r="H120" s="353"/>
      <c r="I120" s="206">
        <f>SUM(I104:I118)</f>
        <v>3547013</v>
      </c>
    </row>
    <row r="121" spans="2:9" ht="15">
      <c r="B121" s="94"/>
      <c r="C121" s="95"/>
      <c r="D121" s="95"/>
      <c r="E121" s="95"/>
      <c r="F121" s="135"/>
      <c r="G121" s="95"/>
      <c r="H121" s="95"/>
      <c r="I121" s="2"/>
    </row>
    <row r="122" spans="2:10" ht="15">
      <c r="B122" s="241" t="s">
        <v>499</v>
      </c>
      <c r="C122" s="98"/>
      <c r="D122" s="98"/>
      <c r="E122" s="98"/>
      <c r="F122" s="98"/>
      <c r="G122" s="98"/>
      <c r="H122" s="98"/>
      <c r="I122" s="377">
        <f>VLOOKUP($B$5,ComData!$B$15:$FK$185,70,FALSE)</f>
        <v>0.05417607223476298</v>
      </c>
      <c r="J122" s="75"/>
    </row>
    <row r="123" spans="2:9" ht="15">
      <c r="B123" s="242"/>
      <c r="C123" s="98"/>
      <c r="D123" s="98"/>
      <c r="E123" s="98"/>
      <c r="F123" s="98"/>
      <c r="G123" s="98"/>
      <c r="H123" s="98"/>
      <c r="I123" s="378"/>
    </row>
    <row r="124" spans="2:9" ht="15">
      <c r="B124" s="150" t="s">
        <v>517</v>
      </c>
      <c r="C124" s="95"/>
      <c r="D124" s="95"/>
      <c r="E124" s="95"/>
      <c r="F124" s="135"/>
      <c r="G124" s="95"/>
      <c r="H124" s="95"/>
      <c r="I124" s="379">
        <f>VLOOKUP($B$5,ComData!$B$15:$FK$185,71,FALSE)</f>
        <v>130</v>
      </c>
    </row>
    <row r="125" spans="2:9" ht="15">
      <c r="B125" s="94"/>
      <c r="C125" s="95"/>
      <c r="D125" s="95"/>
      <c r="E125" s="95"/>
      <c r="F125" s="135"/>
      <c r="G125" s="95"/>
      <c r="H125" s="95"/>
      <c r="I125" s="2"/>
    </row>
    <row r="126" spans="2:9" ht="15">
      <c r="B126" s="150" t="s">
        <v>518</v>
      </c>
      <c r="C126" s="95"/>
      <c r="D126" s="95"/>
      <c r="E126" s="95"/>
      <c r="F126" s="213"/>
      <c r="G126" s="95"/>
      <c r="H126" s="95"/>
      <c r="I126" s="379">
        <f>VLOOKUP($B$5,ComData!$B$15:$FK$185,72,FALSE)</f>
        <v>158</v>
      </c>
    </row>
    <row r="127" spans="2:9" ht="15">
      <c r="B127" s="94"/>
      <c r="C127" s="95"/>
      <c r="D127" s="95"/>
      <c r="E127" s="95"/>
      <c r="F127" s="135"/>
      <c r="G127" s="95"/>
      <c r="H127" s="95"/>
      <c r="I127" s="4"/>
    </row>
    <row r="128" spans="2:9" ht="18.75" thickBot="1">
      <c r="B128" s="166" t="s">
        <v>500</v>
      </c>
      <c r="C128" s="203"/>
      <c r="D128" s="203"/>
      <c r="E128" s="203"/>
      <c r="F128" s="204"/>
      <c r="G128" s="203"/>
      <c r="H128" s="203"/>
      <c r="I128" s="256">
        <f>VLOOKUP($B$5,ComData!$B$15:$FK$185,73,FALSE)</f>
        <v>192163.23250564333</v>
      </c>
    </row>
    <row r="129" spans="2:9" ht="15">
      <c r="B129" s="94"/>
      <c r="C129" s="95"/>
      <c r="D129" s="95"/>
      <c r="E129" s="95"/>
      <c r="F129" s="213"/>
      <c r="G129" s="95"/>
      <c r="H129" s="95"/>
      <c r="I129" s="4"/>
    </row>
    <row r="130" spans="2:9" ht="18">
      <c r="B130" s="101" t="s">
        <v>501</v>
      </c>
      <c r="C130" s="95"/>
      <c r="D130" s="95"/>
      <c r="E130" s="95"/>
      <c r="F130" s="135"/>
      <c r="G130" s="95"/>
      <c r="H130" s="95"/>
      <c r="I130" s="4"/>
    </row>
    <row r="131" spans="2:9" ht="15">
      <c r="B131" s="94"/>
      <c r="C131" s="95"/>
      <c r="D131" s="95"/>
      <c r="E131" s="95"/>
      <c r="F131" s="135"/>
      <c r="G131" s="95"/>
      <c r="H131" s="95"/>
      <c r="I131" s="4"/>
    </row>
    <row r="132" spans="2:9" ht="15">
      <c r="B132" s="94" t="s">
        <v>502</v>
      </c>
      <c r="C132" s="95"/>
      <c r="D132" s="95"/>
      <c r="E132" s="95"/>
      <c r="F132" s="135">
        <v>530</v>
      </c>
      <c r="G132" s="95" t="s">
        <v>532</v>
      </c>
      <c r="H132" s="95"/>
      <c r="I132" s="4"/>
    </row>
    <row r="133" spans="2:9" ht="15">
      <c r="B133" s="94"/>
      <c r="C133" s="95"/>
      <c r="D133" s="95"/>
      <c r="E133" s="95"/>
      <c r="F133" s="213"/>
      <c r="G133" s="95"/>
      <c r="H133" s="95"/>
      <c r="I133" s="4"/>
    </row>
    <row r="134" spans="2:9" ht="15">
      <c r="B134" s="150" t="s">
        <v>503</v>
      </c>
      <c r="C134" s="95"/>
      <c r="D134" s="95"/>
      <c r="E134" s="95"/>
      <c r="F134" s="135"/>
      <c r="G134" s="95"/>
      <c r="H134" s="95"/>
      <c r="I134" s="357">
        <f>I11*(I47/I56)*I136</f>
        <v>2.1630474782714453</v>
      </c>
    </row>
    <row r="135" spans="2:9" ht="15">
      <c r="B135" s="94"/>
      <c r="C135" s="95"/>
      <c r="D135" s="95"/>
      <c r="E135" s="95"/>
      <c r="F135" s="135"/>
      <c r="G135" s="95"/>
      <c r="H135" s="95"/>
      <c r="I135" s="4"/>
    </row>
    <row r="136" spans="2:9" ht="15">
      <c r="B136" s="150" t="s">
        <v>504</v>
      </c>
      <c r="C136" s="95"/>
      <c r="D136" s="95"/>
      <c r="E136" s="95"/>
      <c r="F136" s="135"/>
      <c r="G136" s="95"/>
      <c r="H136" s="95"/>
      <c r="I136" s="377">
        <f>VLOOKUP($B$5,ComData!$B$15:$FK$185,74,FALSE)</f>
        <v>0.003107720136474156</v>
      </c>
    </row>
    <row r="137" spans="2:9" ht="15">
      <c r="B137" s="94"/>
      <c r="C137" s="95"/>
      <c r="D137" s="95"/>
      <c r="E137" s="95"/>
      <c r="F137" s="213"/>
      <c r="G137" s="95"/>
      <c r="H137" s="95"/>
      <c r="I137" s="4"/>
    </row>
    <row r="138" spans="2:9" ht="18.75" thickBot="1">
      <c r="B138" s="166" t="s">
        <v>505</v>
      </c>
      <c r="C138" s="203"/>
      <c r="D138" s="203"/>
      <c r="E138" s="203"/>
      <c r="F138" s="204"/>
      <c r="G138" s="203"/>
      <c r="H138" s="203"/>
      <c r="I138" s="256">
        <f>VLOOKUP($B$5,ComData!$B$15:$FK$185,75,FALSE)</f>
        <v>1146.4151634838659</v>
      </c>
    </row>
    <row r="139" spans="2:9" ht="15">
      <c r="B139" s="94"/>
      <c r="C139" s="95"/>
      <c r="D139" s="95"/>
      <c r="E139" s="95"/>
      <c r="F139" s="135"/>
      <c r="G139" s="95"/>
      <c r="H139" s="95"/>
      <c r="I139" s="4"/>
    </row>
    <row r="140" spans="2:9" ht="18">
      <c r="B140" s="101" t="s">
        <v>506</v>
      </c>
      <c r="C140" s="95"/>
      <c r="D140" s="95"/>
      <c r="E140" s="95"/>
      <c r="F140" s="135"/>
      <c r="G140" s="95"/>
      <c r="H140" s="95"/>
      <c r="I140" s="4"/>
    </row>
    <row r="141" spans="2:9" ht="15">
      <c r="B141" s="94"/>
      <c r="C141" s="95"/>
      <c r="D141" s="95"/>
      <c r="E141" s="95"/>
      <c r="F141" s="135"/>
      <c r="G141" s="95"/>
      <c r="H141" s="95"/>
      <c r="I141" s="4"/>
    </row>
    <row r="142" spans="2:9" ht="18.75" thickBot="1">
      <c r="B142" s="166" t="s">
        <v>507</v>
      </c>
      <c r="C142" s="203"/>
      <c r="D142" s="203"/>
      <c r="E142" s="203"/>
      <c r="F142" s="204"/>
      <c r="G142" s="203"/>
      <c r="H142" s="203"/>
      <c r="I142" s="256">
        <f>VLOOKUP($B$5,ComData!$B$15:$FK$185,76,FALSE)</f>
        <v>3862089.0933940676</v>
      </c>
    </row>
    <row r="143" spans="2:9" ht="15">
      <c r="B143" s="94"/>
      <c r="C143" s="95"/>
      <c r="D143" s="95"/>
      <c r="E143" s="95"/>
      <c r="F143" s="135"/>
      <c r="G143" s="95"/>
      <c r="H143" s="95"/>
      <c r="I143" s="4"/>
    </row>
    <row r="144" spans="2:9" ht="18">
      <c r="B144" s="101" t="s">
        <v>508</v>
      </c>
      <c r="C144" s="95"/>
      <c r="D144" s="95"/>
      <c r="E144" s="95"/>
      <c r="F144" s="135"/>
      <c r="G144" s="95"/>
      <c r="H144" s="95"/>
      <c r="I144" s="4"/>
    </row>
    <row r="145" spans="2:9" ht="15">
      <c r="B145" s="94"/>
      <c r="C145" s="95"/>
      <c r="D145" s="95"/>
      <c r="E145" s="95"/>
      <c r="F145" s="214"/>
      <c r="G145" s="95"/>
      <c r="H145" s="95"/>
      <c r="I145" s="4"/>
    </row>
    <row r="146" spans="2:10" ht="15">
      <c r="B146" s="94" t="s">
        <v>519</v>
      </c>
      <c r="C146" s="95"/>
      <c r="D146" s="95"/>
      <c r="E146" s="95"/>
      <c r="F146" s="135"/>
      <c r="G146" s="95"/>
      <c r="H146" s="95"/>
      <c r="I146" s="376">
        <f>VLOOKUP($B$5,ComData!$B$15:$FK$185,77,FALSE)</f>
        <v>1.0633333333333332</v>
      </c>
      <c r="J146" s="75"/>
    </row>
    <row r="147" spans="2:9" ht="15">
      <c r="B147" s="94"/>
      <c r="C147" s="95"/>
      <c r="D147" s="95"/>
      <c r="E147" s="95"/>
      <c r="F147" s="183"/>
      <c r="G147" s="98"/>
      <c r="H147" s="95"/>
      <c r="I147" s="4"/>
    </row>
    <row r="148" spans="2:9" ht="18.75" thickBot="1">
      <c r="B148" s="166" t="s">
        <v>509</v>
      </c>
      <c r="C148" s="203"/>
      <c r="D148" s="203"/>
      <c r="E148" s="203"/>
      <c r="F148" s="204"/>
      <c r="G148" s="203"/>
      <c r="H148" s="203"/>
      <c r="I148" s="256">
        <f>VLOOKUP($B$5,ComData!$B$15:$FK$185,78,FALSE)</f>
        <v>4106688.069309025</v>
      </c>
    </row>
    <row r="149" spans="2:9" ht="15">
      <c r="B149" s="94"/>
      <c r="C149" s="95"/>
      <c r="D149" s="95"/>
      <c r="E149" s="95"/>
      <c r="F149" s="135"/>
      <c r="G149" s="95"/>
      <c r="H149" s="95"/>
      <c r="I149" s="4"/>
    </row>
    <row r="150" spans="2:9" ht="18">
      <c r="B150" s="101" t="s">
        <v>510</v>
      </c>
      <c r="C150" s="95"/>
      <c r="D150" s="95"/>
      <c r="E150" s="95"/>
      <c r="F150" s="183"/>
      <c r="G150" s="98"/>
      <c r="H150" s="95"/>
      <c r="I150" s="4"/>
    </row>
    <row r="151" spans="2:9" ht="15">
      <c r="B151" s="94"/>
      <c r="C151" s="95"/>
      <c r="D151" s="95"/>
      <c r="E151" s="95"/>
      <c r="F151" s="135"/>
      <c r="G151" s="95"/>
      <c r="H151" s="95"/>
      <c r="I151" s="4"/>
    </row>
    <row r="152" spans="2:9" ht="15.75">
      <c r="B152" s="94" t="s">
        <v>511</v>
      </c>
      <c r="C152" s="95"/>
      <c r="D152" s="95"/>
      <c r="E152" s="95"/>
      <c r="F152" s="135"/>
      <c r="G152" s="95"/>
      <c r="H152" s="95"/>
      <c r="I152" s="216"/>
    </row>
    <row r="153" spans="2:9" ht="15">
      <c r="B153" s="94"/>
      <c r="C153" s="95"/>
      <c r="D153" s="95"/>
      <c r="E153" s="95"/>
      <c r="F153" s="135"/>
      <c r="G153" s="95"/>
      <c r="H153" s="95"/>
      <c r="I153" s="2"/>
    </row>
    <row r="154" spans="2:9" ht="15">
      <c r="B154" s="94" t="s">
        <v>439</v>
      </c>
      <c r="C154" s="95"/>
      <c r="D154" s="95"/>
      <c r="E154" s="95"/>
      <c r="F154" s="135"/>
      <c r="G154" s="95"/>
      <c r="H154" s="95"/>
      <c r="I154" s="374">
        <f>ComData!$AY$4</f>
        <v>0.752027105942281</v>
      </c>
    </row>
    <row r="155" spans="2:9" ht="15">
      <c r="B155" s="94"/>
      <c r="C155" s="95"/>
      <c r="D155" s="95"/>
      <c r="E155" s="95"/>
      <c r="F155" s="135"/>
      <c r="G155" s="95"/>
      <c r="H155" s="95"/>
      <c r="I155" s="2"/>
    </row>
    <row r="156" spans="2:9" ht="15">
      <c r="B156" s="94" t="s">
        <v>512</v>
      </c>
      <c r="C156" s="95"/>
      <c r="D156" s="95"/>
      <c r="E156" s="95"/>
      <c r="F156" s="135"/>
      <c r="G156" s="95"/>
      <c r="H156" s="95"/>
      <c r="I156" s="2"/>
    </row>
    <row r="157" spans="2:9" ht="15">
      <c r="B157" s="94"/>
      <c r="C157" s="95"/>
      <c r="D157" s="95"/>
      <c r="E157" s="95"/>
      <c r="F157" s="135"/>
      <c r="G157" s="95"/>
      <c r="H157" s="95"/>
      <c r="I157" s="374"/>
    </row>
    <row r="158" spans="2:9" ht="15">
      <c r="B158" s="150" t="s">
        <v>513</v>
      </c>
      <c r="C158" s="95"/>
      <c r="D158" s="95"/>
      <c r="E158" s="95"/>
      <c r="F158" s="135"/>
      <c r="G158" s="95"/>
      <c r="H158" s="95"/>
      <c r="I158" s="221">
        <f>ComData!$AY$2</f>
        <v>2791099335.4320755</v>
      </c>
    </row>
    <row r="159" spans="2:9" ht="15.75">
      <c r="B159" s="100"/>
      <c r="C159" s="95"/>
      <c r="D159" s="95"/>
      <c r="E159" s="95"/>
      <c r="F159" s="135"/>
      <c r="G159" s="95"/>
      <c r="H159" s="95"/>
      <c r="I159" s="221"/>
    </row>
    <row r="160" spans="2:9" ht="15">
      <c r="B160" s="150" t="s">
        <v>514</v>
      </c>
      <c r="C160" s="95"/>
      <c r="D160" s="95"/>
      <c r="E160" s="95"/>
      <c r="F160" s="135"/>
      <c r="G160" s="95"/>
      <c r="H160" s="95"/>
      <c r="I160" s="221">
        <f>ComData!$AY$3</f>
        <v>2098982355.6224074</v>
      </c>
    </row>
    <row r="161" spans="2:9" ht="15">
      <c r="B161" s="94"/>
      <c r="C161" s="95"/>
      <c r="D161" s="95"/>
      <c r="E161" s="95"/>
      <c r="F161" s="135"/>
      <c r="G161" s="95"/>
      <c r="H161" s="95"/>
      <c r="I161" s="2"/>
    </row>
    <row r="162" spans="2:9" ht="15">
      <c r="B162" s="150" t="s">
        <v>515</v>
      </c>
      <c r="C162" s="95"/>
      <c r="D162" s="95"/>
      <c r="E162" s="95"/>
      <c r="F162" s="135"/>
      <c r="G162" s="95"/>
      <c r="H162" s="95"/>
      <c r="I162" s="375"/>
    </row>
    <row r="163" spans="2:9" ht="15">
      <c r="B163" s="94"/>
      <c r="C163" s="95"/>
      <c r="D163" s="95"/>
      <c r="E163" s="95"/>
      <c r="F163" s="135"/>
      <c r="G163" s="95"/>
      <c r="H163" s="95"/>
      <c r="I163" s="4"/>
    </row>
    <row r="164" spans="2:9" ht="15">
      <c r="B164" s="94" t="s">
        <v>235</v>
      </c>
      <c r="C164" s="95"/>
      <c r="D164" s="95"/>
      <c r="E164" s="95"/>
      <c r="F164" s="135"/>
      <c r="G164" s="95"/>
      <c r="H164" s="95"/>
      <c r="I164" s="4"/>
    </row>
    <row r="165" spans="2:9" ht="15.75">
      <c r="B165" s="100"/>
      <c r="C165" s="95"/>
      <c r="D165" s="95"/>
      <c r="E165" s="95"/>
      <c r="F165" s="135"/>
      <c r="G165" s="95"/>
      <c r="H165" s="95"/>
      <c r="I165" s="206"/>
    </row>
    <row r="166" spans="2:9" ht="15">
      <c r="B166" s="94" t="s">
        <v>445</v>
      </c>
      <c r="C166" s="95"/>
      <c r="D166" s="95"/>
      <c r="E166" s="95"/>
      <c r="F166" s="135"/>
      <c r="G166" s="95"/>
      <c r="H166" s="95"/>
      <c r="I166" s="4"/>
    </row>
    <row r="167" spans="2:9" ht="18">
      <c r="B167" s="101"/>
      <c r="C167" s="95"/>
      <c r="D167" s="95"/>
      <c r="E167" s="95"/>
      <c r="F167" s="135"/>
      <c r="G167" s="95"/>
      <c r="H167" s="95"/>
      <c r="I167" s="136"/>
    </row>
    <row r="168" spans="2:9" ht="15">
      <c r="B168" s="94" t="s">
        <v>520</v>
      </c>
      <c r="C168" s="95"/>
      <c r="D168" s="95"/>
      <c r="E168" s="95"/>
      <c r="F168" s="135"/>
      <c r="G168" s="95"/>
      <c r="H168" s="95"/>
      <c r="I168" s="4"/>
    </row>
    <row r="169" spans="2:9" ht="15">
      <c r="B169" s="94"/>
      <c r="C169" s="95"/>
      <c r="D169" s="95"/>
      <c r="E169" s="95"/>
      <c r="F169" s="135"/>
      <c r="G169" s="95"/>
      <c r="H169" s="95"/>
      <c r="I169" s="4"/>
    </row>
    <row r="170" spans="2:9" ht="15.75">
      <c r="B170" s="150" t="s">
        <v>446</v>
      </c>
      <c r="C170" s="95"/>
      <c r="D170" s="95"/>
      <c r="E170" s="95"/>
      <c r="F170" s="217">
        <v>1</v>
      </c>
      <c r="G170" s="95"/>
      <c r="H170" s="95"/>
      <c r="I170" s="243"/>
    </row>
    <row r="171" spans="2:9" ht="15">
      <c r="B171" s="94"/>
      <c r="C171" s="95"/>
      <c r="D171" s="95"/>
      <c r="E171" s="95"/>
      <c r="F171" s="217"/>
      <c r="G171" s="95"/>
      <c r="H171" s="95"/>
      <c r="I171" s="4"/>
    </row>
    <row r="172" spans="2:9" ht="15">
      <c r="B172" s="94" t="s">
        <v>456</v>
      </c>
      <c r="C172" s="95"/>
      <c r="D172" s="95"/>
      <c r="E172" s="95"/>
      <c r="F172" s="217">
        <f>ComData!P3</f>
        <v>0.027</v>
      </c>
      <c r="G172" s="95"/>
      <c r="H172" s="95"/>
      <c r="I172" s="4"/>
    </row>
    <row r="173" spans="2:9" ht="15">
      <c r="B173" s="94"/>
      <c r="C173" s="95"/>
      <c r="D173" s="95"/>
      <c r="E173" s="95"/>
      <c r="F173" s="217"/>
      <c r="G173" s="95"/>
      <c r="H173" s="95"/>
      <c r="I173" s="4"/>
    </row>
    <row r="174" spans="2:9" ht="15">
      <c r="B174" s="94" t="s">
        <v>447</v>
      </c>
      <c r="C174" s="95"/>
      <c r="D174" s="95"/>
      <c r="E174" s="95"/>
      <c r="F174" s="217">
        <f>rebasing</f>
        <v>0</v>
      </c>
      <c r="G174" s="95"/>
      <c r="H174" s="95"/>
      <c r="I174" s="136"/>
    </row>
    <row r="175" spans="2:9" ht="15.75">
      <c r="B175" s="94"/>
      <c r="C175" s="95"/>
      <c r="D175" s="95"/>
      <c r="E175" s="95"/>
      <c r="F175" s="217"/>
      <c r="G175" s="95"/>
      <c r="H175" s="95"/>
      <c r="I175" s="206"/>
    </row>
    <row r="176" spans="2:9" ht="15">
      <c r="B176" s="94" t="s">
        <v>448</v>
      </c>
      <c r="C176" s="95"/>
      <c r="D176" s="95"/>
      <c r="E176" s="95"/>
      <c r="F176" s="217">
        <v>0</v>
      </c>
      <c r="G176" s="95"/>
      <c r="H176" s="95"/>
      <c r="I176" s="4"/>
    </row>
    <row r="177" spans="2:9" ht="15">
      <c r="B177" s="94"/>
      <c r="C177" s="95"/>
      <c r="D177" s="95"/>
      <c r="E177" s="95"/>
      <c r="F177" s="217"/>
      <c r="G177" s="95"/>
      <c r="H177" s="95"/>
      <c r="I177" s="136"/>
    </row>
    <row r="178" spans="2:9" ht="15.75">
      <c r="B178" s="94"/>
      <c r="C178" s="95"/>
      <c r="D178" s="95"/>
      <c r="E178" s="95"/>
      <c r="F178" s="217"/>
      <c r="G178" s="95"/>
      <c r="H178" s="95"/>
      <c r="I178" s="206"/>
    </row>
    <row r="179" spans="2:9" ht="15">
      <c r="B179" s="94" t="s">
        <v>449</v>
      </c>
      <c r="C179" s="95"/>
      <c r="D179" s="95"/>
      <c r="E179" s="95"/>
      <c r="F179" s="217">
        <f>F170+F172+F174+F176</f>
        <v>1.027</v>
      </c>
      <c r="G179" s="95"/>
      <c r="H179" s="95"/>
      <c r="I179" s="4"/>
    </row>
    <row r="180" spans="2:9" ht="15">
      <c r="B180" s="94"/>
      <c r="C180" s="95"/>
      <c r="D180" s="95"/>
      <c r="E180" s="95"/>
      <c r="F180" s="135"/>
      <c r="G180" s="95"/>
      <c r="H180" s="95"/>
      <c r="I180" s="4"/>
    </row>
    <row r="181" spans="2:9" ht="18.75" thickBot="1">
      <c r="B181" s="166" t="s">
        <v>516</v>
      </c>
      <c r="C181" s="203"/>
      <c r="D181" s="203"/>
      <c r="E181" s="203"/>
      <c r="F181" s="204"/>
      <c r="G181" s="203"/>
      <c r="H181" s="203"/>
      <c r="I181" s="256">
        <f>VLOOKUP($B$5,ComData!$B$15:$FK$185,79,FALSE)</f>
        <v>3088340.7437701593</v>
      </c>
    </row>
    <row r="182" spans="2:9" ht="15.75">
      <c r="B182" s="94"/>
      <c r="C182" s="95"/>
      <c r="D182" s="95"/>
      <c r="E182" s="95"/>
      <c r="F182" s="135"/>
      <c r="G182" s="95"/>
      <c r="H182" s="95"/>
      <c r="I182" s="206"/>
    </row>
    <row r="183" spans="2:9" ht="18.75" thickBot="1">
      <c r="B183" s="222" t="s">
        <v>35</v>
      </c>
      <c r="C183" s="223"/>
      <c r="D183" s="223"/>
      <c r="E183" s="223"/>
      <c r="F183" s="224"/>
      <c r="G183" s="223"/>
      <c r="H183" s="223"/>
      <c r="I183" s="373">
        <f>I181/I11</f>
        <v>1161.903966805929</v>
      </c>
    </row>
    <row r="184" spans="2:9" ht="15">
      <c r="B184" s="94"/>
      <c r="C184" s="95"/>
      <c r="D184" s="95"/>
      <c r="E184" s="95"/>
      <c r="F184" s="135"/>
      <c r="G184" s="95"/>
      <c r="H184" s="95"/>
      <c r="I184" s="136"/>
    </row>
    <row r="185" spans="2:9" ht="15.75" thickBot="1">
      <c r="B185" s="227"/>
      <c r="C185" s="175"/>
      <c r="D185" s="175"/>
      <c r="E185" s="175"/>
      <c r="F185" s="176"/>
      <c r="G185" s="70"/>
      <c r="H185" s="70"/>
      <c r="I185" s="5"/>
    </row>
    <row r="187" ht="12.75">
      <c r="I187" s="21"/>
    </row>
  </sheetData>
  <mergeCells count="1">
    <mergeCell ref="B5: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tabColor indexed="15"/>
  </sheetPr>
  <dimension ref="B2:K212"/>
  <sheetViews>
    <sheetView zoomScale="85" zoomScaleNormal="85" workbookViewId="0" topLeftCell="A170">
      <selection activeCell="J212" sqref="J212"/>
    </sheetView>
  </sheetViews>
  <sheetFormatPr defaultColWidth="9.140625" defaultRowHeight="12.75"/>
  <cols>
    <col min="1" max="1" width="9.140625" style="3" customWidth="1"/>
    <col min="2" max="8" width="13.8515625" style="3" customWidth="1"/>
    <col min="9" max="9" width="18.28125" style="3" bestFit="1" customWidth="1"/>
    <col min="10" max="10" width="20.8515625" style="3" bestFit="1" customWidth="1"/>
    <col min="11" max="11" width="12.7109375" style="3" bestFit="1" customWidth="1"/>
    <col min="12" max="16384" width="9.140625" style="3" customWidth="1"/>
  </cols>
  <sheetData>
    <row r="1" ht="13.5" thickBot="1"/>
    <row r="2" spans="2:7" ht="18">
      <c r="B2" s="22" t="s">
        <v>41</v>
      </c>
      <c r="C2" s="23"/>
      <c r="D2" s="23"/>
      <c r="E2" s="23"/>
      <c r="F2" s="23"/>
      <c r="G2" s="24"/>
    </row>
    <row r="3" spans="2:7" ht="12.75">
      <c r="B3" s="10"/>
      <c r="C3" s="25"/>
      <c r="D3" s="25"/>
      <c r="E3" s="25"/>
      <c r="F3" s="25"/>
      <c r="G3" s="26"/>
    </row>
    <row r="4" spans="2:7" ht="13.5" thickBot="1">
      <c r="B4" s="10"/>
      <c r="C4" s="25"/>
      <c r="D4" s="25"/>
      <c r="E4" s="25"/>
      <c r="F4" s="25"/>
      <c r="G4" s="26"/>
    </row>
    <row r="5" spans="2:7" ht="18.75" thickBot="1">
      <c r="B5" s="527" t="str">
        <f>name</f>
        <v>Adur</v>
      </c>
      <c r="C5" s="529"/>
      <c r="D5" s="25"/>
      <c r="E5" s="25"/>
      <c r="F5" s="25"/>
      <c r="G5" s="26"/>
    </row>
    <row r="6" spans="2:7" ht="12.75">
      <c r="B6" s="10"/>
      <c r="C6" s="25"/>
      <c r="D6" s="25"/>
      <c r="E6" s="25"/>
      <c r="F6" s="25"/>
      <c r="G6" s="26"/>
    </row>
    <row r="7" spans="2:7" ht="13.5" thickBot="1">
      <c r="B7" s="11"/>
      <c r="C7" s="29"/>
      <c r="D7" s="29"/>
      <c r="E7" s="29"/>
      <c r="F7" s="29"/>
      <c r="G7" s="30"/>
    </row>
    <row r="9" ht="13.5" thickBot="1"/>
    <row r="10" spans="2:9" ht="18">
      <c r="B10" s="109" t="s">
        <v>56</v>
      </c>
      <c r="C10" s="116"/>
      <c r="D10" s="116"/>
      <c r="E10" s="116"/>
      <c r="F10" s="89"/>
      <c r="G10" s="116"/>
      <c r="H10" s="116"/>
      <c r="I10" s="90"/>
    </row>
    <row r="11" spans="2:9" ht="15.75">
      <c r="B11" s="110" t="s">
        <v>373</v>
      </c>
      <c r="C11" s="196"/>
      <c r="D11" s="196"/>
      <c r="E11" s="196"/>
      <c r="F11" s="69"/>
      <c r="G11" s="196"/>
      <c r="H11" s="342">
        <f>VLOOKUP($B$5,ComData!$B$15:$FK$185,2,FALSE)</f>
        <v>2658</v>
      </c>
      <c r="I11" s="197"/>
    </row>
    <row r="12" spans="2:9" ht="16.5" thickBot="1">
      <c r="B12" s="198"/>
      <c r="C12" s="175"/>
      <c r="D12" s="175"/>
      <c r="E12" s="175"/>
      <c r="F12" s="70"/>
      <c r="G12" s="175"/>
      <c r="H12" s="175"/>
      <c r="I12" s="5"/>
    </row>
    <row r="13" spans="2:9" ht="18">
      <c r="B13" s="36" t="s">
        <v>354</v>
      </c>
      <c r="C13" s="196"/>
      <c r="D13" s="196"/>
      <c r="E13" s="196"/>
      <c r="F13" s="199"/>
      <c r="G13" s="95"/>
      <c r="H13" s="95"/>
      <c r="I13" s="4"/>
    </row>
    <row r="14" spans="2:9" ht="15.75">
      <c r="B14" s="200"/>
      <c r="C14" s="196"/>
      <c r="D14" s="196"/>
      <c r="E14" s="196"/>
      <c r="F14" s="199"/>
      <c r="G14" s="95"/>
      <c r="H14" s="95"/>
      <c r="I14" s="4"/>
    </row>
    <row r="15" spans="2:9" ht="15.75">
      <c r="B15" s="100" t="s">
        <v>374</v>
      </c>
      <c r="C15" s="95"/>
      <c r="D15" s="95"/>
      <c r="E15" s="95"/>
      <c r="F15" s="135"/>
      <c r="G15" s="95"/>
      <c r="H15" s="95"/>
      <c r="I15" s="4"/>
    </row>
    <row r="16" spans="2:9" ht="15">
      <c r="B16" s="94" t="s">
        <v>375</v>
      </c>
      <c r="C16" s="95"/>
      <c r="D16" s="69"/>
      <c r="E16" s="98"/>
      <c r="F16" s="135">
        <v>1400</v>
      </c>
      <c r="G16" s="95"/>
      <c r="H16" s="95"/>
      <c r="I16" s="4"/>
    </row>
    <row r="17" spans="2:9" ht="15">
      <c r="B17" s="94"/>
      <c r="C17" s="95"/>
      <c r="D17" s="95"/>
      <c r="E17" s="95"/>
      <c r="F17" s="135"/>
      <c r="G17" s="95"/>
      <c r="H17" s="95"/>
      <c r="I17" s="4"/>
    </row>
    <row r="18" spans="2:9" ht="15">
      <c r="B18" s="94" t="s">
        <v>376</v>
      </c>
      <c r="C18" s="95"/>
      <c r="D18" s="95"/>
      <c r="E18" s="95"/>
      <c r="F18" s="201">
        <v>357000</v>
      </c>
      <c r="G18" s="95"/>
      <c r="H18" s="95"/>
      <c r="I18" s="4"/>
    </row>
    <row r="19" spans="2:9" ht="15">
      <c r="B19" s="94"/>
      <c r="C19" s="95"/>
      <c r="D19" s="95"/>
      <c r="E19" s="95"/>
      <c r="F19" s="135"/>
      <c r="G19" s="98"/>
      <c r="H19" s="95"/>
      <c r="I19" s="4"/>
    </row>
    <row r="20" spans="2:9" ht="15">
      <c r="B20" s="94" t="s">
        <v>297</v>
      </c>
      <c r="C20" s="95"/>
      <c r="D20" s="95"/>
      <c r="E20" s="95"/>
      <c r="F20" s="201">
        <v>233</v>
      </c>
      <c r="G20" s="95"/>
      <c r="H20" s="95"/>
      <c r="I20" s="4"/>
    </row>
    <row r="21" spans="2:9" ht="15">
      <c r="B21" s="94"/>
      <c r="C21" s="95"/>
      <c r="D21" s="95"/>
      <c r="E21" s="95"/>
      <c r="F21" s="135"/>
      <c r="G21" s="95"/>
      <c r="H21" s="95"/>
      <c r="I21" s="4"/>
    </row>
    <row r="22" spans="2:9" ht="15">
      <c r="B22" s="94" t="s">
        <v>377</v>
      </c>
      <c r="C22" s="95"/>
      <c r="D22" s="95"/>
      <c r="E22" s="95"/>
      <c r="F22" s="135"/>
      <c r="G22" s="95"/>
      <c r="H22" s="202"/>
      <c r="I22" s="4"/>
    </row>
    <row r="23" spans="2:9" ht="15">
      <c r="B23" s="94"/>
      <c r="C23" s="95"/>
      <c r="D23" s="95"/>
      <c r="E23" s="95"/>
      <c r="F23" s="135"/>
      <c r="G23" s="95"/>
      <c r="H23" s="95"/>
      <c r="I23" s="4"/>
    </row>
    <row r="24" spans="2:9" ht="15.75">
      <c r="B24" s="100" t="s">
        <v>378</v>
      </c>
      <c r="C24" s="95"/>
      <c r="D24" s="95"/>
      <c r="E24" s="95"/>
      <c r="F24" s="135"/>
      <c r="G24" s="95"/>
      <c r="H24" s="95"/>
      <c r="I24" s="4"/>
    </row>
    <row r="25" spans="2:9" ht="15">
      <c r="B25" s="94"/>
      <c r="C25" s="95"/>
      <c r="D25" s="95"/>
      <c r="E25" s="95"/>
      <c r="F25" s="135"/>
      <c r="G25" s="95"/>
      <c r="H25" s="95"/>
      <c r="I25" s="4"/>
    </row>
    <row r="26" spans="2:9" ht="15">
      <c r="B26" s="94" t="s">
        <v>376</v>
      </c>
      <c r="C26" s="95"/>
      <c r="D26" s="95"/>
      <c r="E26" s="95"/>
      <c r="F26" s="201">
        <v>11268</v>
      </c>
      <c r="G26" s="95"/>
      <c r="H26" s="95"/>
      <c r="I26" s="4"/>
    </row>
    <row r="27" spans="2:9" ht="15">
      <c r="B27" s="94"/>
      <c r="C27" s="95"/>
      <c r="D27" s="95"/>
      <c r="E27" s="95"/>
      <c r="F27" s="135"/>
      <c r="G27" s="95"/>
      <c r="H27" s="95"/>
      <c r="I27" s="4"/>
    </row>
    <row r="28" spans="2:9" ht="15">
      <c r="B28" s="94" t="s">
        <v>297</v>
      </c>
      <c r="C28" s="95"/>
      <c r="D28" s="95"/>
      <c r="E28" s="95"/>
      <c r="F28" s="144">
        <v>247</v>
      </c>
      <c r="G28" s="95"/>
      <c r="H28" s="95"/>
      <c r="I28" s="4"/>
    </row>
    <row r="29" spans="2:9" ht="15">
      <c r="B29" s="94"/>
      <c r="C29" s="95"/>
      <c r="D29" s="95"/>
      <c r="E29" s="95"/>
      <c r="F29" s="144"/>
      <c r="G29" s="95"/>
      <c r="H29" s="95"/>
      <c r="I29" s="4"/>
    </row>
    <row r="30" spans="2:9" ht="15">
      <c r="B30" s="94" t="s">
        <v>379</v>
      </c>
      <c r="C30" s="95"/>
      <c r="D30" s="95"/>
      <c r="E30" s="95"/>
      <c r="F30" s="144"/>
      <c r="G30" s="95"/>
      <c r="H30" s="95"/>
      <c r="I30" s="4"/>
    </row>
    <row r="31" spans="2:9" ht="15">
      <c r="B31" s="94"/>
      <c r="C31" s="95"/>
      <c r="D31" s="95"/>
      <c r="E31" s="95"/>
      <c r="F31" s="144"/>
      <c r="G31" s="95"/>
      <c r="H31" s="95"/>
      <c r="I31" s="4"/>
    </row>
    <row r="32" spans="2:9" ht="16.5" thickBot="1">
      <c r="B32" s="166" t="s">
        <v>380</v>
      </c>
      <c r="C32" s="203"/>
      <c r="D32" s="203"/>
      <c r="E32" s="203"/>
      <c r="F32" s="204"/>
      <c r="G32" s="203"/>
      <c r="H32" s="343"/>
      <c r="I32" s="205">
        <f>VLOOKUP($B$5,ComData!$B$15:$FK$185,3,FALSE)</f>
        <v>650114</v>
      </c>
    </row>
    <row r="33" spans="2:9" ht="15">
      <c r="B33" s="99"/>
      <c r="C33" s="69"/>
      <c r="D33" s="69"/>
      <c r="E33" s="95"/>
      <c r="F33" s="135"/>
      <c r="G33" s="95"/>
      <c r="H33" s="95"/>
      <c r="I33" s="4"/>
    </row>
    <row r="34" spans="2:9" ht="18">
      <c r="B34" s="101" t="s">
        <v>355</v>
      </c>
      <c r="C34" s="95"/>
      <c r="D34" s="95"/>
      <c r="E34" s="95"/>
      <c r="F34" s="135"/>
      <c r="G34" s="95"/>
      <c r="H34" s="95"/>
      <c r="I34" s="4"/>
    </row>
    <row r="35" spans="2:9" ht="18">
      <c r="B35" s="101"/>
      <c r="C35" s="95"/>
      <c r="D35" s="95"/>
      <c r="E35" s="95"/>
      <c r="F35" s="135"/>
      <c r="G35" s="95"/>
      <c r="H35" s="95"/>
      <c r="I35" s="4"/>
    </row>
    <row r="36" spans="2:11" ht="15">
      <c r="B36" s="94" t="s">
        <v>382</v>
      </c>
      <c r="C36" s="95"/>
      <c r="D36" s="95"/>
      <c r="E36" s="95"/>
      <c r="F36" s="151">
        <v>0.858</v>
      </c>
      <c r="G36" s="95"/>
      <c r="H36" s="201"/>
      <c r="I36" s="344">
        <f>VLOOKUP($B$5,ComData!$B$15:$FK$185,4,FALSE)</f>
        <v>557797.812</v>
      </c>
      <c r="K36" s="75"/>
    </row>
    <row r="37" spans="2:9" ht="15">
      <c r="B37" s="94"/>
      <c r="C37" s="95"/>
      <c r="D37" s="95"/>
      <c r="E37" s="95"/>
      <c r="F37" s="135"/>
      <c r="G37" s="95"/>
      <c r="H37" s="95"/>
      <c r="I37" s="4"/>
    </row>
    <row r="38" spans="2:9" ht="15.75">
      <c r="B38" s="94" t="s">
        <v>383</v>
      </c>
      <c r="C38" s="95"/>
      <c r="D38" s="95"/>
      <c r="E38" s="95"/>
      <c r="F38" s="135"/>
      <c r="G38" s="95"/>
      <c r="H38" s="95"/>
      <c r="I38" s="206"/>
    </row>
    <row r="39" spans="2:9" ht="15">
      <c r="B39" s="94"/>
      <c r="C39" s="95"/>
      <c r="D39" s="95"/>
      <c r="E39" s="95"/>
      <c r="F39" s="135"/>
      <c r="G39" s="95"/>
      <c r="H39" s="95"/>
      <c r="I39" s="4"/>
    </row>
    <row r="40" spans="2:10" ht="15">
      <c r="B40" s="150" t="s">
        <v>384</v>
      </c>
      <c r="C40" s="95"/>
      <c r="D40" s="95"/>
      <c r="E40" s="95"/>
      <c r="F40" s="151">
        <f>1-F36</f>
        <v>0.14200000000000002</v>
      </c>
      <c r="G40" s="98" t="s">
        <v>812</v>
      </c>
      <c r="H40" s="95"/>
      <c r="I40" s="344">
        <f>VLOOKUP($B$5,ComData!$B$15:$FK$185,6,FALSE)</f>
        <v>92316.18800000001</v>
      </c>
      <c r="J40" s="75"/>
    </row>
    <row r="41" spans="2:9" ht="15">
      <c r="B41" s="94"/>
      <c r="C41" s="95"/>
      <c r="D41" s="95"/>
      <c r="E41" s="95"/>
      <c r="F41" s="135"/>
      <c r="G41" s="95"/>
      <c r="H41" s="95"/>
      <c r="I41" s="4"/>
    </row>
    <row r="42" spans="2:10" ht="15">
      <c r="B42" s="150" t="s">
        <v>385</v>
      </c>
      <c r="C42" s="95"/>
      <c r="D42" s="95"/>
      <c r="E42" s="95"/>
      <c r="F42" s="135"/>
      <c r="G42" s="95"/>
      <c r="H42" s="95"/>
      <c r="I42" s="346">
        <f>VLOOKUP($B$5,ComData!$B$15:$FK$185,7,FALSE)</f>
        <v>0.5417381489841986</v>
      </c>
      <c r="J42" s="383"/>
    </row>
    <row r="43" spans="2:9" ht="15">
      <c r="B43" s="94"/>
      <c r="C43" s="95"/>
      <c r="D43" s="95"/>
      <c r="E43" s="95"/>
      <c r="F43" s="135"/>
      <c r="G43" s="95"/>
      <c r="H43" s="95"/>
      <c r="I43" s="4"/>
    </row>
    <row r="44" spans="2:9" ht="15">
      <c r="B44" s="94" t="s">
        <v>386</v>
      </c>
      <c r="C44" s="95"/>
      <c r="D44" s="95"/>
      <c r="E44" s="95"/>
      <c r="F44" s="135"/>
      <c r="G44" s="135"/>
      <c r="H44" s="95"/>
      <c r="I44" s="4"/>
    </row>
    <row r="45" spans="2:9" ht="15">
      <c r="B45" s="94"/>
      <c r="C45" s="95"/>
      <c r="D45" s="95"/>
      <c r="E45" s="95"/>
      <c r="F45" s="135"/>
      <c r="G45" s="135"/>
      <c r="H45" s="95"/>
      <c r="I45" s="4"/>
    </row>
    <row r="46" spans="2:9" ht="15">
      <c r="B46" s="150" t="s">
        <v>387</v>
      </c>
      <c r="C46" s="95"/>
      <c r="D46" s="95"/>
      <c r="E46" s="95"/>
      <c r="F46" s="183">
        <v>0.89</v>
      </c>
      <c r="G46" s="98" t="s">
        <v>356</v>
      </c>
      <c r="H46" s="95"/>
      <c r="I46" s="347">
        <f>VLOOKUP($B$5,ComData!$B$15:$FK$185,8,FALSE)</f>
        <v>1281.6</v>
      </c>
    </row>
    <row r="47" spans="2:9" ht="15">
      <c r="B47" s="94"/>
      <c r="C47" s="95"/>
      <c r="D47" s="95"/>
      <c r="E47" s="95"/>
      <c r="F47" s="135"/>
      <c r="G47" s="95"/>
      <c r="H47" s="95"/>
      <c r="I47" s="4"/>
    </row>
    <row r="48" spans="2:9" ht="15">
      <c r="B48" s="150" t="s">
        <v>388</v>
      </c>
      <c r="C48" s="95"/>
      <c r="D48" s="95"/>
      <c r="E48" s="95"/>
      <c r="F48" s="183">
        <v>0.13</v>
      </c>
      <c r="G48" s="98" t="s">
        <v>357</v>
      </c>
      <c r="H48" s="95"/>
      <c r="I48" s="347">
        <f>VLOOKUP($B$5,ComData!$B$15:$FK$185,9,FALSE)</f>
        <v>158.34</v>
      </c>
    </row>
    <row r="49" spans="2:9" ht="15">
      <c r="B49" s="94"/>
      <c r="C49" s="95"/>
      <c r="D49" s="95"/>
      <c r="E49" s="95"/>
      <c r="F49" s="135"/>
      <c r="G49" s="95"/>
      <c r="H49" s="95"/>
      <c r="I49" s="4"/>
    </row>
    <row r="50" spans="2:9" ht="15">
      <c r="B50" s="150" t="s">
        <v>389</v>
      </c>
      <c r="C50" s="95"/>
      <c r="D50" s="95"/>
      <c r="E50" s="95"/>
      <c r="F50" s="135"/>
      <c r="G50" s="95"/>
      <c r="H50" s="95"/>
      <c r="I50" s="380">
        <f>ComData!H12</f>
        <v>0.49254443952950233</v>
      </c>
    </row>
    <row r="51" spans="2:9" ht="15">
      <c r="B51" s="94"/>
      <c r="C51" s="95"/>
      <c r="D51" s="95"/>
      <c r="E51" s="95"/>
      <c r="F51" s="135"/>
      <c r="G51" s="95"/>
      <c r="H51" s="95"/>
      <c r="I51" s="4"/>
    </row>
    <row r="52" spans="2:9" ht="15">
      <c r="B52" s="94" t="s">
        <v>390</v>
      </c>
      <c r="C52" s="95"/>
      <c r="D52" s="95"/>
      <c r="E52" s="95"/>
      <c r="F52" s="135"/>
      <c r="G52" s="95"/>
      <c r="H52" s="95"/>
      <c r="I52" s="4"/>
    </row>
    <row r="53" spans="2:9" ht="15">
      <c r="B53" s="94"/>
      <c r="C53" s="95"/>
      <c r="D53" s="95"/>
      <c r="E53" s="95"/>
      <c r="F53" s="135"/>
      <c r="G53" s="95"/>
      <c r="H53" s="95"/>
      <c r="I53" s="4"/>
    </row>
    <row r="54" spans="2:9" ht="16.5" thickBot="1">
      <c r="B54" s="166" t="s">
        <v>391</v>
      </c>
      <c r="C54" s="203"/>
      <c r="D54" s="203"/>
      <c r="E54" s="203"/>
      <c r="F54" s="204"/>
      <c r="G54" s="203"/>
      <c r="H54" s="203"/>
      <c r="I54" s="205">
        <f>VLOOKUP($B$5,ComData!$B$15:$FK$185,10,FALSE)</f>
        <v>659334.2355076331</v>
      </c>
    </row>
    <row r="55" spans="2:9" ht="15">
      <c r="B55" s="94"/>
      <c r="C55" s="95"/>
      <c r="D55" s="95"/>
      <c r="E55" s="95"/>
      <c r="F55" s="135"/>
      <c r="G55" s="95"/>
      <c r="H55" s="95"/>
      <c r="I55" s="4"/>
    </row>
    <row r="56" spans="2:9" ht="18">
      <c r="B56" s="101" t="s">
        <v>392</v>
      </c>
      <c r="C56" s="95"/>
      <c r="D56" s="95"/>
      <c r="E56" s="95"/>
      <c r="F56" s="135"/>
      <c r="G56" s="95"/>
      <c r="H56" s="95"/>
      <c r="I56" s="136"/>
    </row>
    <row r="57" spans="2:9" ht="15">
      <c r="B57" s="94"/>
      <c r="C57" s="95"/>
      <c r="D57" s="95"/>
      <c r="E57" s="95"/>
      <c r="F57" s="135"/>
      <c r="G57" s="95"/>
      <c r="H57" s="95"/>
      <c r="I57" s="4"/>
    </row>
    <row r="58" spans="2:9" ht="15.75">
      <c r="B58" s="94" t="s">
        <v>393</v>
      </c>
      <c r="C58" s="95"/>
      <c r="D58" s="95"/>
      <c r="E58" s="95"/>
      <c r="F58" s="183"/>
      <c r="G58" s="95"/>
      <c r="H58" s="95"/>
      <c r="I58" s="206"/>
    </row>
    <row r="59" spans="2:10" ht="15">
      <c r="B59" s="94"/>
      <c r="C59" s="95"/>
      <c r="D59" s="95"/>
      <c r="E59" s="95"/>
      <c r="F59" s="183">
        <v>0.8</v>
      </c>
      <c r="G59" s="95"/>
      <c r="H59" s="95"/>
      <c r="I59" s="347">
        <f>VLOOKUP($B$5,ComData!$B$15:$FK$185,11,FALSE)</f>
        <v>527467.3884061065</v>
      </c>
      <c r="J59" s="75"/>
    </row>
    <row r="60" spans="2:9" ht="15.75">
      <c r="B60" s="94" t="s">
        <v>394</v>
      </c>
      <c r="C60" s="95"/>
      <c r="D60" s="95"/>
      <c r="E60" s="95"/>
      <c r="F60" s="135"/>
      <c r="G60" s="95"/>
      <c r="H60" s="95"/>
      <c r="I60" s="206"/>
    </row>
    <row r="61" spans="2:9" ht="15">
      <c r="B61" s="94"/>
      <c r="C61" s="95"/>
      <c r="D61" s="95"/>
      <c r="E61" s="95"/>
      <c r="F61" s="135"/>
      <c r="G61" s="95"/>
      <c r="H61" s="95"/>
      <c r="I61" s="4"/>
    </row>
    <row r="62" spans="2:9" ht="15">
      <c r="B62" s="150" t="s">
        <v>395</v>
      </c>
      <c r="C62" s="95"/>
      <c r="D62" s="95"/>
      <c r="E62" s="95"/>
      <c r="F62" s="183">
        <f>1-F59</f>
        <v>0.19999999999999996</v>
      </c>
      <c r="G62" s="98" t="s">
        <v>183</v>
      </c>
      <c r="H62" s="95"/>
      <c r="I62" s="347">
        <f>VLOOKUP($B$5,ComData!$B$15:$FK$185,13,FALSE)</f>
        <v>131866.8471015266</v>
      </c>
    </row>
    <row r="63" spans="2:9" ht="15">
      <c r="B63" s="94"/>
      <c r="C63" s="95"/>
      <c r="D63" s="95"/>
      <c r="E63" s="95"/>
      <c r="F63" s="183"/>
      <c r="G63" s="98"/>
      <c r="H63" s="95"/>
      <c r="I63" s="136"/>
    </row>
    <row r="64" spans="2:9" ht="15">
      <c r="B64" s="150" t="s">
        <v>396</v>
      </c>
      <c r="C64" s="95"/>
      <c r="D64" s="95"/>
      <c r="E64" s="95"/>
      <c r="F64" s="135"/>
      <c r="G64" s="95"/>
      <c r="H64" s="95"/>
      <c r="I64" s="361">
        <f>VLOOKUP($B$5,ComData!$B$15:$FK$185,14,FALSE)</f>
        <v>1.3780662151993979</v>
      </c>
    </row>
    <row r="65" spans="2:9" ht="15">
      <c r="B65" s="94"/>
      <c r="C65" s="95"/>
      <c r="D65" s="95"/>
      <c r="E65" s="95"/>
      <c r="F65" s="135"/>
      <c r="G65" s="95"/>
      <c r="H65" s="95"/>
      <c r="I65" s="4"/>
    </row>
    <row r="66" spans="2:9" ht="15">
      <c r="B66" s="94" t="s">
        <v>397</v>
      </c>
      <c r="C66" s="95"/>
      <c r="D66" s="95"/>
      <c r="E66" s="95"/>
      <c r="F66" s="210">
        <v>1</v>
      </c>
      <c r="G66" s="98" t="s">
        <v>184</v>
      </c>
      <c r="H66" s="95"/>
      <c r="I66" s="4"/>
    </row>
    <row r="67" spans="2:9" ht="15">
      <c r="B67" s="94" t="s">
        <v>297</v>
      </c>
      <c r="C67" s="95"/>
      <c r="D67" s="95"/>
      <c r="E67" s="95"/>
      <c r="F67" s="210">
        <v>2.3</v>
      </c>
      <c r="G67" s="98" t="s">
        <v>185</v>
      </c>
      <c r="H67" s="95"/>
      <c r="I67" s="4"/>
    </row>
    <row r="68" spans="2:9" ht="15">
      <c r="B68" s="94"/>
      <c r="C68" s="95"/>
      <c r="D68" s="95"/>
      <c r="E68" s="95"/>
      <c r="F68" s="135"/>
      <c r="G68" s="95"/>
      <c r="H68" s="95"/>
      <c r="I68" s="4"/>
    </row>
    <row r="69" spans="2:9" ht="15">
      <c r="B69" s="150" t="s">
        <v>398</v>
      </c>
      <c r="C69" s="95"/>
      <c r="D69" s="95"/>
      <c r="E69" s="95"/>
      <c r="F69" s="135"/>
      <c r="G69" s="95"/>
      <c r="H69" s="95"/>
      <c r="I69" s="345">
        <f>VLOOKUP($B$5,ComData!$B$15:$FK$185,15,FALSE)</f>
        <v>0.7091798344620015</v>
      </c>
    </row>
    <row r="70" spans="2:9" ht="15">
      <c r="B70" s="94"/>
      <c r="C70" s="95"/>
      <c r="D70" s="95"/>
      <c r="E70" s="95"/>
      <c r="F70" s="135"/>
      <c r="G70" s="95"/>
      <c r="H70" s="95"/>
      <c r="I70" s="348"/>
    </row>
    <row r="71" spans="2:9" ht="15">
      <c r="B71" s="150" t="s">
        <v>399</v>
      </c>
      <c r="C71" s="95"/>
      <c r="D71" s="95"/>
      <c r="E71" s="95"/>
      <c r="F71" s="135"/>
      <c r="G71" s="95"/>
      <c r="H71" s="95"/>
      <c r="I71" s="345">
        <f>VLOOKUP($B$5,ComData!$B$15:$FK$185,16,FALSE)</f>
        <v>0.2908201655379985</v>
      </c>
    </row>
    <row r="72" spans="2:9" ht="15.75">
      <c r="B72" s="94"/>
      <c r="C72" s="95"/>
      <c r="D72" s="95"/>
      <c r="E72" s="95"/>
      <c r="F72" s="135"/>
      <c r="G72" s="95"/>
      <c r="H72" s="95"/>
      <c r="I72" s="206"/>
    </row>
    <row r="73" spans="2:9" ht="16.5" thickBot="1">
      <c r="B73" s="166" t="s">
        <v>400</v>
      </c>
      <c r="C73" s="203"/>
      <c r="D73" s="203"/>
      <c r="E73" s="203"/>
      <c r="F73" s="204"/>
      <c r="G73" s="203"/>
      <c r="H73" s="203"/>
      <c r="I73" s="205">
        <f>VLOOKUP($B$5,ComData!$B$15:$FK$185,17,FALSE)</f>
        <v>709188.635301585</v>
      </c>
    </row>
    <row r="74" spans="2:9" ht="15">
      <c r="B74" s="94"/>
      <c r="C74" s="95"/>
      <c r="D74" s="95"/>
      <c r="E74" s="95"/>
      <c r="F74" s="135"/>
      <c r="G74" s="95"/>
      <c r="H74" s="95"/>
      <c r="I74" s="4"/>
    </row>
    <row r="75" spans="2:9" ht="18">
      <c r="B75" s="101" t="s">
        <v>401</v>
      </c>
      <c r="C75" s="95"/>
      <c r="D75" s="95"/>
      <c r="E75" s="95"/>
      <c r="F75" s="135"/>
      <c r="G75" s="95"/>
      <c r="H75" s="95"/>
      <c r="I75" s="379"/>
    </row>
    <row r="76" spans="2:9" ht="15">
      <c r="B76" s="94"/>
      <c r="C76" s="95"/>
      <c r="D76" s="95"/>
      <c r="E76" s="95"/>
      <c r="F76" s="135"/>
      <c r="G76" s="95"/>
      <c r="H76" s="95"/>
      <c r="I76" s="2"/>
    </row>
    <row r="77" spans="2:10" ht="15">
      <c r="B77" s="94" t="s">
        <v>402</v>
      </c>
      <c r="C77" s="95"/>
      <c r="D77" s="95"/>
      <c r="E77" s="95"/>
      <c r="F77" s="151">
        <v>0.676</v>
      </c>
      <c r="G77" s="95"/>
      <c r="H77" s="95"/>
      <c r="I77" s="221">
        <f>VLOOKUP($B$5,ComData!$B$15:$FK$185,18,FALSE)</f>
        <v>479411.51746387145</v>
      </c>
      <c r="J77" s="75"/>
    </row>
    <row r="78" spans="2:9" ht="15">
      <c r="B78" s="94"/>
      <c r="C78" s="95"/>
      <c r="D78" s="95"/>
      <c r="E78" s="95"/>
      <c r="F78" s="135"/>
      <c r="G78" s="95"/>
      <c r="H78" s="95"/>
      <c r="I78" s="2"/>
    </row>
    <row r="79" spans="2:9" ht="15">
      <c r="B79" s="94" t="s">
        <v>403</v>
      </c>
      <c r="C79" s="95"/>
      <c r="D79" s="95"/>
      <c r="E79" s="95"/>
      <c r="F79" s="135"/>
      <c r="G79" s="95"/>
      <c r="H79" s="95"/>
      <c r="I79" s="221">
        <f>$I$82+$I$95</f>
        <v>143045.4414106543</v>
      </c>
    </row>
    <row r="80" spans="2:9" ht="15">
      <c r="B80" s="94"/>
      <c r="C80" s="95"/>
      <c r="D80" s="95"/>
      <c r="E80" s="95"/>
      <c r="F80" s="135"/>
      <c r="G80" s="95"/>
      <c r="H80" s="95"/>
      <c r="I80" s="2"/>
    </row>
    <row r="81" spans="2:9" ht="15">
      <c r="B81" s="94"/>
      <c r="C81" s="95"/>
      <c r="D81" s="95"/>
      <c r="E81" s="95"/>
      <c r="F81" s="135"/>
      <c r="G81" s="95"/>
      <c r="H81" s="95"/>
      <c r="I81" s="379"/>
    </row>
    <row r="82" spans="2:9" ht="15">
      <c r="B82" s="150" t="s">
        <v>404</v>
      </c>
      <c r="C82" s="95"/>
      <c r="D82" s="95"/>
      <c r="E82" s="95"/>
      <c r="F82" s="135"/>
      <c r="G82" s="95"/>
      <c r="H82" s="95"/>
      <c r="I82" s="221">
        <f>VLOOKUP($B$5,ComData!$B$15:$FK$185,20,FALSE)</f>
        <v>96158.36091310962</v>
      </c>
    </row>
    <row r="83" spans="2:9" ht="15">
      <c r="B83" s="94"/>
      <c r="C83" s="95"/>
      <c r="D83" s="95"/>
      <c r="E83" s="95"/>
      <c r="F83" s="135"/>
      <c r="G83" s="95"/>
      <c r="H83" s="95"/>
      <c r="I83" s="2"/>
    </row>
    <row r="84" spans="2:9" ht="15">
      <c r="B84" s="94" t="s">
        <v>405</v>
      </c>
      <c r="C84" s="95"/>
      <c r="D84" s="95"/>
      <c r="E84" s="95"/>
      <c r="F84" s="135"/>
      <c r="G84" s="95"/>
      <c r="H84" s="95"/>
      <c r="I84" s="2"/>
    </row>
    <row r="85" spans="2:10" ht="15">
      <c r="B85" s="94"/>
      <c r="C85" s="95"/>
      <c r="D85" s="95"/>
      <c r="E85" s="95"/>
      <c r="F85" s="135"/>
      <c r="G85" s="95"/>
      <c r="H85" s="95"/>
      <c r="I85" s="2"/>
      <c r="J85" s="75"/>
    </row>
    <row r="86" spans="2:9" ht="15">
      <c r="B86" s="150" t="s">
        <v>406</v>
      </c>
      <c r="C86" s="95"/>
      <c r="D86" s="95"/>
      <c r="E86" s="95"/>
      <c r="F86" s="151">
        <v>0.228</v>
      </c>
      <c r="G86" s="98" t="s">
        <v>186</v>
      </c>
      <c r="H86" s="95"/>
      <c r="I86" s="221">
        <f>VLOOKUP($B$5,ComData!$B$15:$FK$185,21,FALSE)</f>
        <v>161695.00884876138</v>
      </c>
    </row>
    <row r="87" spans="2:9" ht="15">
      <c r="B87" s="94"/>
      <c r="C87" s="95"/>
      <c r="D87" s="95"/>
      <c r="E87" s="95"/>
      <c r="F87" s="135"/>
      <c r="G87" s="95"/>
      <c r="H87" s="95"/>
      <c r="I87" s="2"/>
    </row>
    <row r="88" spans="2:9" ht="15">
      <c r="B88" s="150" t="s">
        <v>407</v>
      </c>
      <c r="C88" s="95"/>
      <c r="D88" s="95"/>
      <c r="E88" s="95"/>
      <c r="F88" s="135"/>
      <c r="G88" s="95"/>
      <c r="H88" s="95"/>
      <c r="I88" s="390">
        <f>VLOOKUP($B$5,ComData!$B$15:$FK$185,22,FALSE)</f>
        <v>0.5946897285063986</v>
      </c>
    </row>
    <row r="89" spans="2:9" ht="15">
      <c r="B89" s="150" t="s">
        <v>408</v>
      </c>
      <c r="C89" s="95"/>
      <c r="D89" s="95"/>
      <c r="E89" s="95"/>
      <c r="F89" s="135"/>
      <c r="G89" s="95"/>
      <c r="H89" s="95"/>
      <c r="I89" s="2"/>
    </row>
    <row r="90" spans="2:9" ht="15">
      <c r="B90" s="94"/>
      <c r="C90" s="95"/>
      <c r="D90" s="95"/>
      <c r="E90" s="95"/>
      <c r="F90" s="135"/>
      <c r="G90" s="95"/>
      <c r="H90" s="95"/>
      <c r="I90" s="2"/>
    </row>
    <row r="91" spans="2:9" ht="15">
      <c r="B91" s="94" t="s">
        <v>247</v>
      </c>
      <c r="C91" s="95"/>
      <c r="D91" s="95"/>
      <c r="E91" s="95"/>
      <c r="F91" s="135"/>
      <c r="G91" s="95"/>
      <c r="H91" s="95"/>
      <c r="I91" s="388">
        <f>VLOOKUP($B$5,ComData!$B$15:$FK$185,23,FALSE)</f>
        <v>10.439481466501702</v>
      </c>
    </row>
    <row r="92" spans="2:9" ht="15">
      <c r="B92" s="94"/>
      <c r="C92" s="95"/>
      <c r="D92" s="95"/>
      <c r="E92" s="95"/>
      <c r="F92" s="135"/>
      <c r="G92" s="95"/>
      <c r="H92" s="95"/>
      <c r="I92" s="2"/>
    </row>
    <row r="93" spans="2:9" ht="15">
      <c r="B93" s="94" t="s">
        <v>409</v>
      </c>
      <c r="C93" s="95"/>
      <c r="D93" s="95"/>
      <c r="E93" s="95"/>
      <c r="F93" s="236"/>
      <c r="G93" s="391"/>
      <c r="H93" s="95"/>
      <c r="I93" s="388">
        <f>ComData!X12</f>
        <v>17.55450105506468</v>
      </c>
    </row>
    <row r="94" spans="2:9" ht="15">
      <c r="B94" s="94"/>
      <c r="C94" s="95"/>
      <c r="D94" s="95"/>
      <c r="E94" s="95"/>
      <c r="F94" s="236"/>
      <c r="G94" s="391"/>
      <c r="H94" s="95"/>
      <c r="I94" s="2"/>
    </row>
    <row r="95" spans="2:9" ht="15">
      <c r="B95" s="150" t="s">
        <v>410</v>
      </c>
      <c r="C95" s="95"/>
      <c r="D95" s="95"/>
      <c r="E95" s="95"/>
      <c r="F95" s="236"/>
      <c r="G95" s="391"/>
      <c r="H95" s="95"/>
      <c r="I95" s="221">
        <f>VLOOKUP($B$5,ComData!$B$15:$FK$185,24,FALSE)</f>
        <v>46887.0804975447</v>
      </c>
    </row>
    <row r="96" spans="2:9" ht="15">
      <c r="B96" s="94"/>
      <c r="C96" s="95"/>
      <c r="D96" s="95"/>
      <c r="E96" s="95"/>
      <c r="F96" s="236"/>
      <c r="G96" s="391"/>
      <c r="H96" s="95"/>
      <c r="I96" s="2"/>
    </row>
    <row r="97" spans="2:9" ht="15">
      <c r="B97" s="94" t="s">
        <v>411</v>
      </c>
      <c r="C97" s="95"/>
      <c r="D97" s="95"/>
      <c r="E97" s="95"/>
      <c r="F97" s="236"/>
      <c r="G97" s="391"/>
      <c r="H97" s="95"/>
      <c r="I97" s="2"/>
    </row>
    <row r="98" spans="2:9" ht="15">
      <c r="B98" s="94"/>
      <c r="C98" s="95"/>
      <c r="D98" s="95"/>
      <c r="E98" s="95"/>
      <c r="F98" s="236"/>
      <c r="G98" s="391"/>
      <c r="H98" s="95"/>
      <c r="I98" s="2"/>
    </row>
    <row r="99" spans="2:10" ht="15">
      <c r="B99" s="150" t="s">
        <v>412</v>
      </c>
      <c r="C99" s="95"/>
      <c r="D99" s="95"/>
      <c r="E99" s="95"/>
      <c r="F99" s="151">
        <v>0.096</v>
      </c>
      <c r="G99" s="98" t="s">
        <v>186</v>
      </c>
      <c r="H99" s="95"/>
      <c r="I99" s="221">
        <f>VLOOKUP($B$5,ComData!$B$15:$FK$185,25,FALSE)</f>
        <v>68082.10898895215</v>
      </c>
      <c r="J99" s="75"/>
    </row>
    <row r="100" spans="2:9" ht="15">
      <c r="B100" s="94"/>
      <c r="C100" s="95"/>
      <c r="D100" s="95"/>
      <c r="E100" s="95"/>
      <c r="F100" s="135"/>
      <c r="G100" s="95"/>
      <c r="H100" s="95"/>
      <c r="I100" s="2"/>
    </row>
    <row r="101" spans="2:9" ht="15">
      <c r="B101" s="150" t="s">
        <v>413</v>
      </c>
      <c r="C101" s="95"/>
      <c r="D101" s="95"/>
      <c r="E101" s="95"/>
      <c r="F101" s="135"/>
      <c r="G101" s="95"/>
      <c r="H101" s="95"/>
      <c r="I101" s="390">
        <f>VLOOKUP($B$5,ComData!$B$15:$FK$185,26,FALSE)</f>
        <v>0.688684313600702</v>
      </c>
    </row>
    <row r="102" spans="2:9" ht="15">
      <c r="B102" s="94"/>
      <c r="C102" s="95"/>
      <c r="D102" s="95"/>
      <c r="E102" s="95"/>
      <c r="F102" s="135"/>
      <c r="G102" s="95"/>
      <c r="H102" s="95"/>
      <c r="I102" s="2"/>
    </row>
    <row r="103" spans="2:9" ht="15">
      <c r="B103" s="94" t="s">
        <v>414</v>
      </c>
      <c r="C103" s="95"/>
      <c r="D103" s="95"/>
      <c r="E103" s="95"/>
      <c r="F103" s="135"/>
      <c r="G103" s="95"/>
      <c r="H103" s="95"/>
      <c r="I103" s="380">
        <f>VLOOKUP($B$5,ComData!$B$15:$FK$185,27,FALSE)</f>
        <v>0.05417607223476298</v>
      </c>
    </row>
    <row r="104" spans="2:9" ht="15">
      <c r="B104" s="94"/>
      <c r="C104" s="95"/>
      <c r="D104" s="95"/>
      <c r="E104" s="95"/>
      <c r="F104" s="135"/>
      <c r="G104" s="95"/>
      <c r="H104" s="95"/>
      <c r="I104" s="2"/>
    </row>
    <row r="105" spans="2:10" ht="15">
      <c r="B105" s="94" t="s">
        <v>409</v>
      </c>
      <c r="C105" s="95"/>
      <c r="D105" s="95"/>
      <c r="E105" s="95"/>
      <c r="F105" s="135"/>
      <c r="G105" s="95"/>
      <c r="H105" s="95"/>
      <c r="I105" s="380">
        <f>ComData!AB12</f>
        <v>0.07866604649597721</v>
      </c>
      <c r="J105" s="385"/>
    </row>
    <row r="106" spans="2:9" ht="15">
      <c r="B106" s="94"/>
      <c r="C106" s="95"/>
      <c r="D106" s="95"/>
      <c r="E106" s="95"/>
      <c r="F106" s="135"/>
      <c r="G106" s="95"/>
      <c r="H106" s="95"/>
      <c r="I106" s="2"/>
    </row>
    <row r="107" spans="2:10" ht="15">
      <c r="B107" s="150" t="s">
        <v>453</v>
      </c>
      <c r="C107" s="95"/>
      <c r="D107" s="95"/>
      <c r="E107" s="95"/>
      <c r="F107" s="135"/>
      <c r="G107" s="95"/>
      <c r="H107" s="95"/>
      <c r="I107" s="389">
        <f>VLOOKUP($B$5,ComData!$B$15:$FK$185,28,FALSE)</f>
        <v>130</v>
      </c>
      <c r="J107" s="384"/>
    </row>
    <row r="108" spans="2:10" ht="15">
      <c r="B108" s="94"/>
      <c r="C108" s="95"/>
      <c r="D108" s="95"/>
      <c r="E108" s="95"/>
      <c r="F108" s="135"/>
      <c r="G108" s="95"/>
      <c r="H108" s="95"/>
      <c r="I108" s="2"/>
      <c r="J108" s="21"/>
    </row>
    <row r="109" spans="2:9" ht="15">
      <c r="B109" s="150" t="s">
        <v>454</v>
      </c>
      <c r="C109" s="95"/>
      <c r="D109" s="95"/>
      <c r="E109" s="95"/>
      <c r="F109" s="135"/>
      <c r="G109" s="95"/>
      <c r="H109" s="95"/>
      <c r="I109" s="389">
        <f>VLOOKUP($B$5,ComData!$B$15:$FK$185,29,FALSE)</f>
        <v>158</v>
      </c>
    </row>
    <row r="110" spans="2:9" ht="15">
      <c r="B110" s="94"/>
      <c r="C110" s="95"/>
      <c r="D110" s="95"/>
      <c r="E110" s="95"/>
      <c r="F110" s="135"/>
      <c r="G110" s="95"/>
      <c r="H110" s="95"/>
      <c r="I110" s="4"/>
    </row>
    <row r="111" spans="2:9" ht="16.5" thickBot="1">
      <c r="B111" s="166" t="s">
        <v>415</v>
      </c>
      <c r="C111" s="203"/>
      <c r="D111" s="203"/>
      <c r="E111" s="203"/>
      <c r="F111" s="204"/>
      <c r="G111" s="203"/>
      <c r="H111" s="203"/>
      <c r="I111" s="205">
        <f>VLOOKUP($B$5,ComData!$B$15:$FK$185,30,FALSE)</f>
        <v>622456.9588745257</v>
      </c>
    </row>
    <row r="112" spans="2:9" ht="15">
      <c r="B112" s="94"/>
      <c r="C112" s="95"/>
      <c r="D112" s="95"/>
      <c r="E112" s="95"/>
      <c r="F112" s="135"/>
      <c r="G112" s="95"/>
      <c r="H112" s="95"/>
      <c r="I112" s="4"/>
    </row>
    <row r="113" spans="2:9" ht="18">
      <c r="B113" s="101" t="s">
        <v>416</v>
      </c>
      <c r="C113" s="95"/>
      <c r="D113" s="95"/>
      <c r="E113" s="95"/>
      <c r="F113" s="135"/>
      <c r="G113" s="95"/>
      <c r="H113" s="95"/>
      <c r="I113" s="379"/>
    </row>
    <row r="114" spans="2:9" ht="15">
      <c r="B114" s="94"/>
      <c r="C114" s="95"/>
      <c r="D114" s="95"/>
      <c r="E114" s="95"/>
      <c r="F114" s="135"/>
      <c r="G114" s="95"/>
      <c r="H114" s="95"/>
      <c r="I114" s="2"/>
    </row>
    <row r="115" spans="2:9" ht="15">
      <c r="B115" s="94" t="s">
        <v>417</v>
      </c>
      <c r="C115" s="95"/>
      <c r="D115" s="95"/>
      <c r="E115" s="95"/>
      <c r="F115" s="135"/>
      <c r="G115" s="95"/>
      <c r="H115" s="95"/>
      <c r="I115" s="2"/>
    </row>
    <row r="116" spans="2:9" ht="15">
      <c r="B116" s="94"/>
      <c r="C116" s="95"/>
      <c r="D116" s="95"/>
      <c r="E116" s="95"/>
      <c r="F116" s="135"/>
      <c r="G116" s="95"/>
      <c r="H116" s="95"/>
      <c r="I116" s="2"/>
    </row>
    <row r="117" spans="2:9" ht="15">
      <c r="B117" s="94" t="s">
        <v>418</v>
      </c>
      <c r="C117" s="95"/>
      <c r="D117" s="95"/>
      <c r="E117" s="95"/>
      <c r="F117" s="135"/>
      <c r="G117" s="95"/>
      <c r="H117" s="95"/>
      <c r="I117" s="389">
        <f>VLOOKUP($B$5,ComData!$B$15:$FK$185,31,FALSE)</f>
        <v>0</v>
      </c>
    </row>
    <row r="118" spans="2:9" ht="15">
      <c r="B118" s="94"/>
      <c r="C118" s="95"/>
      <c r="D118" s="95"/>
      <c r="E118" s="95"/>
      <c r="F118" s="135"/>
      <c r="G118" s="95"/>
      <c r="H118" s="95"/>
      <c r="I118" s="2"/>
    </row>
    <row r="119" spans="2:9" ht="15">
      <c r="B119" s="94" t="s">
        <v>419</v>
      </c>
      <c r="C119" s="95"/>
      <c r="D119" s="95"/>
      <c r="E119" s="95"/>
      <c r="F119" s="135"/>
      <c r="G119" s="95"/>
      <c r="H119" s="95"/>
      <c r="I119" s="2"/>
    </row>
    <row r="120" spans="2:9" ht="15">
      <c r="B120" s="94"/>
      <c r="C120" s="95"/>
      <c r="D120" s="95"/>
      <c r="E120" s="95"/>
      <c r="F120" s="135"/>
      <c r="G120" s="95"/>
      <c r="H120" s="95"/>
      <c r="I120" s="2"/>
    </row>
    <row r="121" spans="2:9" ht="15">
      <c r="B121" s="150" t="s">
        <v>420</v>
      </c>
      <c r="C121" s="95"/>
      <c r="D121" s="95"/>
      <c r="E121" s="95"/>
      <c r="F121" s="135"/>
      <c r="G121" s="95"/>
      <c r="H121" s="95"/>
      <c r="I121" s="390">
        <f>VLOOKUP($B$5,ComData!$B$15:$FK$185,32,FALSE)</f>
        <v>0</v>
      </c>
    </row>
    <row r="122" spans="2:9" ht="15">
      <c r="B122" s="94"/>
      <c r="C122" s="95"/>
      <c r="D122" s="95"/>
      <c r="E122" s="95"/>
      <c r="F122" s="135"/>
      <c r="G122" s="95"/>
      <c r="H122" s="95"/>
      <c r="I122" s="2"/>
    </row>
    <row r="123" spans="2:9" ht="15">
      <c r="B123" s="94" t="s">
        <v>421</v>
      </c>
      <c r="C123" s="95"/>
      <c r="D123" s="95"/>
      <c r="E123" s="95"/>
      <c r="F123" s="213">
        <v>1</v>
      </c>
      <c r="G123" s="95"/>
      <c r="H123" s="95"/>
      <c r="I123" s="2"/>
    </row>
    <row r="124" spans="2:9" ht="15">
      <c r="B124" s="94" t="s">
        <v>422</v>
      </c>
      <c r="C124" s="95"/>
      <c r="D124" s="95"/>
      <c r="E124" s="95"/>
      <c r="F124" s="135">
        <v>25</v>
      </c>
      <c r="G124" s="95" t="s">
        <v>187</v>
      </c>
      <c r="H124" s="95"/>
      <c r="I124" s="2"/>
    </row>
    <row r="125" spans="2:9" ht="15">
      <c r="B125" s="94" t="s">
        <v>423</v>
      </c>
      <c r="C125" s="95"/>
      <c r="D125" s="95"/>
      <c r="E125" s="95"/>
      <c r="F125" s="135"/>
      <c r="G125" s="95"/>
      <c r="H125" s="95"/>
      <c r="I125" s="2"/>
    </row>
    <row r="126" spans="2:9" ht="15">
      <c r="B126" s="94"/>
      <c r="C126" s="95"/>
      <c r="D126" s="95"/>
      <c r="E126" s="95"/>
      <c r="F126" s="135"/>
      <c r="G126" s="95"/>
      <c r="H126" s="95"/>
      <c r="I126" s="2"/>
    </row>
    <row r="127" spans="2:9" ht="15">
      <c r="B127" s="94" t="s">
        <v>421</v>
      </c>
      <c r="C127" s="95"/>
      <c r="D127" s="95"/>
      <c r="E127" s="95"/>
      <c r="F127" s="213">
        <v>0.75</v>
      </c>
      <c r="G127" s="95"/>
      <c r="H127" s="95"/>
      <c r="I127" s="2"/>
    </row>
    <row r="128" spans="2:9" ht="15">
      <c r="B128" s="94" t="s">
        <v>422</v>
      </c>
      <c r="C128" s="95"/>
      <c r="D128" s="95"/>
      <c r="E128" s="95"/>
      <c r="F128" s="135">
        <v>50</v>
      </c>
      <c r="G128" s="95" t="s">
        <v>187</v>
      </c>
      <c r="H128" s="95"/>
      <c r="I128" s="2"/>
    </row>
    <row r="129" spans="2:9" ht="15">
      <c r="B129" s="94" t="s">
        <v>423</v>
      </c>
      <c r="C129" s="95"/>
      <c r="D129" s="95"/>
      <c r="E129" s="95"/>
      <c r="F129" s="135"/>
      <c r="G129" s="95"/>
      <c r="H129" s="95"/>
      <c r="I129" s="2"/>
    </row>
    <row r="130" spans="2:9" ht="15">
      <c r="B130" s="94"/>
      <c r="C130" s="95"/>
      <c r="D130" s="95"/>
      <c r="E130" s="95"/>
      <c r="F130" s="135"/>
      <c r="G130" s="95"/>
      <c r="H130" s="95"/>
      <c r="I130" s="2"/>
    </row>
    <row r="131" spans="2:9" ht="15">
      <c r="B131" s="94" t="s">
        <v>421</v>
      </c>
      <c r="C131" s="95"/>
      <c r="D131" s="95"/>
      <c r="E131" s="95"/>
      <c r="F131" s="213">
        <v>0.5</v>
      </c>
      <c r="G131" s="95"/>
      <c r="H131" s="95"/>
      <c r="I131" s="2"/>
    </row>
    <row r="132" spans="2:9" ht="15">
      <c r="B132" s="94" t="s">
        <v>422</v>
      </c>
      <c r="C132" s="95"/>
      <c r="D132" s="95"/>
      <c r="E132" s="95"/>
      <c r="F132" s="135">
        <v>75</v>
      </c>
      <c r="G132" s="95" t="s">
        <v>187</v>
      </c>
      <c r="H132" s="95"/>
      <c r="I132" s="2"/>
    </row>
    <row r="133" spans="2:9" ht="15">
      <c r="B133" s="94" t="s">
        <v>423</v>
      </c>
      <c r="C133" s="95"/>
      <c r="D133" s="95"/>
      <c r="E133" s="95"/>
      <c r="F133" s="135"/>
      <c r="G133" s="95"/>
      <c r="H133" s="95"/>
      <c r="I133" s="2"/>
    </row>
    <row r="134" spans="2:9" ht="15">
      <c r="B134" s="94"/>
      <c r="C134" s="95"/>
      <c r="D134" s="95"/>
      <c r="E134" s="95"/>
      <c r="F134" s="135"/>
      <c r="G134" s="95"/>
      <c r="H134" s="95"/>
      <c r="I134" s="2"/>
    </row>
    <row r="135" spans="2:9" ht="15">
      <c r="B135" s="94" t="s">
        <v>421</v>
      </c>
      <c r="C135" s="95"/>
      <c r="D135" s="95"/>
      <c r="E135" s="95"/>
      <c r="F135" s="213">
        <v>0.25</v>
      </c>
      <c r="G135" s="95"/>
      <c r="H135" s="95"/>
      <c r="I135" s="2"/>
    </row>
    <row r="136" spans="2:9" ht="15">
      <c r="B136" s="94" t="s">
        <v>422</v>
      </c>
      <c r="C136" s="95"/>
      <c r="D136" s="95"/>
      <c r="E136" s="95"/>
      <c r="F136" s="135">
        <v>100</v>
      </c>
      <c r="G136" s="95" t="s">
        <v>187</v>
      </c>
      <c r="H136" s="95"/>
      <c r="I136" s="2"/>
    </row>
    <row r="137" spans="2:9" ht="15">
      <c r="B137" s="94" t="s">
        <v>423</v>
      </c>
      <c r="C137" s="95"/>
      <c r="D137" s="95"/>
      <c r="E137" s="95"/>
      <c r="F137" s="135"/>
      <c r="G137" s="95"/>
      <c r="H137" s="95"/>
      <c r="I137" s="2"/>
    </row>
    <row r="138" spans="2:9" ht="15">
      <c r="B138" s="94"/>
      <c r="C138" s="95"/>
      <c r="D138" s="95"/>
      <c r="E138" s="95"/>
      <c r="F138" s="135"/>
      <c r="G138" s="95"/>
      <c r="H138" s="95"/>
      <c r="I138" s="2"/>
    </row>
    <row r="139" spans="2:9" ht="15">
      <c r="B139" s="94" t="s">
        <v>424</v>
      </c>
      <c r="C139" s="95"/>
      <c r="D139" s="95"/>
      <c r="E139" s="95"/>
      <c r="F139" s="135">
        <v>0</v>
      </c>
      <c r="G139" s="95"/>
      <c r="H139" s="95"/>
      <c r="I139" s="2"/>
    </row>
    <row r="140" spans="2:9" ht="15">
      <c r="B140" s="94"/>
      <c r="C140" s="95"/>
      <c r="D140" s="95"/>
      <c r="E140" s="95"/>
      <c r="F140" s="135"/>
      <c r="G140" s="95"/>
      <c r="H140" s="95"/>
      <c r="I140" s="2"/>
    </row>
    <row r="141" spans="2:9" ht="15">
      <c r="B141" s="94"/>
      <c r="C141" s="95"/>
      <c r="D141" s="95"/>
      <c r="E141" s="95"/>
      <c r="F141" s="135"/>
      <c r="G141" s="95"/>
      <c r="H141" s="95"/>
      <c r="I141" s="379"/>
    </row>
    <row r="142" spans="2:9" ht="15">
      <c r="B142" s="150" t="s">
        <v>425</v>
      </c>
      <c r="C142" s="95"/>
      <c r="D142" s="95"/>
      <c r="E142" s="95"/>
      <c r="F142" s="135"/>
      <c r="G142" s="95"/>
      <c r="H142" s="95"/>
      <c r="I142" s="389"/>
    </row>
    <row r="143" spans="2:9" ht="15">
      <c r="B143" s="94"/>
      <c r="C143" s="95"/>
      <c r="D143" s="95"/>
      <c r="E143" s="95"/>
      <c r="F143" s="135"/>
      <c r="G143" s="95"/>
      <c r="H143" s="95"/>
      <c r="I143" s="2"/>
    </row>
    <row r="144" spans="2:10" ht="15">
      <c r="B144" s="150" t="s">
        <v>426</v>
      </c>
      <c r="C144" s="95"/>
      <c r="D144" s="95"/>
      <c r="E144" s="95"/>
      <c r="F144" s="214">
        <v>85</v>
      </c>
      <c r="G144" s="95"/>
      <c r="H144" s="95"/>
      <c r="I144" s="221">
        <f>($F$144*($F$146*$H$11)+(($F$148*$F$150*$H$11*($I$154/$I$157))))</f>
        <v>48556.04522178421</v>
      </c>
      <c r="J144" s="360"/>
    </row>
    <row r="145" spans="2:9" ht="15">
      <c r="B145" s="94"/>
      <c r="C145" s="95"/>
      <c r="D145" s="95"/>
      <c r="E145" s="95"/>
      <c r="F145" s="135"/>
      <c r="G145" s="95"/>
      <c r="H145" s="95"/>
      <c r="I145" s="2"/>
    </row>
    <row r="146" spans="2:9" ht="15">
      <c r="B146" s="94" t="s">
        <v>427</v>
      </c>
      <c r="C146" s="95"/>
      <c r="D146" s="95"/>
      <c r="E146" s="95"/>
      <c r="F146" s="183">
        <v>0.1</v>
      </c>
      <c r="G146" s="98" t="s">
        <v>188</v>
      </c>
      <c r="H146" s="95"/>
      <c r="I146" s="2"/>
    </row>
    <row r="147" spans="2:9" ht="15">
      <c r="B147" s="94"/>
      <c r="C147" s="95"/>
      <c r="D147" s="95"/>
      <c r="E147" s="95"/>
      <c r="F147" s="215"/>
      <c r="G147" s="95"/>
      <c r="H147" s="95"/>
      <c r="I147" s="2"/>
    </row>
    <row r="148" spans="2:9" ht="15">
      <c r="B148" s="150" t="s">
        <v>428</v>
      </c>
      <c r="C148" s="95"/>
      <c r="D148" s="95"/>
      <c r="E148" s="95"/>
      <c r="F148" s="214">
        <v>85</v>
      </c>
      <c r="G148" s="95"/>
      <c r="H148" s="95"/>
      <c r="I148" s="2"/>
    </row>
    <row r="149" spans="2:9" ht="15">
      <c r="B149" s="94"/>
      <c r="C149" s="95"/>
      <c r="D149" s="95"/>
      <c r="E149" s="95"/>
      <c r="F149" s="135"/>
      <c r="G149" s="95"/>
      <c r="H149" s="95"/>
      <c r="I149" s="2"/>
    </row>
    <row r="150" spans="2:9" ht="15">
      <c r="B150" s="94" t="s">
        <v>427</v>
      </c>
      <c r="C150" s="95"/>
      <c r="D150" s="95"/>
      <c r="E150" s="95"/>
      <c r="F150" s="183">
        <v>0.9</v>
      </c>
      <c r="G150" s="98" t="s">
        <v>188</v>
      </c>
      <c r="H150" s="95"/>
      <c r="I150" s="2"/>
    </row>
    <row r="151" spans="2:9" ht="15">
      <c r="B151" s="94"/>
      <c r="C151" s="95"/>
      <c r="D151" s="95"/>
      <c r="E151" s="95"/>
      <c r="F151" s="135"/>
      <c r="G151" s="95"/>
      <c r="H151" s="95"/>
      <c r="I151" s="2"/>
    </row>
    <row r="152" spans="2:9" ht="15">
      <c r="B152" s="150" t="s">
        <v>429</v>
      </c>
      <c r="C152" s="95"/>
      <c r="D152" s="95"/>
      <c r="E152" s="95"/>
      <c r="F152" s="135"/>
      <c r="G152" s="95"/>
      <c r="H152" s="95"/>
      <c r="I152" s="388">
        <f>VLOOKUP($B$5,ComData!$B$15:$FK$185,33,FALSE)</f>
        <v>0.12768480513523958</v>
      </c>
    </row>
    <row r="153" spans="2:9" ht="15">
      <c r="B153" s="94"/>
      <c r="C153" s="95"/>
      <c r="D153" s="95"/>
      <c r="E153" s="95"/>
      <c r="F153" s="135"/>
      <c r="G153" s="95"/>
      <c r="H153" s="95"/>
      <c r="I153" s="2"/>
    </row>
    <row r="154" spans="2:9" ht="15">
      <c r="B154" s="150" t="s">
        <v>430</v>
      </c>
      <c r="C154" s="95"/>
      <c r="D154" s="95"/>
      <c r="E154" s="95"/>
      <c r="F154" s="135"/>
      <c r="G154" s="95"/>
      <c r="H154" s="95"/>
      <c r="I154" s="388">
        <f>VLOOKUP($B$5,ComData!$B$15:$FK$185,34,FALSE)</f>
        <v>0.10752464085817337</v>
      </c>
    </row>
    <row r="155" spans="2:9" ht="15">
      <c r="B155" s="94" t="s">
        <v>564</v>
      </c>
      <c r="C155" s="95"/>
      <c r="D155" s="95"/>
      <c r="E155" s="95"/>
      <c r="F155" s="135"/>
      <c r="G155" s="95"/>
      <c r="H155" s="95"/>
      <c r="I155" s="2"/>
    </row>
    <row r="156" spans="2:9" ht="15">
      <c r="B156" s="94"/>
      <c r="C156" s="95"/>
      <c r="D156" s="95"/>
      <c r="E156" s="95"/>
      <c r="F156" s="135"/>
      <c r="G156" s="95"/>
      <c r="H156" s="95"/>
      <c r="I156" s="2"/>
    </row>
    <row r="157" spans="2:9" ht="15">
      <c r="B157" s="150" t="s">
        <v>432</v>
      </c>
      <c r="C157" s="95"/>
      <c r="D157" s="95"/>
      <c r="E157" s="95"/>
      <c r="F157" s="135"/>
      <c r="G157" s="95"/>
      <c r="H157" s="95"/>
      <c r="I157" s="374">
        <f>ComData!AI12</f>
        <v>0.8421099185943604</v>
      </c>
    </row>
    <row r="158" spans="2:9" ht="15">
      <c r="B158" s="94"/>
      <c r="C158" s="95"/>
      <c r="D158" s="95"/>
      <c r="E158" s="95"/>
      <c r="F158" s="135"/>
      <c r="G158" s="95"/>
      <c r="H158" s="95"/>
      <c r="I158" s="2"/>
    </row>
    <row r="159" spans="2:9" ht="15">
      <c r="B159" s="94"/>
      <c r="C159" s="95"/>
      <c r="D159" s="95"/>
      <c r="E159" s="95"/>
      <c r="F159" s="135"/>
      <c r="G159" s="95"/>
      <c r="H159" s="95"/>
      <c r="I159" s="4"/>
    </row>
    <row r="160" spans="2:9" ht="16.5" thickBot="1">
      <c r="B160" s="166" t="s">
        <v>433</v>
      </c>
      <c r="C160" s="203"/>
      <c r="D160" s="203"/>
      <c r="E160" s="203"/>
      <c r="F160" s="204"/>
      <c r="G160" s="203"/>
      <c r="H160" s="203"/>
      <c r="I160" s="205">
        <f>VLOOKUP($B$5,ComData!$B$15:$FK$185,35,FALSE)</f>
        <v>622456.9588745257</v>
      </c>
    </row>
    <row r="161" spans="2:9" ht="15">
      <c r="B161" s="94"/>
      <c r="C161" s="95"/>
      <c r="D161" s="95"/>
      <c r="E161" s="95"/>
      <c r="F161" s="135"/>
      <c r="G161" s="95"/>
      <c r="H161" s="95"/>
      <c r="I161" s="4"/>
    </row>
    <row r="162" spans="2:9" ht="18">
      <c r="B162" s="101" t="s">
        <v>434</v>
      </c>
      <c r="C162" s="95"/>
      <c r="D162" s="95"/>
      <c r="E162" s="95"/>
      <c r="F162" s="135"/>
      <c r="G162" s="95"/>
      <c r="H162" s="95"/>
      <c r="I162" s="136"/>
    </row>
    <row r="163" spans="2:9" ht="15">
      <c r="B163" s="94"/>
      <c r="C163" s="95"/>
      <c r="D163" s="95"/>
      <c r="E163" s="95"/>
      <c r="F163" s="135"/>
      <c r="G163" s="95"/>
      <c r="H163" s="95"/>
      <c r="I163" s="4"/>
    </row>
    <row r="164" spans="2:10" ht="15">
      <c r="B164" s="94" t="s">
        <v>435</v>
      </c>
      <c r="C164" s="95"/>
      <c r="D164" s="95"/>
      <c r="E164" s="95"/>
      <c r="F164" s="135"/>
      <c r="G164" s="95"/>
      <c r="H164" s="95"/>
      <c r="I164" s="388">
        <f>VLOOKUP($B$5,ComData!$B$15:$FK$185,36,FALSE)</f>
        <v>1</v>
      </c>
      <c r="J164" s="75"/>
    </row>
    <row r="165" spans="2:9" ht="15">
      <c r="B165" s="94"/>
      <c r="C165" s="95"/>
      <c r="D165" s="95"/>
      <c r="E165" s="95"/>
      <c r="F165" s="135"/>
      <c r="G165" s="95"/>
      <c r="H165" s="95"/>
      <c r="I165" s="4"/>
    </row>
    <row r="166" spans="2:9" ht="16.5" thickBot="1">
      <c r="B166" s="166" t="s">
        <v>436</v>
      </c>
      <c r="C166" s="203"/>
      <c r="D166" s="203"/>
      <c r="E166" s="203"/>
      <c r="F166" s="204"/>
      <c r="G166" s="203"/>
      <c r="H166" s="203"/>
      <c r="I166" s="205">
        <f>VLOOKUP($B$5,ComData!$B$15:$FK$185,37,FALSE)</f>
        <v>622456.9588745257</v>
      </c>
    </row>
    <row r="167" spans="2:9" ht="15">
      <c r="B167" s="94"/>
      <c r="C167" s="95"/>
      <c r="D167" s="95"/>
      <c r="E167" s="95"/>
      <c r="F167" s="135"/>
      <c r="G167" s="95"/>
      <c r="H167" s="95"/>
      <c r="I167" s="4"/>
    </row>
    <row r="168" spans="2:9" ht="18">
      <c r="B168" s="101" t="s">
        <v>437</v>
      </c>
      <c r="C168" s="95"/>
      <c r="D168" s="95"/>
      <c r="E168" s="95"/>
      <c r="F168" s="135"/>
      <c r="G168" s="95"/>
      <c r="H168" s="95"/>
      <c r="I168" s="136"/>
    </row>
    <row r="169" spans="2:9" ht="15">
      <c r="B169" s="94"/>
      <c r="C169" s="95"/>
      <c r="D169" s="95"/>
      <c r="E169" s="95"/>
      <c r="F169" s="135"/>
      <c r="G169" s="95"/>
      <c r="H169" s="95"/>
      <c r="I169" s="4"/>
    </row>
    <row r="170" spans="2:9" ht="15">
      <c r="B170" s="94" t="s">
        <v>438</v>
      </c>
      <c r="C170" s="95"/>
      <c r="D170" s="95"/>
      <c r="E170" s="95"/>
      <c r="F170" s="135"/>
      <c r="G170" s="95"/>
      <c r="H170" s="95"/>
      <c r="I170" s="4"/>
    </row>
    <row r="171" spans="2:9" ht="15">
      <c r="B171" s="94"/>
      <c r="C171" s="95"/>
      <c r="D171" s="95"/>
      <c r="E171" s="95"/>
      <c r="F171" s="135"/>
      <c r="G171" s="95"/>
      <c r="H171" s="95"/>
      <c r="I171" s="4"/>
    </row>
    <row r="172" spans="2:9" ht="15">
      <c r="B172" s="94" t="s">
        <v>439</v>
      </c>
      <c r="C172" s="95"/>
      <c r="D172" s="95"/>
      <c r="E172" s="95"/>
      <c r="F172" s="135"/>
      <c r="G172" s="95"/>
      <c r="H172" s="95"/>
      <c r="I172" s="374">
        <f>ComData!$K$4</f>
        <v>2.352461936047621</v>
      </c>
    </row>
    <row r="173" spans="2:9" ht="15">
      <c r="B173" s="94"/>
      <c r="C173" s="95"/>
      <c r="D173" s="95"/>
      <c r="E173" s="95"/>
      <c r="F173" s="135"/>
      <c r="G173" s="95"/>
      <c r="H173" s="95"/>
      <c r="I173" s="2"/>
    </row>
    <row r="174" spans="2:9" ht="15">
      <c r="B174" s="94" t="s">
        <v>440</v>
      </c>
      <c r="C174" s="95"/>
      <c r="D174" s="95"/>
      <c r="E174" s="95"/>
      <c r="F174" s="135"/>
      <c r="G174" s="95"/>
      <c r="H174" s="95"/>
      <c r="I174" s="2"/>
    </row>
    <row r="175" spans="2:10" ht="15">
      <c r="B175" s="94"/>
      <c r="C175" s="95"/>
      <c r="D175" s="95"/>
      <c r="E175" s="95"/>
      <c r="F175" s="135"/>
      <c r="G175" s="95"/>
      <c r="H175" s="95"/>
      <c r="I175" s="379"/>
      <c r="J175" s="75"/>
    </row>
    <row r="176" spans="2:9" ht="15">
      <c r="B176" s="150" t="s">
        <v>441</v>
      </c>
      <c r="C176" s="95"/>
      <c r="D176" s="95"/>
      <c r="E176" s="95"/>
      <c r="F176" s="135"/>
      <c r="G176" s="95"/>
      <c r="H176" s="95"/>
      <c r="I176" s="221">
        <f>ComData!$K$2</f>
        <v>522195152.269562</v>
      </c>
    </row>
    <row r="177" spans="2:9" ht="15">
      <c r="B177" s="94"/>
      <c r="C177" s="95"/>
      <c r="D177" s="95"/>
      <c r="E177" s="95"/>
      <c r="F177" s="135"/>
      <c r="G177" s="95"/>
      <c r="H177" s="95"/>
      <c r="I177" s="2"/>
    </row>
    <row r="178" spans="2:9" ht="15">
      <c r="B178" s="150" t="s">
        <v>442</v>
      </c>
      <c r="C178" s="95"/>
      <c r="D178" s="95"/>
      <c r="E178" s="95"/>
      <c r="F178" s="135"/>
      <c r="G178" s="95"/>
      <c r="H178" s="95"/>
      <c r="I178" s="221">
        <f>ComData!$K$3</f>
        <v>1228444218.9027362</v>
      </c>
    </row>
    <row r="179" spans="2:9" ht="15">
      <c r="B179" s="94"/>
      <c r="C179" s="95"/>
      <c r="D179" s="95"/>
      <c r="E179" s="95"/>
      <c r="F179" s="135"/>
      <c r="G179" s="95"/>
      <c r="H179" s="95"/>
      <c r="I179" s="2"/>
    </row>
    <row r="180" spans="2:9" ht="15">
      <c r="B180" s="150" t="s">
        <v>443</v>
      </c>
      <c r="C180" s="95"/>
      <c r="D180" s="95"/>
      <c r="E180" s="95"/>
      <c r="F180" s="135"/>
      <c r="G180" s="95"/>
      <c r="H180" s="95"/>
      <c r="I180" s="2"/>
    </row>
    <row r="181" spans="2:9" ht="15">
      <c r="B181" s="94"/>
      <c r="C181" s="95"/>
      <c r="D181" s="95"/>
      <c r="E181" s="95"/>
      <c r="F181" s="135"/>
      <c r="G181" s="95"/>
      <c r="H181" s="95"/>
      <c r="I181" s="2"/>
    </row>
    <row r="182" spans="2:9" ht="15">
      <c r="B182" s="94" t="s">
        <v>248</v>
      </c>
      <c r="C182" s="95"/>
      <c r="D182" s="95"/>
      <c r="E182" s="95"/>
      <c r="F182" s="135"/>
      <c r="G182" s="95"/>
      <c r="H182" s="95"/>
      <c r="I182" s="2"/>
    </row>
    <row r="183" spans="2:9" ht="15">
      <c r="B183" s="94"/>
      <c r="C183" s="95"/>
      <c r="D183" s="95"/>
      <c r="E183" s="95"/>
      <c r="F183" s="135"/>
      <c r="G183" s="95"/>
      <c r="H183" s="95"/>
      <c r="I183" s="2"/>
    </row>
    <row r="184" spans="2:9" ht="15">
      <c r="B184" s="94" t="s">
        <v>445</v>
      </c>
      <c r="C184" s="95"/>
      <c r="D184" s="95"/>
      <c r="E184" s="95"/>
      <c r="F184" s="135"/>
      <c r="G184" s="95"/>
      <c r="H184" s="95"/>
      <c r="I184" s="2"/>
    </row>
    <row r="185" spans="2:9" ht="15">
      <c r="B185" s="94"/>
      <c r="C185" s="95"/>
      <c r="D185" s="95"/>
      <c r="E185" s="95"/>
      <c r="F185" s="135"/>
      <c r="G185" s="95"/>
      <c r="H185" s="95"/>
      <c r="I185" s="2"/>
    </row>
    <row r="186" spans="2:9" ht="15">
      <c r="B186" s="94" t="s">
        <v>455</v>
      </c>
      <c r="C186" s="95"/>
      <c r="D186" s="95"/>
      <c r="E186" s="95"/>
      <c r="F186" s="135"/>
      <c r="G186" s="95"/>
      <c r="H186" s="95"/>
      <c r="I186" s="2"/>
    </row>
    <row r="187" spans="2:9" ht="15">
      <c r="B187" s="94"/>
      <c r="C187" s="95"/>
      <c r="D187" s="95"/>
      <c r="E187" s="95"/>
      <c r="F187" s="135"/>
      <c r="G187" s="95"/>
      <c r="H187" s="95"/>
      <c r="I187" s="2"/>
    </row>
    <row r="188" spans="2:9" ht="15">
      <c r="B188" s="150" t="s">
        <v>446</v>
      </c>
      <c r="C188" s="95"/>
      <c r="D188" s="95"/>
      <c r="E188" s="95"/>
      <c r="F188" s="217">
        <v>1</v>
      </c>
      <c r="G188" s="95"/>
      <c r="H188" s="95"/>
      <c r="I188" s="2"/>
    </row>
    <row r="189" spans="2:9" ht="15">
      <c r="B189" s="94"/>
      <c r="C189" s="95"/>
      <c r="D189" s="95"/>
      <c r="E189" s="95"/>
      <c r="F189" s="218"/>
      <c r="G189" s="69"/>
      <c r="H189" s="69"/>
      <c r="I189" s="2"/>
    </row>
    <row r="190" spans="2:9" ht="15">
      <c r="B190" s="94" t="s">
        <v>456</v>
      </c>
      <c r="C190" s="95"/>
      <c r="D190" s="95"/>
      <c r="E190" s="95"/>
      <c r="F190" s="219">
        <f>ComData!P3</f>
        <v>0.027</v>
      </c>
      <c r="G190" s="69"/>
      <c r="H190" s="69"/>
      <c r="I190" s="2"/>
    </row>
    <row r="191" spans="2:9" ht="15">
      <c r="B191" s="94"/>
      <c r="C191" s="95"/>
      <c r="D191" s="95"/>
      <c r="E191" s="95"/>
      <c r="F191" s="218"/>
      <c r="G191" s="69"/>
      <c r="H191" s="69"/>
      <c r="I191" s="2"/>
    </row>
    <row r="192" spans="2:9" ht="15">
      <c r="B192" s="94" t="s">
        <v>447</v>
      </c>
      <c r="C192" s="95"/>
      <c r="D192" s="95"/>
      <c r="E192" s="95"/>
      <c r="F192" s="219">
        <f>ComData!S1</f>
        <v>0</v>
      </c>
      <c r="G192" s="69"/>
      <c r="H192" s="69"/>
      <c r="I192" s="2"/>
    </row>
    <row r="193" spans="2:9" ht="15">
      <c r="B193" s="94"/>
      <c r="C193" s="95"/>
      <c r="D193" s="95"/>
      <c r="E193" s="95"/>
      <c r="F193" s="218"/>
      <c r="G193" s="69"/>
      <c r="H193" s="69"/>
      <c r="I193" s="2"/>
    </row>
    <row r="194" spans="2:9" ht="15">
      <c r="B194" s="94" t="s">
        <v>448</v>
      </c>
      <c r="C194" s="95"/>
      <c r="D194" s="95"/>
      <c r="E194" s="95"/>
      <c r="F194" s="219">
        <v>0</v>
      </c>
      <c r="G194" s="69"/>
      <c r="H194" s="69"/>
      <c r="I194" s="2"/>
    </row>
    <row r="195" spans="2:9" ht="15">
      <c r="B195" s="94"/>
      <c r="C195" s="95"/>
      <c r="D195" s="95"/>
      <c r="E195" s="95"/>
      <c r="F195" s="69"/>
      <c r="G195" s="69"/>
      <c r="H195" s="69"/>
      <c r="I195" s="2"/>
    </row>
    <row r="196" spans="2:9" ht="15">
      <c r="B196" s="94"/>
      <c r="C196" s="95"/>
      <c r="D196" s="95"/>
      <c r="E196" s="95"/>
      <c r="F196" s="69"/>
      <c r="G196" s="69"/>
      <c r="H196" s="69"/>
      <c r="I196" s="2"/>
    </row>
    <row r="197" spans="2:9" ht="15">
      <c r="B197" s="94" t="s">
        <v>449</v>
      </c>
      <c r="C197" s="95"/>
      <c r="D197" s="95"/>
      <c r="E197" s="95"/>
      <c r="F197" s="220">
        <f>SUM(F188:F194)</f>
        <v>1.027</v>
      </c>
      <c r="G197" s="69"/>
      <c r="H197" s="69"/>
      <c r="I197" s="2"/>
    </row>
    <row r="198" spans="2:9" ht="15">
      <c r="B198" s="94"/>
      <c r="C198" s="95"/>
      <c r="D198" s="95"/>
      <c r="E198" s="95"/>
      <c r="F198" s="220"/>
      <c r="G198" s="69"/>
      <c r="H198" s="69"/>
      <c r="I198" s="2"/>
    </row>
    <row r="199" spans="2:9" ht="15">
      <c r="B199" s="94"/>
      <c r="C199" s="95"/>
      <c r="D199" s="95"/>
      <c r="E199" s="95"/>
      <c r="F199" s="217"/>
      <c r="G199" s="95"/>
      <c r="H199" s="95"/>
      <c r="I199" s="136"/>
    </row>
    <row r="200" spans="2:9" ht="16.5" thickBot="1">
      <c r="B200" s="166" t="s">
        <v>450</v>
      </c>
      <c r="C200" s="203"/>
      <c r="D200" s="203"/>
      <c r="E200" s="203"/>
      <c r="F200" s="204"/>
      <c r="G200" s="203"/>
      <c r="H200" s="203"/>
      <c r="I200" s="205">
        <f>VLOOKUP($B$5,ComData!$B$15:$FK$185,38,FALSE)</f>
        <v>1464306.3025802814</v>
      </c>
    </row>
    <row r="201" spans="2:9" ht="15">
      <c r="B201" s="94"/>
      <c r="C201" s="95"/>
      <c r="D201" s="95"/>
      <c r="E201" s="95"/>
      <c r="F201" s="135"/>
      <c r="G201" s="95"/>
      <c r="H201" s="95"/>
      <c r="I201" s="136"/>
    </row>
    <row r="202" spans="2:9" ht="18">
      <c r="B202" s="101" t="s">
        <v>174</v>
      </c>
      <c r="C202" s="95"/>
      <c r="D202" s="95"/>
      <c r="E202" s="95"/>
      <c r="F202" s="135"/>
      <c r="G202" s="95"/>
      <c r="H202" s="95"/>
      <c r="I202" s="379"/>
    </row>
    <row r="203" spans="2:9" ht="15">
      <c r="B203" s="94"/>
      <c r="C203" s="95"/>
      <c r="D203" s="95"/>
      <c r="E203" s="95"/>
      <c r="F203" s="135"/>
      <c r="G203" s="95"/>
      <c r="H203" s="95"/>
      <c r="I203" s="2"/>
    </row>
    <row r="204" spans="2:9" ht="15">
      <c r="B204" s="94" t="s">
        <v>451</v>
      </c>
      <c r="C204" s="95"/>
      <c r="D204" s="95"/>
      <c r="E204" s="95"/>
      <c r="F204" s="144"/>
      <c r="G204" s="98"/>
      <c r="H204" s="95"/>
      <c r="I204" s="221"/>
    </row>
    <row r="205" spans="2:10" ht="15">
      <c r="B205" s="94" t="s">
        <v>452</v>
      </c>
      <c r="C205" s="95"/>
      <c r="D205" s="95"/>
      <c r="E205" s="95"/>
      <c r="F205" s="144">
        <v>4</v>
      </c>
      <c r="G205" s="98" t="s">
        <v>738</v>
      </c>
      <c r="H205" s="95"/>
      <c r="I205" s="221">
        <f>VLOOKUP($B$5,ComData!$B$15:$FK$185,42,FALSE)</f>
        <v>10632</v>
      </c>
      <c r="J205" s="21"/>
    </row>
    <row r="206" spans="2:9" ht="15">
      <c r="B206" s="94"/>
      <c r="C206" s="95"/>
      <c r="D206" s="95"/>
      <c r="E206" s="95"/>
      <c r="F206" s="135"/>
      <c r="G206" s="98"/>
      <c r="H206" s="95"/>
      <c r="I206" s="4"/>
    </row>
    <row r="207" spans="2:9" ht="16.5" thickBot="1">
      <c r="B207" s="166" t="s">
        <v>273</v>
      </c>
      <c r="C207" s="203"/>
      <c r="D207" s="203"/>
      <c r="E207" s="203"/>
      <c r="F207" s="204"/>
      <c r="G207" s="203"/>
      <c r="H207" s="203"/>
      <c r="I207" s="205">
        <f>I200+I205</f>
        <v>1474938.3025802814</v>
      </c>
    </row>
    <row r="208" spans="2:9" ht="15">
      <c r="B208" s="99"/>
      <c r="C208" s="95"/>
      <c r="D208" s="95"/>
      <c r="E208" s="95"/>
      <c r="F208" s="135"/>
      <c r="G208" s="69"/>
      <c r="H208" s="69"/>
      <c r="I208" s="4"/>
    </row>
    <row r="209" spans="2:9" ht="16.5" thickBot="1">
      <c r="B209" s="222" t="s">
        <v>37</v>
      </c>
      <c r="C209" s="223"/>
      <c r="D209" s="223"/>
      <c r="E209" s="223"/>
      <c r="F209" s="224"/>
      <c r="G209" s="223"/>
      <c r="H209" s="223"/>
      <c r="I209" s="225">
        <f>I207</f>
        <v>1474938.3025802814</v>
      </c>
    </row>
    <row r="210" spans="2:9" ht="15">
      <c r="B210" s="94"/>
      <c r="C210" s="95"/>
      <c r="D210" s="95"/>
      <c r="E210" s="95"/>
      <c r="F210" s="144"/>
      <c r="G210" s="69"/>
      <c r="H210" s="69"/>
      <c r="I210" s="4"/>
    </row>
    <row r="211" spans="2:9" ht="16.5" thickBot="1">
      <c r="B211" s="222" t="s">
        <v>36</v>
      </c>
      <c r="C211" s="223"/>
      <c r="D211" s="223"/>
      <c r="E211" s="223"/>
      <c r="F211" s="224"/>
      <c r="G211" s="223"/>
      <c r="H211" s="223"/>
      <c r="I211" s="226">
        <f>I209/H11</f>
        <v>554.9053057111668</v>
      </c>
    </row>
    <row r="212" spans="2:9" ht="15.75" thickBot="1">
      <c r="B212" s="227"/>
      <c r="C212" s="175"/>
      <c r="D212" s="175"/>
      <c r="E212" s="175"/>
      <c r="F212" s="176"/>
      <c r="G212" s="70"/>
      <c r="H212" s="70"/>
      <c r="I212" s="5"/>
    </row>
  </sheetData>
  <mergeCells count="1">
    <mergeCell ref="B5:C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9">
    <tabColor indexed="15"/>
  </sheetPr>
  <dimension ref="A3:J99"/>
  <sheetViews>
    <sheetView zoomScale="85" zoomScaleNormal="85" workbookViewId="0" topLeftCell="A50">
      <selection activeCell="I61" sqref="B38:I61"/>
    </sheetView>
  </sheetViews>
  <sheetFormatPr defaultColWidth="9.140625" defaultRowHeight="12.75"/>
  <cols>
    <col min="1" max="1" width="9.140625" style="3" customWidth="1"/>
    <col min="2" max="8" width="15.00390625" style="3" customWidth="1"/>
    <col min="9" max="9" width="17.140625" style="3" bestFit="1" customWidth="1"/>
    <col min="10" max="11" width="15.00390625" style="3" customWidth="1"/>
    <col min="12" max="16384" width="9.140625" style="3" customWidth="1"/>
  </cols>
  <sheetData>
    <row r="2" ht="13.5" thickBot="1"/>
    <row r="3" spans="2:7" ht="18">
      <c r="B3" s="22" t="s">
        <v>40</v>
      </c>
      <c r="C3" s="61"/>
      <c r="D3" s="61"/>
      <c r="E3" s="61"/>
      <c r="F3" s="61"/>
      <c r="G3" s="62"/>
    </row>
    <row r="4" spans="2:7" ht="18.75" thickBot="1">
      <c r="B4" s="63"/>
      <c r="C4" s="64"/>
      <c r="D4" s="64"/>
      <c r="E4" s="64"/>
      <c r="F4" s="64"/>
      <c r="G4" s="65"/>
    </row>
    <row r="5" spans="2:7" ht="18.75" thickBot="1">
      <c r="B5" s="527" t="str">
        <f>name</f>
        <v>Adur</v>
      </c>
      <c r="C5" s="528"/>
      <c r="D5" s="64"/>
      <c r="E5" s="64"/>
      <c r="F5" s="64"/>
      <c r="G5" s="65"/>
    </row>
    <row r="6" spans="2:7" ht="18">
      <c r="B6" s="63"/>
      <c r="C6" s="64"/>
      <c r="D6" s="64"/>
      <c r="E6" s="64"/>
      <c r="F6" s="64"/>
      <c r="G6" s="65"/>
    </row>
    <row r="7" spans="2:7" ht="18.75" thickBot="1">
      <c r="B7" s="66"/>
      <c r="C7" s="67"/>
      <c r="D7" s="67"/>
      <c r="E7" s="67"/>
      <c r="F7" s="67"/>
      <c r="G7" s="68"/>
    </row>
    <row r="10" ht="13.5" thickBot="1"/>
    <row r="11" spans="2:9" ht="18">
      <c r="B11" s="109" t="s">
        <v>56</v>
      </c>
      <c r="C11" s="116"/>
      <c r="D11" s="116"/>
      <c r="E11" s="116"/>
      <c r="F11" s="89"/>
      <c r="G11" s="116"/>
      <c r="H11" s="116"/>
      <c r="I11" s="90"/>
    </row>
    <row r="12" spans="2:9" ht="15.75">
      <c r="B12" s="110" t="s">
        <v>533</v>
      </c>
      <c r="C12" s="196"/>
      <c r="D12" s="196"/>
      <c r="E12" s="196"/>
      <c r="F12" s="69"/>
      <c r="G12" s="196"/>
      <c r="H12" s="196"/>
      <c r="I12" s="212">
        <f>VLOOKUP($B$5,ComData!$B$15:$FK$185,84,FALSE)</f>
        <v>2658</v>
      </c>
    </row>
    <row r="13" spans="2:9" ht="16.5" thickBot="1">
      <c r="B13" s="198"/>
      <c r="C13" s="175"/>
      <c r="D13" s="175"/>
      <c r="E13" s="175"/>
      <c r="F13" s="70"/>
      <c r="G13" s="175"/>
      <c r="H13" s="175"/>
      <c r="I13" s="5"/>
    </row>
    <row r="14" spans="2:9" ht="18">
      <c r="B14" s="251" t="s">
        <v>173</v>
      </c>
      <c r="C14" s="196"/>
      <c r="D14" s="196"/>
      <c r="E14" s="196"/>
      <c r="F14" s="199"/>
      <c r="G14" s="95"/>
      <c r="H14" s="95"/>
      <c r="I14" s="4"/>
    </row>
    <row r="15" spans="2:9" ht="15.75">
      <c r="B15" s="200"/>
      <c r="C15" s="196"/>
      <c r="D15" s="196"/>
      <c r="E15" s="196"/>
      <c r="F15" s="199"/>
      <c r="G15" s="95"/>
      <c r="H15" s="95"/>
      <c r="I15" s="4"/>
    </row>
    <row r="16" spans="2:9" ht="15.75">
      <c r="B16" s="100" t="s">
        <v>460</v>
      </c>
      <c r="C16" s="95"/>
      <c r="D16" s="95"/>
      <c r="E16" s="95"/>
      <c r="F16" s="135"/>
      <c r="G16" s="95"/>
      <c r="H16" s="95"/>
      <c r="I16" s="4"/>
    </row>
    <row r="17" spans="2:9" ht="15">
      <c r="B17" s="94"/>
      <c r="C17" s="95"/>
      <c r="D17" s="69"/>
      <c r="E17" s="98"/>
      <c r="F17" s="135"/>
      <c r="G17" s="95"/>
      <c r="H17" s="95"/>
      <c r="I17" s="4"/>
    </row>
    <row r="18" spans="2:9" ht="15">
      <c r="B18" s="150" t="s">
        <v>534</v>
      </c>
      <c r="C18" s="95"/>
      <c r="D18" s="95"/>
      <c r="E18" s="95"/>
      <c r="F18" s="135"/>
      <c r="G18" s="95"/>
      <c r="H18" s="95"/>
      <c r="I18" s="4"/>
    </row>
    <row r="19" spans="2:9" ht="15">
      <c r="B19" s="94"/>
      <c r="C19" s="95"/>
      <c r="D19" s="95"/>
      <c r="E19" s="95"/>
      <c r="F19" s="201"/>
      <c r="G19" s="95"/>
      <c r="H19" s="95"/>
      <c r="I19" s="4"/>
    </row>
    <row r="20" spans="2:9" ht="15">
      <c r="B20" s="94" t="s">
        <v>535</v>
      </c>
      <c r="C20" s="95"/>
      <c r="D20" s="95"/>
      <c r="E20" s="95"/>
      <c r="F20" s="135"/>
      <c r="G20" s="98"/>
      <c r="H20" s="95"/>
      <c r="I20" s="4"/>
    </row>
    <row r="21" spans="2:9" ht="15">
      <c r="B21" s="94" t="s">
        <v>463</v>
      </c>
      <c r="C21" s="95"/>
      <c r="D21" s="95"/>
      <c r="E21" s="95"/>
      <c r="F21" s="201"/>
      <c r="G21" s="95"/>
      <c r="H21" s="95"/>
      <c r="I21" s="4"/>
    </row>
    <row r="22" spans="2:9" ht="15.75">
      <c r="B22" s="94"/>
      <c r="C22" s="95"/>
      <c r="D22" s="95"/>
      <c r="E22" s="95"/>
      <c r="F22" s="530" t="s">
        <v>536</v>
      </c>
      <c r="G22" s="531"/>
      <c r="H22" s="137"/>
      <c r="I22" s="252"/>
    </row>
    <row r="23" spans="2:9" ht="15.75">
      <c r="B23" s="94"/>
      <c r="C23" s="95"/>
      <c r="D23" s="95"/>
      <c r="E23" s="95"/>
      <c r="F23" s="531"/>
      <c r="G23" s="531"/>
      <c r="H23" s="137" t="s">
        <v>56</v>
      </c>
      <c r="I23" s="197" t="s">
        <v>173</v>
      </c>
    </row>
    <row r="24" spans="1:9" ht="15">
      <c r="A24" s="362">
        <v>85</v>
      </c>
      <c r="B24" s="94" t="s">
        <v>537</v>
      </c>
      <c r="C24" s="95"/>
      <c r="D24" s="95"/>
      <c r="E24" s="95"/>
      <c r="F24" s="135"/>
      <c r="G24" s="253">
        <f>ComData!CH12</f>
        <v>430.6019838030847</v>
      </c>
      <c r="H24" s="355">
        <f>VLOOKUP($B$5,ComData!$B$15:$FK$185,$A24,FALSE)</f>
        <v>74</v>
      </c>
      <c r="I24" s="221">
        <f>H24*G24</f>
        <v>31864.546801428267</v>
      </c>
    </row>
    <row r="25" spans="1:9" ht="15">
      <c r="A25" s="362">
        <v>86</v>
      </c>
      <c r="B25" s="134" t="s">
        <v>538</v>
      </c>
      <c r="C25" s="95"/>
      <c r="D25" s="95"/>
      <c r="E25" s="95"/>
      <c r="F25" s="135"/>
      <c r="G25" s="253">
        <f>ComData!CI12</f>
        <v>495.8074270646946</v>
      </c>
      <c r="H25" s="355">
        <f>VLOOKUP($B$5,ComData!$B$15:$FK$185,$A25,FALSE)</f>
        <v>174</v>
      </c>
      <c r="I25" s="221">
        <f aca="true" t="shared" si="0" ref="I25:I38">H25*G25</f>
        <v>86270.49230925686</v>
      </c>
    </row>
    <row r="26" spans="1:9" ht="15">
      <c r="A26" s="362">
        <v>87</v>
      </c>
      <c r="B26" s="94" t="s">
        <v>539</v>
      </c>
      <c r="C26" s="95"/>
      <c r="D26" s="95"/>
      <c r="E26" s="95"/>
      <c r="F26" s="135"/>
      <c r="G26" s="253">
        <f>ComData!CJ12</f>
        <v>508.1103408876399</v>
      </c>
      <c r="H26" s="355">
        <f>VLOOKUP($B$5,ComData!$B$15:$FK$185,$A26,FALSE)</f>
        <v>59</v>
      </c>
      <c r="I26" s="221">
        <f t="shared" si="0"/>
        <v>29978.510112370754</v>
      </c>
    </row>
    <row r="27" spans="1:9" ht="15">
      <c r="A27" s="362">
        <v>88</v>
      </c>
      <c r="B27" s="94" t="s">
        <v>540</v>
      </c>
      <c r="C27" s="95"/>
      <c r="D27" s="95"/>
      <c r="E27" s="95"/>
      <c r="F27" s="201"/>
      <c r="G27" s="253">
        <f>ComData!CK$12</f>
        <v>703.7266706724698</v>
      </c>
      <c r="H27" s="355">
        <f>VLOOKUP($B$5,ComData!$B$15:$FK$185,$A27,FALSE)</f>
        <v>59</v>
      </c>
      <c r="I27" s="221">
        <f t="shared" si="0"/>
        <v>41519.87356967572</v>
      </c>
    </row>
    <row r="28" spans="1:9" ht="15">
      <c r="A28" s="362">
        <v>89</v>
      </c>
      <c r="B28" s="94" t="s">
        <v>541</v>
      </c>
      <c r="C28" s="95"/>
      <c r="D28" s="95"/>
      <c r="E28" s="95"/>
      <c r="F28" s="135"/>
      <c r="G28" s="253">
        <f>ComData!CL$12</f>
        <v>807.0711467852101</v>
      </c>
      <c r="H28" s="355">
        <f>VLOOKUP($B$5,ComData!$B$15:$FK$185,$A28,FALSE)</f>
        <v>303</v>
      </c>
      <c r="I28" s="221">
        <f t="shared" si="0"/>
        <v>244542.55747591867</v>
      </c>
    </row>
    <row r="29" spans="1:9" ht="15">
      <c r="A29" s="362">
        <v>90</v>
      </c>
      <c r="B29" s="94" t="s">
        <v>542</v>
      </c>
      <c r="C29" s="95"/>
      <c r="D29" s="95"/>
      <c r="E29" s="95"/>
      <c r="F29" s="144"/>
      <c r="G29" s="253">
        <f>ComData!CM$12</f>
        <v>797.2288157268538</v>
      </c>
      <c r="H29" s="355">
        <f>VLOOKUP($B$5,ComData!$B$15:$FK$185,$A29,FALSE)</f>
        <v>159</v>
      </c>
      <c r="I29" s="221">
        <f t="shared" si="0"/>
        <v>126759.38170056975</v>
      </c>
    </row>
    <row r="30" spans="1:9" ht="15">
      <c r="A30" s="362">
        <v>91</v>
      </c>
      <c r="B30" s="94" t="s">
        <v>543</v>
      </c>
      <c r="C30" s="95"/>
      <c r="D30" s="95"/>
      <c r="E30" s="95"/>
      <c r="F30" s="144"/>
      <c r="G30" s="253">
        <f>ComData!CN$12</f>
        <v>591.7701548836677</v>
      </c>
      <c r="H30" s="355">
        <f>VLOOKUP($B$5,ComData!$B$15:$FK$185,$A30,FALSE)</f>
        <v>163</v>
      </c>
      <c r="I30" s="221">
        <f t="shared" si="0"/>
        <v>96458.53524603783</v>
      </c>
    </row>
    <row r="31" spans="1:9" ht="15">
      <c r="A31" s="362">
        <v>92</v>
      </c>
      <c r="B31" s="94" t="s">
        <v>544</v>
      </c>
      <c r="C31" s="95"/>
      <c r="D31" s="95"/>
      <c r="E31" s="95"/>
      <c r="F31" s="144"/>
      <c r="G31" s="253">
        <f>ComData!CO$12</f>
        <v>647.1332670869214</v>
      </c>
      <c r="H31" s="355">
        <f>VLOOKUP($B$5,ComData!$B$15:$FK$185,$A31,FALSE)</f>
        <v>56</v>
      </c>
      <c r="I31" s="221">
        <f t="shared" si="0"/>
        <v>36239.462956867595</v>
      </c>
    </row>
    <row r="32" spans="1:9" ht="15">
      <c r="A32" s="362">
        <v>93</v>
      </c>
      <c r="B32" s="94" t="s">
        <v>545</v>
      </c>
      <c r="C32" s="95"/>
      <c r="D32" s="95"/>
      <c r="E32" s="95"/>
      <c r="F32" s="144"/>
      <c r="G32" s="253">
        <f>ComData!CP$12</f>
        <v>564.7037444731882</v>
      </c>
      <c r="H32" s="355">
        <f>VLOOKUP($B$5,ComData!$B$15:$FK$185,$A32,FALSE)</f>
        <v>85</v>
      </c>
      <c r="I32" s="221">
        <f t="shared" si="0"/>
        <v>47999.81828022099</v>
      </c>
    </row>
    <row r="33" spans="1:9" ht="15">
      <c r="A33" s="362">
        <v>94</v>
      </c>
      <c r="B33" s="94" t="s">
        <v>546</v>
      </c>
      <c r="C33" s="95"/>
      <c r="D33" s="95"/>
      <c r="E33" s="95"/>
      <c r="F33" s="144"/>
      <c r="G33" s="253">
        <f>ComData!CQ$12</f>
        <v>840.2890141071622</v>
      </c>
      <c r="H33" s="355">
        <f>VLOOKUP($B$5,ComData!$B$15:$FK$185,$A33,FALSE)</f>
        <v>582</v>
      </c>
      <c r="I33" s="221">
        <f t="shared" si="0"/>
        <v>489048.2062103684</v>
      </c>
    </row>
    <row r="34" spans="1:9" ht="15">
      <c r="A34" s="362">
        <v>95</v>
      </c>
      <c r="B34" s="134" t="s">
        <v>547</v>
      </c>
      <c r="C34" s="95"/>
      <c r="D34" s="95"/>
      <c r="E34" s="95"/>
      <c r="F34" s="135"/>
      <c r="G34" s="253">
        <f>ComData!CR$12</f>
        <v>852.5919279301077</v>
      </c>
      <c r="H34" s="355">
        <f>VLOOKUP($B$5,ComData!$B$15:$FK$185,$A34,FALSE)</f>
        <v>745</v>
      </c>
      <c r="I34" s="221">
        <f t="shared" si="0"/>
        <v>635180.9863079302</v>
      </c>
    </row>
    <row r="35" spans="1:9" ht="15">
      <c r="A35" s="362">
        <v>96</v>
      </c>
      <c r="B35" s="134" t="s">
        <v>548</v>
      </c>
      <c r="C35" s="69"/>
      <c r="D35" s="69"/>
      <c r="E35" s="95"/>
      <c r="F35" s="135"/>
      <c r="G35" s="253">
        <f>ComData!CS$12</f>
        <v>1024.8327214513413</v>
      </c>
      <c r="H35" s="355">
        <f>VLOOKUP($B$5,ComData!$B$15:$FK$185,$A35,FALSE)</f>
        <v>28</v>
      </c>
      <c r="I35" s="221">
        <f t="shared" si="0"/>
        <v>28695.316200637557</v>
      </c>
    </row>
    <row r="36" spans="1:9" ht="15">
      <c r="A36" s="362">
        <v>97</v>
      </c>
      <c r="B36" s="134" t="s">
        <v>549</v>
      </c>
      <c r="C36" s="95"/>
      <c r="D36" s="95"/>
      <c r="E36" s="95"/>
      <c r="F36" s="135"/>
      <c r="G36" s="253">
        <f>ComData!CT$12</f>
        <v>645.902975704627</v>
      </c>
      <c r="H36" s="355">
        <f>VLOOKUP($B$5,ComData!$B$15:$FK$185,$A36,FALSE)</f>
        <v>171</v>
      </c>
      <c r="I36" s="221">
        <f t="shared" si="0"/>
        <v>110449.40884549121</v>
      </c>
    </row>
    <row r="37" spans="1:9" ht="15">
      <c r="A37" s="362">
        <v>98</v>
      </c>
      <c r="B37" s="134" t="s">
        <v>550</v>
      </c>
      <c r="C37" s="95"/>
      <c r="D37" s="95"/>
      <c r="E37" s="95"/>
      <c r="F37" s="135"/>
      <c r="G37" s="253">
        <f>ComData!CU$12</f>
        <v>564.7037444731882</v>
      </c>
      <c r="H37" s="355">
        <f>VLOOKUP($B$5,ComData!$B$15:$FK$185,$A37,FALSE)</f>
        <v>0</v>
      </c>
      <c r="I37" s="221">
        <f t="shared" si="0"/>
        <v>0</v>
      </c>
    </row>
    <row r="38" spans="1:9" ht="15">
      <c r="A38" s="362">
        <v>99</v>
      </c>
      <c r="B38" s="94" t="s">
        <v>551</v>
      </c>
      <c r="C38" s="95"/>
      <c r="D38" s="95"/>
      <c r="E38" s="95"/>
      <c r="F38" s="151"/>
      <c r="G38" s="253">
        <f>ComData!CV$12</f>
        <v>840.2890141071622</v>
      </c>
      <c r="H38" s="355">
        <f>VLOOKUP($B$5,ComData!$B$15:$FK$185,$A38,FALSE)</f>
        <v>0</v>
      </c>
      <c r="I38" s="221">
        <f t="shared" si="0"/>
        <v>0</v>
      </c>
    </row>
    <row r="39" spans="2:9" ht="15">
      <c r="B39" s="94"/>
      <c r="C39" s="95"/>
      <c r="D39" s="95"/>
      <c r="E39" s="95"/>
      <c r="F39" s="135"/>
      <c r="G39" s="95"/>
      <c r="H39" s="95"/>
      <c r="I39" s="4"/>
    </row>
    <row r="40" spans="2:9" ht="15.75">
      <c r="B40" s="94"/>
      <c r="C40" s="95"/>
      <c r="D40" s="95"/>
      <c r="E40" s="95"/>
      <c r="F40" s="135"/>
      <c r="G40" s="95"/>
      <c r="H40" s="95"/>
      <c r="I40" s="206"/>
    </row>
    <row r="41" spans="2:9" ht="18.75" thickBot="1">
      <c r="B41" s="156" t="s">
        <v>90</v>
      </c>
      <c r="C41" s="254"/>
      <c r="D41" s="254"/>
      <c r="E41" s="254"/>
      <c r="F41" s="255"/>
      <c r="G41" s="254"/>
      <c r="H41" s="254"/>
      <c r="I41" s="256">
        <f>VLOOKUP($B$5,ComData!$B$15:$FK$185,100,FALSE)</f>
        <v>2005007.0960167737</v>
      </c>
    </row>
    <row r="42" spans="2:9" ht="15">
      <c r="B42" s="150"/>
      <c r="C42" s="95"/>
      <c r="D42" s="95"/>
      <c r="E42" s="95"/>
      <c r="F42" s="135"/>
      <c r="G42" s="95"/>
      <c r="H42" s="95"/>
      <c r="I42" s="4"/>
    </row>
    <row r="43" spans="2:9" ht="15.75">
      <c r="B43" s="150" t="s">
        <v>552</v>
      </c>
      <c r="C43" s="95"/>
      <c r="D43" s="95"/>
      <c r="E43" s="95"/>
      <c r="F43" s="135"/>
      <c r="G43" s="95"/>
      <c r="H43" s="257"/>
      <c r="I43" s="237">
        <f>VLOOKUP($B$5,ComData!$B$15:$FK$185,101,FALSE)</f>
        <v>1.0380401927617697</v>
      </c>
    </row>
    <row r="44" spans="2:9" ht="15">
      <c r="B44" s="94"/>
      <c r="C44" s="95"/>
      <c r="D44" s="95"/>
      <c r="E44" s="95"/>
      <c r="F44" s="135"/>
      <c r="G44" s="95"/>
      <c r="H44" s="95"/>
      <c r="I44" s="136"/>
    </row>
    <row r="45" spans="2:9" ht="15">
      <c r="B45" s="94" t="s">
        <v>553</v>
      </c>
      <c r="C45" s="95"/>
      <c r="D45" s="95"/>
      <c r="E45" s="95"/>
      <c r="F45" s="135"/>
      <c r="G45" s="95"/>
      <c r="H45" s="95"/>
      <c r="I45" s="136"/>
    </row>
    <row r="46" spans="2:9" ht="15">
      <c r="B46" s="94"/>
      <c r="C46" s="95"/>
      <c r="D46" s="95"/>
      <c r="E46" s="95"/>
      <c r="F46" s="135"/>
      <c r="G46" s="95"/>
      <c r="H46" s="95"/>
      <c r="I46" s="4"/>
    </row>
    <row r="47" spans="2:9" ht="15.75">
      <c r="B47" s="150" t="s">
        <v>554</v>
      </c>
      <c r="C47" s="95"/>
      <c r="D47" s="95"/>
      <c r="E47" s="95"/>
      <c r="F47" s="135"/>
      <c r="G47" s="135"/>
      <c r="H47" s="257"/>
      <c r="I47" s="237">
        <f>VLOOKUP($B$5,ComData!$B$15:$FK$185,102,FALSE)</f>
        <v>1.0633333333333332</v>
      </c>
    </row>
    <row r="48" spans="2:9" ht="15.75">
      <c r="B48" s="94"/>
      <c r="C48" s="95"/>
      <c r="D48" s="95"/>
      <c r="E48" s="95"/>
      <c r="F48" s="183"/>
      <c r="G48" s="98"/>
      <c r="H48" s="257"/>
      <c r="I48" s="208"/>
    </row>
    <row r="49" spans="2:9" ht="15.75">
      <c r="B49" s="150" t="s">
        <v>555</v>
      </c>
      <c r="C49" s="95"/>
      <c r="D49" s="95"/>
      <c r="E49" s="95"/>
      <c r="F49" s="183"/>
      <c r="G49" s="98"/>
      <c r="H49" s="257"/>
      <c r="I49" s="237">
        <f>ComData!$CK$2</f>
        <v>0.976213347424862</v>
      </c>
    </row>
    <row r="50" spans="2:9" ht="15">
      <c r="B50" s="94"/>
      <c r="C50" s="95"/>
      <c r="D50" s="95"/>
      <c r="E50" s="95"/>
      <c r="F50" s="135"/>
      <c r="G50" s="95"/>
      <c r="H50" s="95"/>
      <c r="I50" s="4"/>
    </row>
    <row r="51" spans="2:9" ht="15">
      <c r="B51" s="94" t="s">
        <v>556</v>
      </c>
      <c r="C51" s="95"/>
      <c r="D51" s="95"/>
      <c r="E51" s="95"/>
      <c r="F51" s="135"/>
      <c r="G51" s="95"/>
      <c r="H51" s="95"/>
      <c r="I51" s="136"/>
    </row>
    <row r="52" spans="2:9" ht="15.75">
      <c r="B52" s="94"/>
      <c r="C52" s="95"/>
      <c r="D52" s="95"/>
      <c r="E52" s="95"/>
      <c r="F52" s="135"/>
      <c r="G52" s="95"/>
      <c r="H52" s="95"/>
      <c r="I52" s="207"/>
    </row>
    <row r="53" spans="2:9" ht="15">
      <c r="B53" s="150" t="s">
        <v>557</v>
      </c>
      <c r="C53" s="95"/>
      <c r="D53" s="95"/>
      <c r="E53" s="95"/>
      <c r="F53" s="135"/>
      <c r="G53" s="95"/>
      <c r="H53" s="532">
        <f>ComData!$CK$3</f>
        <v>1266241767.3761716</v>
      </c>
      <c r="I53" s="533"/>
    </row>
    <row r="54" spans="2:9" ht="15">
      <c r="B54" s="94"/>
      <c r="C54" s="95"/>
      <c r="D54" s="95"/>
      <c r="E54" s="95"/>
      <c r="F54" s="135"/>
      <c r="G54" s="95"/>
      <c r="H54" s="235"/>
      <c r="I54" s="4"/>
    </row>
    <row r="55" spans="2:9" ht="15">
      <c r="B55" s="150" t="s">
        <v>558</v>
      </c>
      <c r="C55" s="95"/>
      <c r="D55" s="95"/>
      <c r="E55" s="95"/>
      <c r="F55" s="135"/>
      <c r="G55" s="95"/>
      <c r="H55" s="532">
        <f>ComData!$CK$4</f>
        <v>1297095323.1856244</v>
      </c>
      <c r="I55" s="533"/>
    </row>
    <row r="56" spans="2:9" ht="15">
      <c r="B56" s="94" t="s">
        <v>195</v>
      </c>
      <c r="C56" s="95"/>
      <c r="D56" s="95"/>
      <c r="E56" s="95"/>
      <c r="F56" s="135"/>
      <c r="G56" s="95"/>
      <c r="H56" s="95"/>
      <c r="I56" s="4"/>
    </row>
    <row r="57" spans="2:9" ht="15">
      <c r="B57" s="94"/>
      <c r="C57" s="95"/>
      <c r="D57" s="95"/>
      <c r="E57" s="95"/>
      <c r="F57" s="135"/>
      <c r="G57" s="95"/>
      <c r="H57" s="95"/>
      <c r="I57" s="4"/>
    </row>
    <row r="58" spans="2:10" ht="15.75">
      <c r="B58" s="100"/>
      <c r="C58" s="95"/>
      <c r="D58" s="95"/>
      <c r="E58" s="95"/>
      <c r="F58" s="135"/>
      <c r="G58" s="95"/>
      <c r="H58" s="95"/>
      <c r="I58" s="206"/>
      <c r="J58" s="75"/>
    </row>
    <row r="59" spans="2:9" ht="18.75" thickBot="1">
      <c r="B59" s="192" t="s">
        <v>38</v>
      </c>
      <c r="C59" s="223"/>
      <c r="D59" s="223"/>
      <c r="E59" s="223"/>
      <c r="F59" s="224"/>
      <c r="G59" s="223"/>
      <c r="H59" s="258"/>
      <c r="I59" s="225">
        <f>VLOOKUP($B$5,ComData!$B$15:$FK$185,103,FALSE)</f>
        <v>2081277.952437968</v>
      </c>
    </row>
    <row r="60" spans="2:9" ht="18">
      <c r="B60" s="101"/>
      <c r="C60" s="95"/>
      <c r="D60" s="95"/>
      <c r="E60" s="95"/>
      <c r="F60" s="135"/>
      <c r="G60" s="95"/>
      <c r="H60" s="235"/>
      <c r="I60" s="136"/>
    </row>
    <row r="61" spans="2:10" ht="18.75" thickBot="1">
      <c r="B61" s="192" t="s">
        <v>39</v>
      </c>
      <c r="C61" s="223"/>
      <c r="D61" s="223"/>
      <c r="E61" s="223"/>
      <c r="F61" s="224"/>
      <c r="G61" s="223"/>
      <c r="H61" s="259"/>
      <c r="I61" s="226">
        <f>VLOOKUP($B$5,ComData!$B$15:$FK$185,104,FALSE)</f>
        <v>783.0240603604093</v>
      </c>
      <c r="J61" s="7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mergeCells count="4">
    <mergeCell ref="B5:C5"/>
    <mergeCell ref="F22:G23"/>
    <mergeCell ref="H53:I53"/>
    <mergeCell ref="H55:I5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tabColor indexed="15"/>
  </sheetPr>
  <dimension ref="B3:K72"/>
  <sheetViews>
    <sheetView zoomScale="85" zoomScaleNormal="85" workbookViewId="0" topLeftCell="A1">
      <selection activeCell="H53" sqref="H53"/>
    </sheetView>
  </sheetViews>
  <sheetFormatPr defaultColWidth="9.140625" defaultRowHeight="12.75"/>
  <cols>
    <col min="1" max="1" width="9.140625" style="3" customWidth="1"/>
    <col min="2" max="8" width="15.00390625" style="3" customWidth="1"/>
    <col min="9" max="9" width="18.8515625" style="3" bestFit="1" customWidth="1"/>
    <col min="10" max="16384" width="9.140625" style="3" customWidth="1"/>
  </cols>
  <sheetData>
    <row r="2" ht="13.5" thickBot="1"/>
    <row r="3" spans="2:9" ht="18">
      <c r="B3" s="22" t="s">
        <v>565</v>
      </c>
      <c r="C3" s="61"/>
      <c r="D3" s="23"/>
      <c r="E3" s="23"/>
      <c r="F3" s="23"/>
      <c r="G3" s="23"/>
      <c r="H3" s="23"/>
      <c r="I3" s="24"/>
    </row>
    <row r="4" spans="2:9" ht="18.75" thickBot="1">
      <c r="B4" s="63"/>
      <c r="C4" s="64"/>
      <c r="D4" s="25"/>
      <c r="E4" s="25"/>
      <c r="F4" s="25"/>
      <c r="G4" s="25"/>
      <c r="H4" s="25"/>
      <c r="I4" s="26"/>
    </row>
    <row r="5" spans="2:9" ht="18.75" thickBot="1">
      <c r="B5" s="527" t="str">
        <f>name</f>
        <v>Adur</v>
      </c>
      <c r="C5" s="528"/>
      <c r="D5" s="25"/>
      <c r="E5" s="25"/>
      <c r="F5" s="25"/>
      <c r="G5" s="25"/>
      <c r="H5" s="25"/>
      <c r="I5" s="26"/>
    </row>
    <row r="6" spans="2:9" ht="12.75">
      <c r="B6" s="10"/>
      <c r="C6" s="25"/>
      <c r="D6" s="25"/>
      <c r="E6" s="25"/>
      <c r="F6" s="25"/>
      <c r="G6" s="25"/>
      <c r="H6" s="25"/>
      <c r="I6" s="26"/>
    </row>
    <row r="7" spans="2:9" ht="13.5" thickBot="1">
      <c r="B7" s="11"/>
      <c r="C7" s="29"/>
      <c r="D7" s="29"/>
      <c r="E7" s="29"/>
      <c r="F7" s="29"/>
      <c r="G7" s="29"/>
      <c r="H7" s="29"/>
      <c r="I7" s="30"/>
    </row>
    <row r="10" ht="13.5" thickBot="1"/>
    <row r="11" spans="2:9" ht="18">
      <c r="B11" s="109"/>
      <c r="C11" s="116"/>
      <c r="D11" s="116"/>
      <c r="E11" s="116"/>
      <c r="F11" s="89"/>
      <c r="G11" s="116"/>
      <c r="H11" s="116"/>
      <c r="I11" s="90"/>
    </row>
    <row r="12" spans="2:9" ht="18">
      <c r="B12" s="260"/>
      <c r="C12" s="196"/>
      <c r="D12" s="261" t="s">
        <v>169</v>
      </c>
      <c r="E12" s="196"/>
      <c r="F12" s="69"/>
      <c r="G12" s="196"/>
      <c r="H12" s="196"/>
      <c r="I12" s="197"/>
    </row>
    <row r="13" spans="2:9" ht="16.5" thickBot="1">
      <c r="B13" s="198"/>
      <c r="C13" s="175"/>
      <c r="D13" s="175"/>
      <c r="E13" s="175"/>
      <c r="F13" s="70"/>
      <c r="G13" s="175"/>
      <c r="H13" s="175"/>
      <c r="I13" s="5"/>
    </row>
    <row r="14" spans="2:9" ht="54">
      <c r="B14" s="251" t="s">
        <v>219</v>
      </c>
      <c r="C14" s="196"/>
      <c r="D14" s="196"/>
      <c r="E14" s="196"/>
      <c r="F14" s="199"/>
      <c r="G14" s="95"/>
      <c r="H14" s="155"/>
      <c r="I14" s="368">
        <f>VLOOKUP(B5,ComData!$B$15:$FK$185,150,FALSE)</f>
        <v>12887156</v>
      </c>
    </row>
    <row r="15" spans="2:9" ht="15.75">
      <c r="B15" s="200"/>
      <c r="C15" s="196"/>
      <c r="D15" s="196"/>
      <c r="E15" s="196"/>
      <c r="F15" s="199"/>
      <c r="G15" s="95"/>
      <c r="H15" s="95"/>
      <c r="I15" s="368"/>
    </row>
    <row r="16" spans="2:9" ht="15">
      <c r="B16" s="134" t="s">
        <v>107</v>
      </c>
      <c r="C16" s="95"/>
      <c r="D16" s="95"/>
      <c r="E16" s="95"/>
      <c r="F16" s="135"/>
      <c r="G16" s="95"/>
      <c r="H16" s="235"/>
      <c r="I16" s="368">
        <f>VLOOKUP($B$5,ComData!$B$15:$FK$185,151,FALSE)</f>
        <v>0</v>
      </c>
    </row>
    <row r="17" spans="2:9" ht="15">
      <c r="B17" s="94"/>
      <c r="C17" s="95"/>
      <c r="D17" s="69"/>
      <c r="E17" s="98"/>
      <c r="F17" s="135"/>
      <c r="G17" s="95"/>
      <c r="H17" s="95"/>
      <c r="I17" s="368"/>
    </row>
    <row r="18" spans="2:9" ht="15">
      <c r="B18" s="94" t="s">
        <v>108</v>
      </c>
      <c r="C18" s="95"/>
      <c r="D18" s="95"/>
      <c r="E18" s="95"/>
      <c r="F18" s="135"/>
      <c r="G18" s="95"/>
      <c r="H18" s="235"/>
      <c r="I18" s="368">
        <f>VLOOKUP($B$5,ComData!$B$15:$FK$185,152,FALSE)</f>
        <v>0</v>
      </c>
    </row>
    <row r="19" spans="2:9" ht="15">
      <c r="B19" s="94"/>
      <c r="C19" s="95"/>
      <c r="D19" s="95"/>
      <c r="E19" s="95"/>
      <c r="F19" s="201"/>
      <c r="G19" s="95"/>
      <c r="H19" s="95"/>
      <c r="I19" s="368"/>
    </row>
    <row r="20" spans="2:9" ht="15">
      <c r="B20" s="94" t="s">
        <v>559</v>
      </c>
      <c r="C20" s="95"/>
      <c r="D20" s="95"/>
      <c r="E20" s="95"/>
      <c r="F20" s="135"/>
      <c r="G20" s="98"/>
      <c r="H20" s="235"/>
      <c r="I20" s="368">
        <f>VLOOKUP($B$5,ComData!$B$15:$FK$185,153,FALSE)</f>
        <v>0</v>
      </c>
    </row>
    <row r="21" spans="2:9" ht="15">
      <c r="B21" s="94" t="s">
        <v>457</v>
      </c>
      <c r="C21" s="95"/>
      <c r="D21" s="95"/>
      <c r="E21" s="95"/>
      <c r="F21" s="201"/>
      <c r="G21" s="95"/>
      <c r="H21" s="235"/>
      <c r="I21" s="368"/>
    </row>
    <row r="22" spans="2:9" ht="15">
      <c r="B22" s="94"/>
      <c r="C22" s="95"/>
      <c r="D22" s="95"/>
      <c r="E22" s="95"/>
      <c r="F22" s="135"/>
      <c r="G22" s="95"/>
      <c r="H22" s="235"/>
      <c r="I22" s="368"/>
    </row>
    <row r="23" spans="2:9" ht="15">
      <c r="B23" s="94" t="s">
        <v>110</v>
      </c>
      <c r="C23" s="95"/>
      <c r="D23" s="95"/>
      <c r="E23" s="95"/>
      <c r="F23" s="135"/>
      <c r="G23" s="95"/>
      <c r="H23" s="235"/>
      <c r="I23" s="368">
        <f>VLOOKUP($B$5,ComData!$B$15:$FK$185,154,FALSE)</f>
        <v>0</v>
      </c>
    </row>
    <row r="24" spans="2:9" ht="15">
      <c r="B24" s="94"/>
      <c r="C24" s="95"/>
      <c r="D24" s="95"/>
      <c r="E24" s="95"/>
      <c r="F24" s="135"/>
      <c r="G24" s="95"/>
      <c r="H24" s="95"/>
      <c r="I24" s="368"/>
    </row>
    <row r="25" spans="2:9" ht="15">
      <c r="B25" s="134" t="s">
        <v>109</v>
      </c>
      <c r="C25" s="95"/>
      <c r="D25" s="95"/>
      <c r="E25" s="95"/>
      <c r="F25" s="135"/>
      <c r="G25" s="95"/>
      <c r="H25" s="235"/>
      <c r="I25" s="368">
        <f>VLOOKUP($B$5,ComData!$B$15:$FK$185,155,FALSE)</f>
        <v>0</v>
      </c>
    </row>
    <row r="26" spans="2:9" ht="15">
      <c r="B26" s="94"/>
      <c r="C26" s="95"/>
      <c r="D26" s="95"/>
      <c r="E26" s="95"/>
      <c r="F26" s="135"/>
      <c r="G26" s="95"/>
      <c r="H26" s="235"/>
      <c r="I26" s="368"/>
    </row>
    <row r="27" spans="2:9" ht="15">
      <c r="B27" s="94" t="s">
        <v>560</v>
      </c>
      <c r="C27" s="95"/>
      <c r="D27" s="95"/>
      <c r="E27" s="95"/>
      <c r="F27" s="201"/>
      <c r="G27" s="95"/>
      <c r="H27" s="235"/>
      <c r="I27" s="368">
        <f>VLOOKUP($B$5,ComData!$B$15:$FK$185,156,FALSE)</f>
        <v>0</v>
      </c>
    </row>
    <row r="28" spans="2:9" ht="15">
      <c r="B28" s="94" t="s">
        <v>566</v>
      </c>
      <c r="C28" s="95"/>
      <c r="D28" s="95"/>
      <c r="E28" s="95"/>
      <c r="F28" s="135"/>
      <c r="G28" s="95"/>
      <c r="H28" s="95"/>
      <c r="I28" s="368"/>
    </row>
    <row r="29" spans="2:9" ht="15">
      <c r="B29" s="94"/>
      <c r="C29" s="95"/>
      <c r="D29" s="95"/>
      <c r="E29" s="95"/>
      <c r="F29" s="144"/>
      <c r="G29" s="95"/>
      <c r="H29" s="95"/>
      <c r="I29" s="368"/>
    </row>
    <row r="30" spans="2:9" ht="15">
      <c r="B30" s="94" t="s">
        <v>561</v>
      </c>
      <c r="C30" s="95"/>
      <c r="D30" s="95"/>
      <c r="E30" s="95"/>
      <c r="F30" s="144"/>
      <c r="G30" s="95"/>
      <c r="H30" s="235"/>
      <c r="I30" s="368">
        <f>VLOOKUP($B$5,ComData!$B$15:$FK$185,157,FALSE)</f>
        <v>0</v>
      </c>
    </row>
    <row r="31" spans="2:9" ht="15">
      <c r="B31" s="94" t="s">
        <v>567</v>
      </c>
      <c r="C31" s="95"/>
      <c r="D31" s="95"/>
      <c r="E31" s="95"/>
      <c r="F31" s="144"/>
      <c r="G31" s="95"/>
      <c r="H31" s="95"/>
      <c r="I31" s="368"/>
    </row>
    <row r="32" spans="2:9" ht="15">
      <c r="B32" s="94" t="s">
        <v>562</v>
      </c>
      <c r="C32" s="95"/>
      <c r="D32" s="95"/>
      <c r="E32" s="95"/>
      <c r="F32" s="144"/>
      <c r="G32" s="95"/>
      <c r="H32" s="95"/>
      <c r="I32" s="368"/>
    </row>
    <row r="33" spans="2:9" ht="15">
      <c r="B33" s="94"/>
      <c r="C33" s="95"/>
      <c r="D33" s="95"/>
      <c r="E33" s="95"/>
      <c r="F33" s="144"/>
      <c r="G33" s="95"/>
      <c r="H33" s="95"/>
      <c r="I33" s="368"/>
    </row>
    <row r="34" spans="2:9" ht="15">
      <c r="B34" s="94" t="s">
        <v>111</v>
      </c>
      <c r="C34" s="95"/>
      <c r="D34" s="95"/>
      <c r="E34" s="95"/>
      <c r="F34" s="144"/>
      <c r="G34" s="95"/>
      <c r="H34" s="95"/>
      <c r="I34" s="368">
        <f>VLOOKUP($B$5,ComData!$B$15:$FK$185,158,FALSE)</f>
        <v>0</v>
      </c>
    </row>
    <row r="35" spans="2:9" ht="15">
      <c r="B35" s="94"/>
      <c r="C35" s="95"/>
      <c r="D35" s="95"/>
      <c r="E35" s="95"/>
      <c r="F35" s="144"/>
      <c r="G35" s="95"/>
      <c r="H35" s="95"/>
      <c r="I35" s="12"/>
    </row>
    <row r="36" spans="2:9" ht="15">
      <c r="B36" s="94"/>
      <c r="C36" s="95"/>
      <c r="D36" s="95"/>
      <c r="E36" s="95"/>
      <c r="F36" s="144"/>
      <c r="G36" s="95"/>
      <c r="H36" s="95"/>
      <c r="I36" s="12"/>
    </row>
    <row r="37" spans="2:9" ht="15">
      <c r="B37" s="94"/>
      <c r="C37" s="95"/>
      <c r="D37" s="95"/>
      <c r="E37" s="95"/>
      <c r="F37" s="144"/>
      <c r="G37" s="95"/>
      <c r="H37" s="95"/>
      <c r="I37" s="12"/>
    </row>
    <row r="38" spans="2:9" ht="15">
      <c r="B38" s="94"/>
      <c r="C38" s="95"/>
      <c r="D38" s="95"/>
      <c r="E38" s="95"/>
      <c r="F38" s="144"/>
      <c r="G38" s="95"/>
      <c r="H38" s="95"/>
      <c r="I38" s="12"/>
    </row>
    <row r="39" spans="2:9" ht="15.75">
      <c r="B39" s="100"/>
      <c r="C39" s="95"/>
      <c r="D39" s="95"/>
      <c r="E39" s="95"/>
      <c r="F39" s="135"/>
      <c r="G39" s="95"/>
      <c r="H39" s="95"/>
      <c r="I39" s="206"/>
    </row>
    <row r="40" spans="2:9" ht="18">
      <c r="B40" s="329" t="s">
        <v>220</v>
      </c>
      <c r="C40" s="330"/>
      <c r="D40" s="330"/>
      <c r="E40" s="331"/>
      <c r="F40" s="332"/>
      <c r="G40" s="331"/>
      <c r="H40" s="333"/>
      <c r="I40" s="356"/>
    </row>
    <row r="41" spans="2:11" ht="18">
      <c r="B41" s="334" t="str">
        <f>"= A+ (B+C)/2 + D + (E+F)/2 - G - H + [ALMO Round 1&amp;2 Capital Sum]"</f>
        <v>= A+ (B+C)/2 + D + (E+F)/2 - G - H + [ALMO Round 1&amp;2 Capital Sum]</v>
      </c>
      <c r="C41" s="335"/>
      <c r="D41" s="335"/>
      <c r="E41" s="335"/>
      <c r="F41" s="336"/>
      <c r="G41" s="335"/>
      <c r="H41" s="335"/>
      <c r="I41" s="370">
        <f>IF('Rent Com'!$G$11=0,0,I14+((I16+I18)/2)+I20+((I23+I25)/2)-I27-I30+I34)</f>
        <v>12887156</v>
      </c>
      <c r="K41" s="21"/>
    </row>
    <row r="42" spans="2:9" ht="18.75" thickBot="1">
      <c r="B42" s="337" t="s">
        <v>563</v>
      </c>
      <c r="C42" s="338"/>
      <c r="D42" s="338"/>
      <c r="E42" s="338"/>
      <c r="F42" s="339"/>
      <c r="G42" s="338"/>
      <c r="H42" s="338"/>
      <c r="I42" s="369"/>
    </row>
    <row r="43" spans="2:9" ht="15.75">
      <c r="B43" s="94"/>
      <c r="C43" s="95"/>
      <c r="D43" s="95"/>
      <c r="E43" s="95"/>
      <c r="F43" s="151"/>
      <c r="G43" s="95"/>
      <c r="H43" s="95"/>
      <c r="I43" s="206"/>
    </row>
    <row r="44" spans="2:9" ht="18">
      <c r="B44" s="262"/>
      <c r="C44" s="95"/>
      <c r="D44" s="263" t="s">
        <v>221</v>
      </c>
      <c r="E44" s="95"/>
      <c r="F44" s="135"/>
      <c r="G44" s="135"/>
      <c r="H44" s="135"/>
      <c r="I44" s="206"/>
    </row>
    <row r="45" spans="2:9" ht="15">
      <c r="B45" s="94"/>
      <c r="C45" s="95"/>
      <c r="D45" s="95"/>
      <c r="E45" s="95"/>
      <c r="F45" s="135"/>
      <c r="G45" s="95"/>
      <c r="H45" s="95"/>
      <c r="I45" s="233"/>
    </row>
    <row r="46" spans="2:9" ht="39.75" customHeight="1" thickBot="1">
      <c r="B46" s="534" t="s">
        <v>42</v>
      </c>
      <c r="C46" s="535"/>
      <c r="D46" s="535"/>
      <c r="E46" s="535"/>
      <c r="F46" s="535"/>
      <c r="G46" s="535"/>
      <c r="H46" s="535"/>
      <c r="I46" s="536"/>
    </row>
    <row r="66" spans="6:7" ht="12.75">
      <c r="F66" s="71"/>
      <c r="G66" s="75"/>
    </row>
    <row r="67" spans="6:7" ht="12.75">
      <c r="F67" s="71"/>
      <c r="G67" s="75"/>
    </row>
    <row r="68" spans="6:7" ht="12.75">
      <c r="F68" s="71"/>
      <c r="G68" s="75"/>
    </row>
    <row r="69" spans="6:7" ht="12.75">
      <c r="F69" s="71"/>
      <c r="G69" s="75"/>
    </row>
    <row r="70" spans="6:7" ht="12.75">
      <c r="F70" s="71"/>
      <c r="G70" s="75"/>
    </row>
    <row r="71" spans="6:7" ht="12.75">
      <c r="F71" s="71"/>
      <c r="G71" s="75"/>
    </row>
    <row r="72" spans="6:7" ht="12.75">
      <c r="F72" s="71"/>
      <c r="G72" s="75"/>
    </row>
  </sheetData>
  <mergeCells count="2">
    <mergeCell ref="B5:C5"/>
    <mergeCell ref="B46:I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tabColor indexed="15"/>
  </sheetPr>
  <dimension ref="B3:I184"/>
  <sheetViews>
    <sheetView zoomScale="85" zoomScaleNormal="85" workbookViewId="0" topLeftCell="A142">
      <selection activeCell="E87" sqref="E87"/>
    </sheetView>
  </sheetViews>
  <sheetFormatPr defaultColWidth="9.140625" defaultRowHeight="12.75"/>
  <cols>
    <col min="1" max="1" width="14.421875" style="3" customWidth="1"/>
    <col min="2" max="7" width="17.28125" style="3" customWidth="1"/>
    <col min="8" max="8" width="18.8515625" style="3" bestFit="1" customWidth="1"/>
    <col min="9" max="10" width="14.421875" style="3" customWidth="1"/>
    <col min="11" max="16384" width="9.140625" style="3" customWidth="1"/>
  </cols>
  <sheetData>
    <row r="2" ht="13.5" thickBot="1"/>
    <row r="3" spans="2:7" ht="18">
      <c r="B3" s="22" t="s">
        <v>431</v>
      </c>
      <c r="C3" s="228"/>
      <c r="D3" s="23"/>
      <c r="E3" s="23"/>
      <c r="F3" s="23"/>
      <c r="G3" s="24"/>
    </row>
    <row r="4" spans="2:7" ht="18.75" thickBot="1">
      <c r="B4" s="229"/>
      <c r="C4" s="230"/>
      <c r="D4" s="25"/>
      <c r="E4" s="25"/>
      <c r="F4" s="25"/>
      <c r="G4" s="26"/>
    </row>
    <row r="5" spans="2:7" ht="18.75" thickBot="1">
      <c r="B5" s="527" t="str">
        <f>name</f>
        <v>Adur</v>
      </c>
      <c r="C5" s="529"/>
      <c r="D5" s="25"/>
      <c r="E5" s="25"/>
      <c r="F5" s="25"/>
      <c r="G5" s="26"/>
    </row>
    <row r="6" spans="2:7" ht="13.5" thickBot="1">
      <c r="B6" s="11"/>
      <c r="C6" s="29"/>
      <c r="D6" s="29"/>
      <c r="E6" s="29"/>
      <c r="F6" s="29"/>
      <c r="G6" s="30"/>
    </row>
    <row r="10" ht="13.5" thickBot="1"/>
    <row r="11" spans="2:8" ht="18">
      <c r="B11" s="109" t="s">
        <v>56</v>
      </c>
      <c r="C11" s="89"/>
      <c r="D11" s="89"/>
      <c r="E11" s="89"/>
      <c r="F11" s="33"/>
      <c r="G11" s="340">
        <f>VLOOKUP($B$5,ComData!$B$15:$FK$185,105,FALSE)</f>
        <v>2658</v>
      </c>
      <c r="H11" s="90"/>
    </row>
    <row r="12" spans="2:8" ht="15.75">
      <c r="B12" s="110"/>
      <c r="C12" s="69"/>
      <c r="D12" s="69"/>
      <c r="E12" s="111"/>
      <c r="F12" s="112"/>
      <c r="G12" s="113"/>
      <c r="H12" s="114"/>
    </row>
    <row r="13" spans="2:8" ht="13.5" thickBot="1">
      <c r="B13" s="103"/>
      <c r="C13" s="70"/>
      <c r="D13" s="70"/>
      <c r="E13" s="70"/>
      <c r="F13" s="115"/>
      <c r="G13" s="70"/>
      <c r="H13" s="5"/>
    </row>
    <row r="14" spans="2:8" ht="18">
      <c r="B14" s="31" t="s">
        <v>293</v>
      </c>
      <c r="C14" s="116"/>
      <c r="D14" s="116"/>
      <c r="E14" s="116"/>
      <c r="F14" s="117"/>
      <c r="G14" s="116"/>
      <c r="H14" s="118"/>
    </row>
    <row r="15" spans="2:8" ht="15.75">
      <c r="B15" s="119"/>
      <c r="C15" s="120"/>
      <c r="D15" s="120"/>
      <c r="E15" s="120"/>
      <c r="F15" s="121"/>
      <c r="G15" s="120"/>
      <c r="H15" s="122"/>
    </row>
    <row r="16" spans="2:8" ht="15">
      <c r="B16" s="41" t="s">
        <v>294</v>
      </c>
      <c r="C16" s="123"/>
      <c r="D16" s="123"/>
      <c r="E16" s="123"/>
      <c r="F16" s="124" t="s">
        <v>295</v>
      </c>
      <c r="G16" s="125">
        <v>0.7</v>
      </c>
      <c r="H16" s="126"/>
    </row>
    <row r="17" spans="2:8" ht="15">
      <c r="B17" s="41" t="s">
        <v>297</v>
      </c>
      <c r="C17" s="123"/>
      <c r="D17" s="123"/>
      <c r="E17" s="123"/>
      <c r="F17" s="124" t="s">
        <v>296</v>
      </c>
      <c r="G17" s="125">
        <v>0.3</v>
      </c>
      <c r="H17" s="126"/>
    </row>
    <row r="18" spans="2:8" ht="15">
      <c r="B18" s="41"/>
      <c r="C18" s="123"/>
      <c r="D18" s="123"/>
      <c r="E18" s="123"/>
      <c r="F18" s="127"/>
      <c r="G18" s="123"/>
      <c r="H18" s="126"/>
    </row>
    <row r="19" spans="2:8" ht="15">
      <c r="B19" s="128" t="s">
        <v>298</v>
      </c>
      <c r="C19" s="123"/>
      <c r="D19" s="123"/>
      <c r="E19" s="123"/>
      <c r="F19" s="127"/>
      <c r="G19" s="123"/>
      <c r="H19" s="126"/>
    </row>
    <row r="20" spans="2:8" ht="15">
      <c r="B20" s="128" t="s">
        <v>299</v>
      </c>
      <c r="C20" s="123"/>
      <c r="D20" s="123"/>
      <c r="E20" s="123"/>
      <c r="F20" s="127"/>
      <c r="G20" s="123"/>
      <c r="H20" s="126"/>
    </row>
    <row r="21" spans="2:8" ht="15">
      <c r="B21" s="41"/>
      <c r="C21" s="123"/>
      <c r="D21" s="123"/>
      <c r="E21" s="123"/>
      <c r="F21" s="127"/>
      <c r="G21" s="123"/>
      <c r="H21" s="126"/>
    </row>
    <row r="22" spans="2:8" ht="15">
      <c r="B22" s="129"/>
      <c r="C22" s="130"/>
      <c r="D22" s="130"/>
      <c r="E22" s="130"/>
      <c r="F22" s="131"/>
      <c r="G22" s="130"/>
      <c r="H22" s="132"/>
    </row>
    <row r="23" spans="2:8" ht="15">
      <c r="B23" s="128" t="s">
        <v>300</v>
      </c>
      <c r="C23" s="123"/>
      <c r="D23" s="123"/>
      <c r="E23" s="123"/>
      <c r="F23" s="127"/>
      <c r="G23" s="123"/>
      <c r="H23" s="126"/>
    </row>
    <row r="24" spans="2:8" ht="15">
      <c r="B24" s="133"/>
      <c r="C24" s="123"/>
      <c r="D24" s="123"/>
      <c r="E24" s="123"/>
      <c r="F24" s="127"/>
      <c r="G24" s="123"/>
      <c r="H24" s="126"/>
    </row>
    <row r="25" spans="2:8" ht="15">
      <c r="B25" s="134" t="s">
        <v>301</v>
      </c>
      <c r="C25" s="95"/>
      <c r="D25" s="95"/>
      <c r="E25" s="95"/>
      <c r="F25" s="135"/>
      <c r="G25" s="95"/>
      <c r="H25" s="136"/>
    </row>
    <row r="26" spans="2:8" ht="15">
      <c r="B26" s="134" t="s">
        <v>302</v>
      </c>
      <c r="C26" s="95"/>
      <c r="D26" s="69"/>
      <c r="E26" s="98"/>
      <c r="F26" s="135"/>
      <c r="G26" s="95"/>
      <c r="H26" s="136"/>
    </row>
    <row r="27" spans="2:8" ht="15">
      <c r="B27" s="94" t="s">
        <v>303</v>
      </c>
      <c r="C27" s="95"/>
      <c r="D27" s="95"/>
      <c r="E27" s="95"/>
      <c r="F27" s="135"/>
      <c r="G27" s="95"/>
      <c r="H27" s="136"/>
    </row>
    <row r="28" spans="2:8" ht="15">
      <c r="B28" s="94"/>
      <c r="C28" s="95"/>
      <c r="D28" s="95"/>
      <c r="E28" s="95"/>
      <c r="F28" s="135"/>
      <c r="G28" s="95"/>
      <c r="H28" s="136"/>
    </row>
    <row r="29" spans="2:8" ht="15.75">
      <c r="B29" s="94"/>
      <c r="C29" s="95"/>
      <c r="D29" s="137" t="s">
        <v>304</v>
      </c>
      <c r="E29" s="137"/>
      <c r="F29" s="138" t="s">
        <v>305</v>
      </c>
      <c r="G29" s="95"/>
      <c r="H29" s="136"/>
    </row>
    <row r="30" spans="2:8" ht="15">
      <c r="B30" s="94"/>
      <c r="C30" s="95"/>
      <c r="D30" s="95" t="s">
        <v>306</v>
      </c>
      <c r="E30" s="95"/>
      <c r="F30" s="139">
        <v>0.9</v>
      </c>
      <c r="G30" s="95"/>
      <c r="H30" s="136"/>
    </row>
    <row r="31" spans="2:8" ht="15">
      <c r="B31" s="94"/>
      <c r="C31" s="95"/>
      <c r="D31" s="95" t="s">
        <v>307</v>
      </c>
      <c r="E31" s="95"/>
      <c r="F31" s="139">
        <v>1</v>
      </c>
      <c r="G31" s="95"/>
      <c r="H31" s="136"/>
    </row>
    <row r="32" spans="2:8" ht="15">
      <c r="B32" s="94"/>
      <c r="C32" s="95"/>
      <c r="D32" s="95" t="s">
        <v>308</v>
      </c>
      <c r="E32" s="95"/>
      <c r="F32" s="139">
        <v>1.1</v>
      </c>
      <c r="G32" s="98"/>
      <c r="H32" s="136"/>
    </row>
    <row r="33" spans="2:8" ht="15">
      <c r="B33" s="94"/>
      <c r="C33" s="95"/>
      <c r="D33" s="95" t="s">
        <v>309</v>
      </c>
      <c r="E33" s="95"/>
      <c r="F33" s="139">
        <v>1.2</v>
      </c>
      <c r="G33" s="95"/>
      <c r="H33" s="136"/>
    </row>
    <row r="34" spans="2:8" ht="15.75">
      <c r="B34" s="100"/>
      <c r="C34" s="95"/>
      <c r="D34" s="95" t="s">
        <v>310</v>
      </c>
      <c r="E34" s="95"/>
      <c r="F34" s="139">
        <v>1.3</v>
      </c>
      <c r="G34" s="95"/>
      <c r="H34" s="136"/>
    </row>
    <row r="35" spans="2:8" ht="15">
      <c r="B35" s="94"/>
      <c r="C35" s="95"/>
      <c r="D35" s="95" t="s">
        <v>311</v>
      </c>
      <c r="E35" s="95"/>
      <c r="F35" s="139">
        <v>1.4</v>
      </c>
      <c r="G35" s="95"/>
      <c r="H35" s="136"/>
    </row>
    <row r="36" spans="2:8" ht="15">
      <c r="B36" s="94"/>
      <c r="C36" s="95"/>
      <c r="D36" s="95" t="s">
        <v>312</v>
      </c>
      <c r="E36" s="95"/>
      <c r="F36" s="139">
        <v>0.8</v>
      </c>
      <c r="G36" s="95"/>
      <c r="H36" s="136"/>
    </row>
    <row r="37" spans="2:8" ht="15">
      <c r="B37" s="94"/>
      <c r="C37" s="95"/>
      <c r="D37" s="95" t="s">
        <v>313</v>
      </c>
      <c r="E37" s="95"/>
      <c r="F37" s="139">
        <v>1</v>
      </c>
      <c r="G37" s="95"/>
      <c r="H37" s="136"/>
    </row>
    <row r="38" spans="2:8" ht="15">
      <c r="B38" s="94"/>
      <c r="C38" s="95"/>
      <c r="D38" s="95"/>
      <c r="E38" s="95"/>
      <c r="F38" s="139"/>
      <c r="G38" s="95"/>
      <c r="H38" s="136"/>
    </row>
    <row r="39" spans="2:8" ht="15">
      <c r="B39" s="140"/>
      <c r="C39" s="141"/>
      <c r="D39" s="141"/>
      <c r="E39" s="141"/>
      <c r="F39" s="142"/>
      <c r="G39" s="141"/>
      <c r="H39" s="143"/>
    </row>
    <row r="40" spans="2:8" ht="15.75">
      <c r="B40" s="100" t="s">
        <v>314</v>
      </c>
      <c r="C40" s="95"/>
      <c r="D40" s="95"/>
      <c r="E40" s="95"/>
      <c r="F40" s="144"/>
      <c r="G40" s="365">
        <f>VLOOKUP($B$5,ComData!$B$15:$FK$185,106,FALSE)</f>
        <v>0.9936794582392777</v>
      </c>
      <c r="H40" s="136"/>
    </row>
    <row r="41" spans="2:8" ht="15.75">
      <c r="B41" s="145"/>
      <c r="C41" s="146"/>
      <c r="D41" s="146"/>
      <c r="E41" s="146"/>
      <c r="F41" s="147"/>
      <c r="G41" s="146"/>
      <c r="H41" s="148"/>
    </row>
    <row r="42" spans="2:8" ht="15">
      <c r="B42" s="140"/>
      <c r="C42" s="141"/>
      <c r="D42" s="141"/>
      <c r="E42" s="141"/>
      <c r="F42" s="149"/>
      <c r="G42" s="141"/>
      <c r="H42" s="143"/>
    </row>
    <row r="43" spans="2:8" ht="15.75">
      <c r="B43" s="150" t="s">
        <v>245</v>
      </c>
      <c r="C43" s="95"/>
      <c r="D43" s="95"/>
      <c r="E43" s="95"/>
      <c r="F43" s="135"/>
      <c r="G43" s="93">
        <v>54.62</v>
      </c>
      <c r="H43" s="136"/>
    </row>
    <row r="44" spans="2:8" ht="15">
      <c r="B44" s="94"/>
      <c r="C44" s="95"/>
      <c r="D44" s="95"/>
      <c r="E44" s="95"/>
      <c r="F44" s="135"/>
      <c r="G44" s="95"/>
      <c r="H44" s="136"/>
    </row>
    <row r="45" spans="2:8" ht="15">
      <c r="B45" s="94"/>
      <c r="C45" s="95"/>
      <c r="D45" s="95"/>
      <c r="E45" s="95"/>
      <c r="F45" s="135"/>
      <c r="G45" s="95"/>
      <c r="H45" s="136"/>
    </row>
    <row r="46" spans="2:8" ht="15.75">
      <c r="B46" s="150" t="s">
        <v>246</v>
      </c>
      <c r="C46" s="95"/>
      <c r="D46" s="95"/>
      <c r="E46" s="95"/>
      <c r="F46" s="135"/>
      <c r="G46" s="341">
        <f>G50/G52</f>
        <v>1.0508849557522124</v>
      </c>
      <c r="H46" s="136"/>
    </row>
    <row r="47" spans="2:8" ht="15">
      <c r="B47" s="94"/>
      <c r="C47" s="95"/>
      <c r="D47" s="95"/>
      <c r="E47" s="95"/>
      <c r="F47" s="151"/>
      <c r="G47" s="95"/>
      <c r="H47" s="136"/>
    </row>
    <row r="48" spans="2:8" ht="15.75">
      <c r="B48" s="94" t="s">
        <v>243</v>
      </c>
      <c r="C48" s="95"/>
      <c r="D48" s="95"/>
      <c r="E48" s="95"/>
      <c r="F48" s="135"/>
      <c r="G48" s="152"/>
      <c r="H48" s="136"/>
    </row>
    <row r="49" spans="2:8" ht="15">
      <c r="B49" s="94"/>
      <c r="C49" s="95"/>
      <c r="D49" s="95"/>
      <c r="E49" s="95"/>
      <c r="F49" s="135"/>
      <c r="G49" s="95"/>
      <c r="H49" s="136"/>
    </row>
    <row r="50" spans="2:8" ht="15.75">
      <c r="B50" s="150" t="s">
        <v>250</v>
      </c>
      <c r="C50" s="95"/>
      <c r="D50" s="95"/>
      <c r="E50" s="95"/>
      <c r="F50" s="135"/>
      <c r="G50" s="93">
        <f>VLOOKUP($B$5,ComData!$B$15:$FK$185,107,FALSE)</f>
        <v>332.5</v>
      </c>
      <c r="H50" s="136"/>
    </row>
    <row r="51" spans="2:8" ht="15">
      <c r="B51" s="94"/>
      <c r="C51" s="95"/>
      <c r="D51" s="95"/>
      <c r="E51" s="95"/>
      <c r="F51" s="135"/>
      <c r="G51" s="95"/>
      <c r="H51" s="136"/>
    </row>
    <row r="52" spans="2:8" ht="15.75">
      <c r="B52" s="150" t="s">
        <v>251</v>
      </c>
      <c r="C52" s="95"/>
      <c r="D52" s="95"/>
      <c r="E52" s="95"/>
      <c r="F52" s="135"/>
      <c r="G52" s="93">
        <v>316.4</v>
      </c>
      <c r="H52" s="136"/>
    </row>
    <row r="53" spans="2:8" ht="15">
      <c r="B53" s="94"/>
      <c r="C53" s="95"/>
      <c r="D53" s="95"/>
      <c r="E53" s="95"/>
      <c r="F53" s="135"/>
      <c r="G53" s="95"/>
      <c r="H53" s="136"/>
    </row>
    <row r="54" spans="2:8" ht="15">
      <c r="B54" s="94"/>
      <c r="C54" s="95"/>
      <c r="D54" s="95"/>
      <c r="E54" s="95"/>
      <c r="F54" s="135"/>
      <c r="G54" s="95"/>
      <c r="H54" s="136"/>
    </row>
    <row r="55" spans="2:8" ht="15.75">
      <c r="B55" s="150" t="s">
        <v>252</v>
      </c>
      <c r="C55" s="95"/>
      <c r="D55" s="95"/>
      <c r="E55" s="95"/>
      <c r="F55" s="135"/>
      <c r="G55" s="341">
        <f>G59/G61</f>
        <v>1.0565829145728642</v>
      </c>
      <c r="H55" s="136"/>
    </row>
    <row r="56" spans="2:8" ht="15">
      <c r="B56" s="94"/>
      <c r="C56" s="95"/>
      <c r="D56" s="95"/>
      <c r="E56" s="95"/>
      <c r="F56" s="135"/>
      <c r="G56" s="95"/>
      <c r="H56" s="136"/>
    </row>
    <row r="57" spans="2:8" ht="15">
      <c r="B57" s="94" t="s">
        <v>244</v>
      </c>
      <c r="C57" s="95"/>
      <c r="D57" s="95"/>
      <c r="E57" s="95"/>
      <c r="F57" s="135"/>
      <c r="G57" s="95"/>
      <c r="H57" s="136"/>
    </row>
    <row r="58" spans="2:8" ht="15">
      <c r="B58" s="94"/>
      <c r="C58" s="95"/>
      <c r="D58" s="95"/>
      <c r="E58" s="95"/>
      <c r="F58" s="135"/>
      <c r="G58" s="95"/>
      <c r="H58" s="136"/>
    </row>
    <row r="59" spans="2:8" ht="15.75">
      <c r="B59" s="150" t="s">
        <v>253</v>
      </c>
      <c r="C59" s="95"/>
      <c r="D59" s="95"/>
      <c r="E59" s="95"/>
      <c r="F59" s="135"/>
      <c r="G59" s="155">
        <f>VLOOKUP($B$5,ComData!$B$15:$FK$185,108,FALSE)</f>
        <v>52565</v>
      </c>
      <c r="H59" s="136"/>
    </row>
    <row r="60" spans="2:8" ht="15">
      <c r="B60" s="94"/>
      <c r="C60" s="95"/>
      <c r="D60" s="95"/>
      <c r="E60" s="95"/>
      <c r="F60" s="135"/>
      <c r="G60" s="95"/>
      <c r="H60" s="136"/>
    </row>
    <row r="61" spans="2:8" ht="15.75">
      <c r="B61" s="150" t="s">
        <v>254</v>
      </c>
      <c r="C61" s="95"/>
      <c r="D61" s="95"/>
      <c r="E61" s="95"/>
      <c r="F61" s="151"/>
      <c r="G61" s="155">
        <v>49750</v>
      </c>
      <c r="H61" s="136"/>
    </row>
    <row r="62" spans="2:8" ht="15.75">
      <c r="B62" s="94"/>
      <c r="C62" s="95"/>
      <c r="D62" s="95"/>
      <c r="E62" s="95"/>
      <c r="F62" s="151"/>
      <c r="G62" s="155"/>
      <c r="H62" s="136"/>
    </row>
    <row r="63" spans="2:8" ht="15.75">
      <c r="B63" s="94"/>
      <c r="C63" s="95"/>
      <c r="D63" s="95"/>
      <c r="E63" s="95"/>
      <c r="F63" s="151"/>
      <c r="G63" s="155"/>
      <c r="H63" s="136"/>
    </row>
    <row r="64" spans="2:8" ht="18.75" thickBot="1">
      <c r="B64" s="156" t="s">
        <v>315</v>
      </c>
      <c r="C64" s="157"/>
      <c r="D64" s="157"/>
      <c r="E64" s="157"/>
      <c r="F64" s="158"/>
      <c r="G64" s="159"/>
      <c r="H64" s="160"/>
    </row>
    <row r="65" spans="2:8" ht="15">
      <c r="B65" s="94"/>
      <c r="C65" s="95"/>
      <c r="D65" s="95"/>
      <c r="E65" s="95"/>
      <c r="F65" s="135"/>
      <c r="G65" s="95"/>
      <c r="H65" s="136"/>
    </row>
    <row r="66" spans="2:8" ht="18">
      <c r="B66" s="36" t="s">
        <v>316</v>
      </c>
      <c r="C66" s="95"/>
      <c r="D66" s="95"/>
      <c r="E66" s="95"/>
      <c r="F66" s="135"/>
      <c r="G66" s="95"/>
      <c r="H66" s="136"/>
    </row>
    <row r="67" spans="2:8" ht="18">
      <c r="B67" s="36"/>
      <c r="C67" s="95"/>
      <c r="D67" s="95"/>
      <c r="E67" s="95"/>
      <c r="F67" s="135"/>
      <c r="G67" s="95"/>
      <c r="H67" s="136"/>
    </row>
    <row r="68" spans="2:8" ht="15">
      <c r="B68" s="94" t="s">
        <v>318</v>
      </c>
      <c r="C68" s="95"/>
      <c r="D68" s="95"/>
      <c r="E68" s="95"/>
      <c r="F68" s="135"/>
      <c r="G68" s="95"/>
      <c r="H68" s="136"/>
    </row>
    <row r="69" spans="2:8" ht="15">
      <c r="B69" s="94" t="s">
        <v>319</v>
      </c>
      <c r="C69" s="95"/>
      <c r="D69" s="95"/>
      <c r="E69" s="95"/>
      <c r="F69" s="161" t="s">
        <v>317</v>
      </c>
      <c r="G69" s="162">
        <v>0.01</v>
      </c>
      <c r="H69" s="136"/>
    </row>
    <row r="70" spans="2:8" ht="15">
      <c r="B70" s="94"/>
      <c r="C70" s="95"/>
      <c r="D70" s="95"/>
      <c r="E70" s="95"/>
      <c r="F70" s="161"/>
      <c r="G70" s="162"/>
      <c r="H70" s="136"/>
    </row>
    <row r="71" spans="2:8" ht="15">
      <c r="B71" s="94" t="s">
        <v>320</v>
      </c>
      <c r="C71" s="95"/>
      <c r="D71" s="95"/>
      <c r="E71" s="95"/>
      <c r="F71" s="161"/>
      <c r="G71" s="162"/>
      <c r="H71" s="136"/>
    </row>
    <row r="72" spans="2:8" ht="15">
      <c r="B72" s="94" t="s">
        <v>319</v>
      </c>
      <c r="C72" s="95"/>
      <c r="D72" s="95"/>
      <c r="E72" s="95"/>
      <c r="F72" s="161" t="s">
        <v>317</v>
      </c>
      <c r="G72" s="162">
        <v>0.005</v>
      </c>
      <c r="H72" s="136"/>
    </row>
    <row r="73" spans="2:8" ht="15">
      <c r="B73" s="94"/>
      <c r="C73" s="95"/>
      <c r="D73" s="95"/>
      <c r="E73" s="95"/>
      <c r="F73" s="161"/>
      <c r="G73" s="162"/>
      <c r="H73" s="136"/>
    </row>
    <row r="74" spans="2:8" ht="15.75">
      <c r="B74" s="94"/>
      <c r="C74" s="163"/>
      <c r="D74" s="95"/>
      <c r="E74" s="137" t="s">
        <v>192</v>
      </c>
      <c r="F74" s="161"/>
      <c r="G74" s="137" t="s">
        <v>330</v>
      </c>
      <c r="H74" s="136"/>
    </row>
    <row r="75" spans="2:8" ht="15.75">
      <c r="B75" s="94"/>
      <c r="C75" s="164" t="s">
        <v>321</v>
      </c>
      <c r="D75" s="95"/>
      <c r="E75" s="165">
        <f>ComData!DC2</f>
        <v>0.033</v>
      </c>
      <c r="F75" s="161"/>
      <c r="G75" s="153">
        <f>VLOOKUP($B$5,ComData!$B$15:$FK$185,110,FALSE)</f>
        <v>59.700012709025536</v>
      </c>
      <c r="H75" s="136"/>
    </row>
    <row r="76" spans="2:8" ht="15.75">
      <c r="B76" s="94"/>
      <c r="C76" s="164" t="s">
        <v>322</v>
      </c>
      <c r="D76" s="95"/>
      <c r="E76" s="165">
        <f>ComData!DC3</f>
        <v>0.017</v>
      </c>
      <c r="F76" s="161"/>
      <c r="G76" s="153">
        <f>VLOOKUP($B$5,ComData!$B$15:$FK$185,111,FALSE)</f>
        <v>61.01341298862408</v>
      </c>
      <c r="H76" s="136"/>
    </row>
    <row r="77" spans="2:8" ht="15.75">
      <c r="B77" s="94"/>
      <c r="C77" s="164" t="s">
        <v>323</v>
      </c>
      <c r="D77" s="95"/>
      <c r="E77" s="165">
        <f>ComData!DC4</f>
        <v>0.017</v>
      </c>
      <c r="F77" s="161"/>
      <c r="G77" s="153">
        <f>VLOOKUP($B$5,ComData!$B$15:$FK$185,112,FALSE)</f>
        <v>62.3557080743738</v>
      </c>
      <c r="H77" s="136"/>
    </row>
    <row r="78" spans="2:8" ht="15.75">
      <c r="B78" s="94"/>
      <c r="C78" s="164" t="s">
        <v>324</v>
      </c>
      <c r="D78" s="95"/>
      <c r="E78" s="165">
        <f>ComData!DC5</f>
        <v>0.028000000000000025</v>
      </c>
      <c r="F78" s="161"/>
      <c r="G78" s="153">
        <f>VLOOKUP($B$5,ComData!$B$15:$FK$185,113,FALSE)</f>
        <v>64.41344644082812</v>
      </c>
      <c r="H78" s="136"/>
    </row>
    <row r="79" spans="2:8" ht="15.75">
      <c r="B79" s="94"/>
      <c r="C79" s="164" t="s">
        <v>325</v>
      </c>
      <c r="D79" s="95"/>
      <c r="E79" s="165">
        <f>ComData!DC6</f>
        <v>0.031</v>
      </c>
      <c r="F79" s="161"/>
      <c r="G79" s="153">
        <f>VLOOKUP($B$5,ComData!$B$15:$FK$185,114,FALSE)</f>
        <v>66.73233051269793</v>
      </c>
      <c r="H79" s="136"/>
    </row>
    <row r="80" spans="2:8" ht="15.75">
      <c r="B80" s="94"/>
      <c r="C80" s="164" t="s">
        <v>326</v>
      </c>
      <c r="D80" s="95"/>
      <c r="E80" s="165">
        <f>ComData!DC7</f>
        <v>0.027</v>
      </c>
      <c r="F80" s="161"/>
      <c r="G80" s="153">
        <f>VLOOKUP($B$5,ComData!$B$15:$FK$185,115,FALSE)</f>
        <v>68.86776508910425</v>
      </c>
      <c r="H80" s="136"/>
    </row>
    <row r="81" spans="2:8" ht="15.75">
      <c r="B81" s="94"/>
      <c r="C81" s="164" t="s">
        <v>327</v>
      </c>
      <c r="D81" s="95"/>
      <c r="E81" s="165">
        <f>ComData!DC8</f>
        <v>0.03600000000000003</v>
      </c>
      <c r="F81" s="161"/>
      <c r="G81" s="153">
        <f>VLOOKUP($B$5,ComData!$B$15:$FK$185,116,FALSE)</f>
        <v>71.69134345775753</v>
      </c>
      <c r="H81" s="136"/>
    </row>
    <row r="82" spans="2:8" ht="15.75">
      <c r="B82" s="94"/>
      <c r="C82" s="164" t="s">
        <v>328</v>
      </c>
      <c r="D82" s="95"/>
      <c r="E82" s="165">
        <f>ComData!DC9</f>
        <v>0.039</v>
      </c>
      <c r="F82" s="161"/>
      <c r="G82" s="153">
        <f>VLOOKUP($B$5,ComData!$B$15:$FK$185,117,FALSE)</f>
        <v>74.84576256989884</v>
      </c>
      <c r="H82" s="136"/>
    </row>
    <row r="83" spans="2:8" ht="15.75">
      <c r="B83" s="94"/>
      <c r="C83" s="164" t="s">
        <v>329</v>
      </c>
      <c r="D83" s="95"/>
      <c r="E83" s="165">
        <f>ComData!DC10</f>
        <v>0.05</v>
      </c>
      <c r="F83" s="161"/>
      <c r="G83" s="153">
        <f>VLOOKUP($B$5,ComData!$B$15:$FK$185,118,FALSE)</f>
        <v>78.96227951124327</v>
      </c>
      <c r="H83" s="136"/>
    </row>
    <row r="84" spans="2:8" ht="15.75">
      <c r="B84" s="94"/>
      <c r="C84" s="164" t="s">
        <v>331</v>
      </c>
      <c r="D84" s="95"/>
      <c r="E84" s="165">
        <f>ComData!DC11</f>
        <v>-0.014</v>
      </c>
      <c r="F84" s="161"/>
      <c r="G84" s="153">
        <f>VLOOKUP($B$5,ComData!$B$15:$FK$185,119,FALSE)</f>
        <v>78.25161899564208</v>
      </c>
      <c r="H84" s="136"/>
    </row>
    <row r="85" spans="2:8" ht="15.75">
      <c r="B85" s="94"/>
      <c r="C85" s="164" t="s">
        <v>332</v>
      </c>
      <c r="D85" s="95"/>
      <c r="E85" s="165">
        <f>ComData!DC12</f>
        <v>0.046</v>
      </c>
      <c r="F85" s="161"/>
      <c r="G85" s="153">
        <f>VLOOKUP($B$5,ComData!$B$15:$FK$185,120,FALSE)</f>
        <v>82.24245156441982</v>
      </c>
      <c r="H85" s="136"/>
    </row>
    <row r="86" spans="2:8" ht="16.5" thickBot="1">
      <c r="B86" s="166"/>
      <c r="C86" s="167" t="s">
        <v>222</v>
      </c>
      <c r="D86" s="168"/>
      <c r="E86" s="169">
        <f>ComData!$DE$2</f>
        <v>0.056</v>
      </c>
      <c r="F86" s="170"/>
      <c r="G86" s="171">
        <f>VLOOKUP($B$5,ComData!$B$15:$FK$185,121,FALSE)</f>
        <v>87.25924110984943</v>
      </c>
      <c r="H86" s="172"/>
    </row>
    <row r="87" spans="2:8" ht="15">
      <c r="B87" s="94"/>
      <c r="C87" s="95"/>
      <c r="D87" s="95"/>
      <c r="E87" s="95"/>
      <c r="F87" s="161"/>
      <c r="G87" s="162"/>
      <c r="H87" s="136"/>
    </row>
    <row r="88" spans="2:8" ht="18">
      <c r="B88" s="101" t="s">
        <v>333</v>
      </c>
      <c r="C88" s="173"/>
      <c r="D88" s="95"/>
      <c r="E88" s="95"/>
      <c r="F88" s="161"/>
      <c r="G88" s="162"/>
      <c r="H88" s="136"/>
    </row>
    <row r="89" spans="2:8" ht="18">
      <c r="B89" s="101"/>
      <c r="C89" s="173"/>
      <c r="D89" s="95"/>
      <c r="E89" s="95"/>
      <c r="F89" s="161"/>
      <c r="G89" s="162"/>
      <c r="H89" s="136"/>
    </row>
    <row r="90" spans="2:8" ht="15.75">
      <c r="B90" s="134" t="s">
        <v>334</v>
      </c>
      <c r="C90" s="173"/>
      <c r="D90" s="95"/>
      <c r="E90" s="95"/>
      <c r="F90" s="161"/>
      <c r="G90" s="162"/>
      <c r="H90" s="136"/>
    </row>
    <row r="91" spans="2:8" ht="15.75">
      <c r="B91" s="134" t="s">
        <v>766</v>
      </c>
      <c r="C91" s="173"/>
      <c r="D91" s="95"/>
      <c r="E91" s="95"/>
      <c r="F91" s="161"/>
      <c r="G91" s="162"/>
      <c r="H91" s="136"/>
    </row>
    <row r="92" spans="2:8" ht="18">
      <c r="B92" s="101"/>
      <c r="C92" s="173" t="s">
        <v>335</v>
      </c>
      <c r="D92" s="95"/>
      <c r="E92" s="174" t="s">
        <v>242</v>
      </c>
      <c r="F92" s="161"/>
      <c r="G92" s="162"/>
      <c r="H92" s="136"/>
    </row>
    <row r="93" spans="2:8" ht="15.75">
      <c r="B93" s="94"/>
      <c r="C93" s="173"/>
      <c r="D93" s="95"/>
      <c r="E93" s="95"/>
      <c r="F93" s="161"/>
      <c r="G93" s="358"/>
      <c r="H93" s="136"/>
    </row>
    <row r="94" spans="2:8" ht="15.75">
      <c r="B94" s="94"/>
      <c r="C94" s="173" t="s">
        <v>312</v>
      </c>
      <c r="D94" s="495">
        <v>119.6603451648</v>
      </c>
      <c r="E94" s="93">
        <v>127.55792794567681</v>
      </c>
      <c r="F94" s="392"/>
      <c r="G94" s="359"/>
      <c r="H94" s="357"/>
    </row>
    <row r="95" spans="2:8" ht="15.75">
      <c r="B95" s="94"/>
      <c r="C95" s="173" t="s">
        <v>306</v>
      </c>
      <c r="D95" s="495">
        <v>119.6603451648</v>
      </c>
      <c r="E95" s="93">
        <v>127.55792794567681</v>
      </c>
      <c r="F95" s="392"/>
      <c r="G95" s="359"/>
      <c r="H95" s="357"/>
    </row>
    <row r="96" spans="2:8" ht="15.75">
      <c r="B96" s="94"/>
      <c r="C96" s="173" t="s">
        <v>336</v>
      </c>
      <c r="D96" s="495">
        <v>126.69525411840002</v>
      </c>
      <c r="E96" s="93">
        <v>135.0571408902144</v>
      </c>
      <c r="F96" s="392"/>
      <c r="G96" s="359"/>
      <c r="H96" s="357"/>
    </row>
    <row r="97" spans="2:8" ht="15.75">
      <c r="B97" s="94"/>
      <c r="C97" s="173" t="s">
        <v>337</v>
      </c>
      <c r="D97" s="495">
        <v>133.7413118976</v>
      </c>
      <c r="E97" s="93">
        <v>142.56823848284162</v>
      </c>
      <c r="F97" s="392"/>
      <c r="G97" s="359"/>
      <c r="H97" s="357"/>
    </row>
    <row r="98" spans="2:8" ht="15.75">
      <c r="B98" s="94"/>
      <c r="C98" s="173" t="s">
        <v>338</v>
      </c>
      <c r="D98" s="495">
        <v>140.7762208512</v>
      </c>
      <c r="E98" s="93">
        <v>150.0674514273792</v>
      </c>
      <c r="F98" s="392"/>
      <c r="G98" s="359"/>
      <c r="H98" s="357"/>
    </row>
    <row r="99" spans="2:8" ht="15.75">
      <c r="B99" s="94"/>
      <c r="C99" s="173" t="s">
        <v>339</v>
      </c>
      <c r="D99" s="495">
        <v>147.81112980480003</v>
      </c>
      <c r="E99" s="93">
        <v>157.56666437191683</v>
      </c>
      <c r="F99" s="392"/>
      <c r="G99" s="359"/>
      <c r="H99" s="357"/>
    </row>
    <row r="100" spans="2:8" ht="15.75">
      <c r="B100" s="94"/>
      <c r="C100" s="173" t="s">
        <v>340</v>
      </c>
      <c r="D100" s="495">
        <v>154.85718758400003</v>
      </c>
      <c r="E100" s="93">
        <v>165.07776196454404</v>
      </c>
      <c r="F100" s="392"/>
      <c r="G100" s="359"/>
      <c r="H100" s="357"/>
    </row>
    <row r="101" spans="2:8" ht="15.75" thickBot="1">
      <c r="B101" s="99"/>
      <c r="C101" s="175"/>
      <c r="D101" s="175"/>
      <c r="E101" s="175"/>
      <c r="F101" s="176"/>
      <c r="G101" s="176"/>
      <c r="H101" s="177"/>
    </row>
    <row r="102" spans="2:8" ht="18">
      <c r="B102" s="178" t="s">
        <v>353</v>
      </c>
      <c r="C102" s="179"/>
      <c r="D102" s="179"/>
      <c r="E102" s="179"/>
      <c r="F102" s="180"/>
      <c r="G102" s="181"/>
      <c r="H102" s="182"/>
    </row>
    <row r="103" spans="2:8" ht="15">
      <c r="B103" s="94"/>
      <c r="C103" s="95"/>
      <c r="D103" s="95"/>
      <c r="E103" s="95"/>
      <c r="F103" s="135"/>
      <c r="G103" s="95"/>
      <c r="H103" s="136"/>
    </row>
    <row r="104" spans="2:8" ht="15">
      <c r="B104" s="94" t="s">
        <v>341</v>
      </c>
      <c r="C104" s="95"/>
      <c r="D104" s="95"/>
      <c r="E104" s="95"/>
      <c r="F104" s="183"/>
      <c r="G104" s="98"/>
      <c r="H104" s="136"/>
    </row>
    <row r="105" spans="2:8" ht="15">
      <c r="B105" s="94"/>
      <c r="C105" s="95"/>
      <c r="D105" s="95"/>
      <c r="E105" s="95"/>
      <c r="F105" s="183"/>
      <c r="G105" s="98"/>
      <c r="H105" s="136"/>
    </row>
    <row r="106" spans="2:8" ht="15">
      <c r="B106" s="94" t="s">
        <v>342</v>
      </c>
      <c r="C106" s="95"/>
      <c r="D106" s="95"/>
      <c r="E106" s="95"/>
      <c r="F106" s="183"/>
      <c r="G106" s="98"/>
      <c r="H106" s="136"/>
    </row>
    <row r="107" spans="2:8" ht="15">
      <c r="B107" s="94"/>
      <c r="C107" s="95"/>
      <c r="D107" s="95"/>
      <c r="E107" s="95"/>
      <c r="F107" s="135"/>
      <c r="G107" s="95"/>
      <c r="H107" s="136"/>
    </row>
    <row r="108" spans="2:8" ht="15">
      <c r="B108" s="94" t="str">
        <f>CONCATENATE("K*(1+RPI+",G72*100,"%) + (FR - K*(1+RPI+",G72*100,"%)) / n")</f>
        <v>K*(1+RPI+0.5%) + (FR - K*(1+RPI+0.5%)) / n</v>
      </c>
      <c r="C108" s="95"/>
      <c r="D108" s="95"/>
      <c r="E108" s="95"/>
      <c r="F108" s="135"/>
      <c r="G108" s="95"/>
      <c r="H108" s="136"/>
    </row>
    <row r="109" spans="2:8" ht="15">
      <c r="B109" s="94"/>
      <c r="C109" s="95"/>
      <c r="D109" s="95"/>
      <c r="E109" s="95"/>
      <c r="F109" s="135"/>
      <c r="G109" s="95"/>
      <c r="H109" s="136"/>
    </row>
    <row r="110" spans="2:8" ht="15">
      <c r="B110" s="94" t="s">
        <v>343</v>
      </c>
      <c r="C110" s="95"/>
      <c r="D110" s="95"/>
      <c r="E110" s="95"/>
      <c r="F110" s="135"/>
      <c r="G110" s="95"/>
      <c r="H110" s="136"/>
    </row>
    <row r="111" spans="2:8" ht="15">
      <c r="B111" s="94" t="s">
        <v>344</v>
      </c>
      <c r="C111" s="95"/>
      <c r="D111" s="95"/>
      <c r="E111" s="95"/>
      <c r="F111" s="135"/>
      <c r="G111" s="95"/>
      <c r="H111" s="136"/>
    </row>
    <row r="112" spans="2:8" ht="15">
      <c r="B112" s="94" t="s">
        <v>345</v>
      </c>
      <c r="C112" s="135"/>
      <c r="D112" s="135"/>
      <c r="E112" s="95"/>
      <c r="F112" s="135"/>
      <c r="G112" s="95"/>
      <c r="H112" s="136"/>
    </row>
    <row r="113" spans="2:8" ht="15">
      <c r="B113" s="94"/>
      <c r="C113" s="135"/>
      <c r="D113" s="135"/>
      <c r="E113" s="95"/>
      <c r="F113" s="135"/>
      <c r="G113" s="95"/>
      <c r="H113" s="136"/>
    </row>
    <row r="114" spans="2:8" ht="15">
      <c r="B114" s="94" t="s">
        <v>346</v>
      </c>
      <c r="C114" s="95"/>
      <c r="D114" s="95"/>
      <c r="E114" s="95"/>
      <c r="F114" s="135"/>
      <c r="G114" s="95"/>
      <c r="H114" s="136"/>
    </row>
    <row r="115" spans="2:8" ht="15">
      <c r="B115" s="94" t="s">
        <v>347</v>
      </c>
      <c r="C115" s="95"/>
      <c r="D115" s="95"/>
      <c r="E115" s="95"/>
      <c r="F115" s="135"/>
      <c r="G115" s="95"/>
      <c r="H115" s="136"/>
    </row>
    <row r="116" spans="2:8" ht="15">
      <c r="B116" s="94"/>
      <c r="C116" s="95"/>
      <c r="D116" s="95"/>
      <c r="E116" s="95"/>
      <c r="F116" s="135"/>
      <c r="G116" s="95"/>
      <c r="H116" s="136"/>
    </row>
    <row r="117" spans="2:8" ht="15">
      <c r="B117" s="94" t="s">
        <v>255</v>
      </c>
      <c r="C117" s="95"/>
      <c r="D117" s="95"/>
      <c r="E117" s="95"/>
      <c r="F117" s="135"/>
      <c r="G117" s="95"/>
      <c r="H117" s="136"/>
    </row>
    <row r="118" spans="2:8" ht="15">
      <c r="B118" s="94" t="s">
        <v>348</v>
      </c>
      <c r="C118" s="95"/>
      <c r="D118" s="95"/>
      <c r="E118" s="95"/>
      <c r="F118" s="135"/>
      <c r="G118" s="95"/>
      <c r="H118" s="136"/>
    </row>
    <row r="119" spans="2:8" ht="15">
      <c r="B119" s="94"/>
      <c r="C119" s="95"/>
      <c r="D119" s="95"/>
      <c r="E119" s="95"/>
      <c r="F119" s="135"/>
      <c r="G119" s="95"/>
      <c r="H119" s="136"/>
    </row>
    <row r="120" spans="2:8" ht="15">
      <c r="B120" s="94" t="s">
        <v>256</v>
      </c>
      <c r="C120" s="95"/>
      <c r="D120" s="95"/>
      <c r="E120" s="95"/>
      <c r="F120" s="135"/>
      <c r="G120" s="95"/>
      <c r="H120" s="136"/>
    </row>
    <row r="121" spans="2:8" ht="15">
      <c r="B121" s="94"/>
      <c r="C121" s="95"/>
      <c r="D121" s="95"/>
      <c r="E121" s="95"/>
      <c r="F121" s="135"/>
      <c r="G121" s="95"/>
      <c r="H121" s="136"/>
    </row>
    <row r="122" spans="2:8" ht="15.75">
      <c r="B122" s="94"/>
      <c r="C122" s="95"/>
      <c r="D122" s="95"/>
      <c r="E122" s="137" t="s">
        <v>269</v>
      </c>
      <c r="F122" s="135"/>
      <c r="G122" s="137" t="s">
        <v>350</v>
      </c>
      <c r="H122" s="136"/>
    </row>
    <row r="123" spans="2:9" ht="15.75">
      <c r="B123" s="94"/>
      <c r="C123" s="164" t="s">
        <v>321</v>
      </c>
      <c r="D123" s="95"/>
      <c r="E123" s="95"/>
      <c r="F123" s="135"/>
      <c r="G123" s="153">
        <f>VLOOKUP($B$5,ComData!$B$15:$FK$185,I123,FALSE)</f>
        <v>45.42</v>
      </c>
      <c r="H123" s="136"/>
      <c r="I123" s="362">
        <v>122</v>
      </c>
    </row>
    <row r="124" spans="2:9" ht="15.75">
      <c r="B124" s="94"/>
      <c r="C124" s="164" t="s">
        <v>322</v>
      </c>
      <c r="D124" s="95"/>
      <c r="E124" s="95">
        <v>10</v>
      </c>
      <c r="F124" s="135"/>
      <c r="G124" s="153">
        <f>VLOOKUP($B$5,ComData!$B$15:$FK$185,I124,FALSE)</f>
        <v>47.87865729886241</v>
      </c>
      <c r="H124" s="136"/>
      <c r="I124" s="362">
        <v>123</v>
      </c>
    </row>
    <row r="125" spans="2:9" ht="15.75">
      <c r="B125" s="94"/>
      <c r="C125" s="164" t="s">
        <v>323</v>
      </c>
      <c r="D125" s="95"/>
      <c r="E125" s="95">
        <v>9</v>
      </c>
      <c r="F125" s="135"/>
      <c r="G125" s="153">
        <f>VLOOKUP($B$5,ComData!$B$15:$FK$185,I125,FALSE)</f>
        <v>50.42351223887475</v>
      </c>
      <c r="H125" s="136"/>
      <c r="I125" s="362">
        <v>124</v>
      </c>
    </row>
    <row r="126" spans="2:9" ht="15.75">
      <c r="B126" s="94"/>
      <c r="C126" s="164" t="s">
        <v>324</v>
      </c>
      <c r="D126" s="95"/>
      <c r="E126" s="95">
        <v>8</v>
      </c>
      <c r="F126" s="135"/>
      <c r="G126" s="153">
        <f>VLOOKUP($B$5,ComData!$B$15:$FK$185,I126,FALSE)</f>
        <v>53.62823293001643</v>
      </c>
      <c r="H126" s="136"/>
      <c r="I126" s="362">
        <v>125</v>
      </c>
    </row>
    <row r="127" spans="2:9" ht="15.75">
      <c r="B127" s="94"/>
      <c r="C127" s="164" t="s">
        <v>325</v>
      </c>
      <c r="D127" s="95"/>
      <c r="E127" s="95">
        <v>7</v>
      </c>
      <c r="F127" s="135"/>
      <c r="G127" s="153">
        <f>VLOOKUP($B$5,ComData!$B$15:$FK$185,I127,FALSE)</f>
        <v>57.155060915097145</v>
      </c>
      <c r="H127" s="136"/>
      <c r="I127" s="362">
        <v>126</v>
      </c>
    </row>
    <row r="128" spans="2:9" ht="15.75">
      <c r="B128" s="94"/>
      <c r="C128" s="164" t="s">
        <v>326</v>
      </c>
      <c r="D128" s="95"/>
      <c r="E128" s="95">
        <v>6</v>
      </c>
      <c r="F128" s="135"/>
      <c r="G128" s="153">
        <f>VLOOKUP($B$5,ComData!$B$15:$FK$185,I128,FALSE)</f>
        <v>60.63131323516758</v>
      </c>
      <c r="H128" s="136"/>
      <c r="I128" s="362">
        <v>127</v>
      </c>
    </row>
    <row r="129" spans="2:9" ht="15.75">
      <c r="B129" s="94"/>
      <c r="C129" s="164" t="s">
        <v>327</v>
      </c>
      <c r="D129" s="95"/>
      <c r="E129" s="95">
        <v>5</v>
      </c>
      <c r="F129" s="135"/>
      <c r="G129" s="153">
        <f>VLOOKUP($B$5,ComData!$B$15:$FK$185,I129,FALSE)</f>
        <v>64.83202635379907</v>
      </c>
      <c r="H129" s="136"/>
      <c r="I129" s="362">
        <v>128</v>
      </c>
    </row>
    <row r="130" spans="2:9" ht="15.75">
      <c r="B130" s="94"/>
      <c r="C130" s="164" t="s">
        <v>328</v>
      </c>
      <c r="D130" s="95"/>
      <c r="E130" s="95">
        <v>9</v>
      </c>
      <c r="F130" s="135"/>
      <c r="G130" s="153">
        <f>VLOOKUP($B$5,ComData!$B$15:$FK$185,I130,FALSE)</f>
        <v>68.4803162974254</v>
      </c>
      <c r="H130" s="136"/>
      <c r="I130" s="362">
        <v>129</v>
      </c>
    </row>
    <row r="131" spans="2:9" ht="15.75">
      <c r="B131" s="94"/>
      <c r="C131" s="164" t="s">
        <v>329</v>
      </c>
      <c r="D131" s="184"/>
      <c r="E131" s="184">
        <v>15</v>
      </c>
      <c r="F131" s="43"/>
      <c r="G131" s="153">
        <f>VLOOKUP($B$5,ComData!$B$15:$FK$185,I131,FALSE)</f>
        <v>70.57154694306091</v>
      </c>
      <c r="H131" s="136"/>
      <c r="I131" s="362">
        <v>130</v>
      </c>
    </row>
    <row r="132" spans="2:9" ht="15.75">
      <c r="B132" s="94"/>
      <c r="C132" s="164" t="s">
        <v>331</v>
      </c>
      <c r="D132" s="184"/>
      <c r="E132" s="185">
        <v>3.07</v>
      </c>
      <c r="F132" s="43"/>
      <c r="G132" s="153">
        <f>VLOOKUP($B$5,ComData!$B$15:$FK$185,I132,FALSE)</f>
        <v>72.64494242613321</v>
      </c>
      <c r="H132" s="136"/>
      <c r="I132" s="362">
        <v>131</v>
      </c>
    </row>
    <row r="133" spans="2:9" ht="15.75">
      <c r="B133" s="94"/>
      <c r="C133" s="164" t="s">
        <v>332</v>
      </c>
      <c r="D133" s="184"/>
      <c r="E133" s="184">
        <f>ComData!$EC$12</f>
        <v>5</v>
      </c>
      <c r="F133" s="43"/>
      <c r="G133" s="153">
        <f>VLOOKUP($B$5,ComData!$B$15:$FK$185,I133,FALSE)</f>
        <v>77.52835790477677</v>
      </c>
      <c r="H133" s="136"/>
      <c r="I133" s="362">
        <v>132</v>
      </c>
    </row>
    <row r="134" spans="2:9" ht="15.75">
      <c r="B134" s="94"/>
      <c r="C134" s="164" t="s">
        <v>222</v>
      </c>
      <c r="D134" s="184"/>
      <c r="E134" s="184">
        <v>4</v>
      </c>
      <c r="F134" s="43"/>
      <c r="G134" s="153">
        <f>VLOOKUP($B$5,ComData!$B$15:$FK$185,I134,FALSE)</f>
        <v>83.50800108018846</v>
      </c>
      <c r="H134" s="136"/>
      <c r="I134" s="362">
        <v>133</v>
      </c>
    </row>
    <row r="135" spans="2:8" ht="15.75">
      <c r="B135" s="94"/>
      <c r="C135" s="186"/>
      <c r="D135" s="187"/>
      <c r="E135" s="187"/>
      <c r="F135" s="188"/>
      <c r="G135" s="189"/>
      <c r="H135" s="136"/>
    </row>
    <row r="136" spans="2:8" ht="15.75">
      <c r="B136" s="94"/>
      <c r="C136" s="164" t="s">
        <v>223</v>
      </c>
      <c r="D136" s="95"/>
      <c r="E136" s="95"/>
      <c r="F136" s="135"/>
      <c r="G136" s="153">
        <f>VLOOKUP(B5,ComData!$B$15:$EE$185,134,FALSE)</f>
        <v>0</v>
      </c>
      <c r="H136" s="136"/>
    </row>
    <row r="137" spans="2:8" ht="15.75">
      <c r="B137" s="94"/>
      <c r="C137" s="163"/>
      <c r="D137" s="163"/>
      <c r="E137" s="163"/>
      <c r="F137" s="163"/>
      <c r="G137" s="153"/>
      <c r="H137" s="136"/>
    </row>
    <row r="138" spans="2:8" ht="15.75">
      <c r="B138" s="94"/>
      <c r="C138" s="164" t="s">
        <v>224</v>
      </c>
      <c r="D138" s="184"/>
      <c r="E138" s="184"/>
      <c r="F138" s="184"/>
      <c r="G138" s="153">
        <f>VLOOKUP(B5,ComData!$B$15:$FF$185,135,FALSE)</f>
        <v>83.50800108018846</v>
      </c>
      <c r="H138" s="357"/>
    </row>
    <row r="139" spans="2:8" ht="15.75">
      <c r="B139" s="99"/>
      <c r="C139" s="95"/>
      <c r="D139" s="95"/>
      <c r="E139" s="95"/>
      <c r="F139" s="95"/>
      <c r="G139" s="153"/>
      <c r="H139" s="136"/>
    </row>
    <row r="140" spans="2:8" ht="16.5" thickBot="1">
      <c r="B140" s="166"/>
      <c r="C140" s="167" t="s">
        <v>832</v>
      </c>
      <c r="D140" s="168"/>
      <c r="E140" s="169"/>
      <c r="F140" s="170"/>
      <c r="G140" s="171"/>
      <c r="H140" s="366">
        <f>VLOOKUP($B$5,ComData!$B$15:$FK$185,136,FALSE)</f>
        <v>4342.4160561698</v>
      </c>
    </row>
    <row r="141" spans="2:8" ht="18">
      <c r="B141" s="178" t="s">
        <v>352</v>
      </c>
      <c r="C141" s="179"/>
      <c r="D141" s="179"/>
      <c r="E141" s="179"/>
      <c r="F141" s="190"/>
      <c r="G141" s="179"/>
      <c r="H141" s="182"/>
    </row>
    <row r="142" spans="2:8" ht="15">
      <c r="B142" s="94"/>
      <c r="C142" s="95"/>
      <c r="D142" s="95"/>
      <c r="E142" s="95"/>
      <c r="F142" s="135"/>
      <c r="G142" s="95"/>
      <c r="H142" s="136"/>
    </row>
    <row r="143" spans="2:8" ht="15">
      <c r="B143" s="94" t="s">
        <v>360</v>
      </c>
      <c r="C143" s="95"/>
      <c r="D143" s="95"/>
      <c r="E143" s="95"/>
      <c r="F143" s="183"/>
      <c r="G143" s="95"/>
      <c r="H143" s="136"/>
    </row>
    <row r="144" spans="2:8" ht="15">
      <c r="B144" s="94"/>
      <c r="C144" s="95"/>
      <c r="D144" s="95"/>
      <c r="E144" s="95"/>
      <c r="F144" s="135"/>
      <c r="G144" s="95"/>
      <c r="H144" s="136"/>
    </row>
    <row r="145" spans="2:8" ht="15">
      <c r="B145" s="94" t="s">
        <v>361</v>
      </c>
      <c r="C145" s="95"/>
      <c r="D145" s="95"/>
      <c r="E145" s="95"/>
      <c r="F145" s="135"/>
      <c r="G145" s="95"/>
      <c r="H145" s="136"/>
    </row>
    <row r="146" spans="2:8" ht="15">
      <c r="B146" s="94"/>
      <c r="C146" s="95"/>
      <c r="D146" s="95"/>
      <c r="E146" s="95"/>
      <c r="F146" s="183"/>
      <c r="G146" s="98"/>
      <c r="H146" s="136"/>
    </row>
    <row r="147" spans="2:8" ht="15">
      <c r="B147" s="94" t="s">
        <v>351</v>
      </c>
      <c r="C147" s="95"/>
      <c r="D147" s="95"/>
      <c r="E147" s="95"/>
      <c r="F147" s="69"/>
      <c r="G147" s="191">
        <v>0.02</v>
      </c>
      <c r="H147" s="136"/>
    </row>
    <row r="148" spans="2:8" ht="15">
      <c r="B148" s="94"/>
      <c r="C148" s="95"/>
      <c r="D148" s="95"/>
      <c r="E148" s="95"/>
      <c r="F148" s="69"/>
      <c r="G148" s="191"/>
      <c r="H148" s="136"/>
    </row>
    <row r="149" spans="2:8" ht="15">
      <c r="B149" s="94"/>
      <c r="C149" s="95"/>
      <c r="D149" s="95"/>
      <c r="E149" s="95"/>
      <c r="F149" s="69"/>
      <c r="G149" s="191"/>
      <c r="H149" s="136"/>
    </row>
    <row r="150" spans="2:8" ht="18.75" thickBot="1">
      <c r="B150" s="192" t="s">
        <v>670</v>
      </c>
      <c r="C150" s="193"/>
      <c r="D150" s="193"/>
      <c r="E150" s="193"/>
      <c r="F150" s="194"/>
      <c r="G150" s="195"/>
      <c r="H150" s="367">
        <f>VLOOKUP($B$5,ComData!$B$15:$FK$185,137,FALSE)</f>
        <v>11311299.03975334</v>
      </c>
    </row>
    <row r="151" spans="2:8" ht="15.75">
      <c r="B151" s="100"/>
      <c r="C151" s="95"/>
      <c r="D151" s="95"/>
      <c r="E151" s="95"/>
      <c r="F151" s="69"/>
      <c r="G151" s="154"/>
      <c r="H151" s="136"/>
    </row>
    <row r="152" spans="2:8" ht="18">
      <c r="B152" s="101" t="s">
        <v>362</v>
      </c>
      <c r="C152" s="95"/>
      <c r="D152" s="95"/>
      <c r="E152" s="95"/>
      <c r="F152" s="183"/>
      <c r="G152" s="98"/>
      <c r="H152" s="136"/>
    </row>
    <row r="153" spans="2:8" ht="15">
      <c r="B153" s="94"/>
      <c r="C153" s="95"/>
      <c r="D153" s="95"/>
      <c r="E153" s="95"/>
      <c r="F153" s="135"/>
      <c r="G153" s="95"/>
      <c r="H153" s="136"/>
    </row>
    <row r="154" spans="2:8" ht="15">
      <c r="B154" s="94" t="s">
        <v>363</v>
      </c>
      <c r="C154" s="95"/>
      <c r="D154" s="95"/>
      <c r="E154" s="95"/>
      <c r="F154" s="183"/>
      <c r="G154" s="98"/>
      <c r="H154" s="136"/>
    </row>
    <row r="155" spans="2:8" ht="15">
      <c r="B155" s="94"/>
      <c r="C155" s="95"/>
      <c r="D155" s="95"/>
      <c r="E155" s="95"/>
      <c r="F155" s="183"/>
      <c r="G155" s="98"/>
      <c r="H155" s="136"/>
    </row>
    <row r="156" spans="2:8" ht="15">
      <c r="B156" s="94" t="s">
        <v>364</v>
      </c>
      <c r="C156" s="95"/>
      <c r="D156" s="95"/>
      <c r="E156" s="95"/>
      <c r="F156" s="183"/>
      <c r="G156" s="98"/>
      <c r="H156" s="136"/>
    </row>
    <row r="157" spans="2:8" ht="15">
      <c r="B157" s="94"/>
      <c r="C157" s="95"/>
      <c r="D157" s="95"/>
      <c r="E157" s="95"/>
      <c r="F157" s="135"/>
      <c r="G157" s="95"/>
      <c r="H157" s="136"/>
    </row>
    <row r="158" spans="2:8" ht="15">
      <c r="B158" s="94" t="s">
        <v>365</v>
      </c>
      <c r="C158" s="95"/>
      <c r="D158" s="95"/>
      <c r="E158" s="95"/>
      <c r="F158" s="135"/>
      <c r="G158" s="95"/>
      <c r="H158" s="136"/>
    </row>
    <row r="159" spans="2:8" ht="15">
      <c r="B159" s="94"/>
      <c r="C159" s="95"/>
      <c r="D159" s="95"/>
      <c r="E159" s="95"/>
      <c r="F159" s="135"/>
      <c r="G159" s="95"/>
      <c r="H159" s="136"/>
    </row>
    <row r="160" spans="2:8" ht="15">
      <c r="B160" s="94" t="s">
        <v>366</v>
      </c>
      <c r="C160" s="95"/>
      <c r="D160" s="95"/>
      <c r="E160" s="95"/>
      <c r="F160" s="135"/>
      <c r="G160" s="95"/>
      <c r="H160" s="136"/>
    </row>
    <row r="161" spans="2:8" ht="15">
      <c r="B161" s="94" t="s">
        <v>367</v>
      </c>
      <c r="C161" s="95"/>
      <c r="D161" s="95"/>
      <c r="E161" s="95"/>
      <c r="F161" s="135"/>
      <c r="G161" s="95"/>
      <c r="H161" s="136"/>
    </row>
    <row r="162" spans="2:8" ht="15">
      <c r="B162" s="94" t="s">
        <v>368</v>
      </c>
      <c r="C162" s="95"/>
      <c r="D162" s="95"/>
      <c r="E162" s="95"/>
      <c r="F162" s="135"/>
      <c r="G162" s="95"/>
      <c r="H162" s="136"/>
    </row>
    <row r="163" spans="2:8" ht="15">
      <c r="B163" s="94"/>
      <c r="C163" s="95"/>
      <c r="D163" s="95"/>
      <c r="E163" s="95"/>
      <c r="F163" s="135"/>
      <c r="G163" s="95"/>
      <c r="H163" s="136"/>
    </row>
    <row r="164" spans="2:8" ht="15">
      <c r="B164" s="94" t="s">
        <v>369</v>
      </c>
      <c r="C164" s="95"/>
      <c r="D164" s="95"/>
      <c r="E164" s="95"/>
      <c r="F164" s="135"/>
      <c r="G164" s="95"/>
      <c r="H164" s="136"/>
    </row>
    <row r="165" spans="2:8" ht="15">
      <c r="B165" s="94"/>
      <c r="C165" s="95"/>
      <c r="D165" s="95"/>
      <c r="E165" s="95"/>
      <c r="F165" s="135"/>
      <c r="G165" s="95"/>
      <c r="H165" s="136"/>
    </row>
    <row r="166" spans="2:8" ht="15">
      <c r="B166" s="94" t="s">
        <v>370</v>
      </c>
      <c r="C166" s="95"/>
      <c r="D166" s="95"/>
      <c r="E166" s="95"/>
      <c r="F166" s="135"/>
      <c r="G166" s="95"/>
      <c r="H166" s="136"/>
    </row>
    <row r="167" spans="2:8" ht="15">
      <c r="B167" s="94"/>
      <c r="C167" s="95"/>
      <c r="D167" s="95"/>
      <c r="E167" s="95"/>
      <c r="F167" s="135"/>
      <c r="G167" s="95"/>
      <c r="H167" s="136"/>
    </row>
    <row r="168" spans="2:8" ht="15">
      <c r="B168" s="94" t="s">
        <v>371</v>
      </c>
      <c r="C168" s="95"/>
      <c r="D168" s="95"/>
      <c r="E168" s="95"/>
      <c r="F168" s="135"/>
      <c r="G168" s="95"/>
      <c r="H168" s="136"/>
    </row>
    <row r="169" spans="2:8" ht="15">
      <c r="B169" s="94"/>
      <c r="C169" s="95"/>
      <c r="D169" s="95"/>
      <c r="E169" s="95"/>
      <c r="F169" s="135"/>
      <c r="G169" s="95"/>
      <c r="H169" s="136"/>
    </row>
    <row r="170" spans="2:8" ht="15">
      <c r="B170" s="94" t="s">
        <v>349</v>
      </c>
      <c r="C170" s="95"/>
      <c r="D170" s="95"/>
      <c r="E170" s="95"/>
      <c r="F170" s="135"/>
      <c r="G170" s="95"/>
      <c r="H170" s="136"/>
    </row>
    <row r="171" spans="2:8" ht="15">
      <c r="B171" s="94"/>
      <c r="C171" s="95"/>
      <c r="D171" s="95"/>
      <c r="E171" s="95"/>
      <c r="F171" s="135"/>
      <c r="G171" s="95"/>
      <c r="H171" s="136"/>
    </row>
    <row r="172" spans="2:8" ht="15.75">
      <c r="B172" s="94"/>
      <c r="C172" s="95"/>
      <c r="D172" s="95"/>
      <c r="E172" s="137" t="s">
        <v>269</v>
      </c>
      <c r="F172" s="135"/>
      <c r="G172" s="137" t="s">
        <v>372</v>
      </c>
      <c r="H172" s="136"/>
    </row>
    <row r="173" spans="2:9" ht="15.75">
      <c r="B173" s="94"/>
      <c r="C173" s="164" t="s">
        <v>321</v>
      </c>
      <c r="D173" s="95"/>
      <c r="E173" s="95"/>
      <c r="F173" s="135"/>
      <c r="G173" s="153">
        <f>VLOOKUP($B$5,ComData!$B$15:$FK$185,I173,FALSE)</f>
        <v>49.51</v>
      </c>
      <c r="H173" s="136"/>
      <c r="I173" s="362">
        <v>138</v>
      </c>
    </row>
    <row r="174" spans="2:9" ht="15.75">
      <c r="B174" s="94"/>
      <c r="C174" s="164" t="s">
        <v>322</v>
      </c>
      <c r="D174" s="95"/>
      <c r="E174" s="95">
        <v>10</v>
      </c>
      <c r="F174" s="135"/>
      <c r="G174" s="153">
        <f>VLOOKUP($B$5,ComData!$B$15:$FK$185,I174,FALSE)</f>
        <v>51.640639298862396</v>
      </c>
      <c r="H174" s="136"/>
      <c r="I174" s="362">
        <v>139</v>
      </c>
    </row>
    <row r="175" spans="2:9" ht="15.75">
      <c r="B175" s="94"/>
      <c r="C175" s="164" t="s">
        <v>323</v>
      </c>
      <c r="D175" s="95"/>
      <c r="E175" s="95">
        <v>9</v>
      </c>
      <c r="F175" s="135"/>
      <c r="G175" s="153">
        <f>VLOOKUP($B$5,ComData!$B$15:$FK$185,I175,FALSE)</f>
        <v>53.84106388687474</v>
      </c>
      <c r="H175" s="136"/>
      <c r="I175" s="362">
        <v>140</v>
      </c>
    </row>
    <row r="176" spans="2:9" ht="15.75">
      <c r="B176" s="94"/>
      <c r="C176" s="164" t="s">
        <v>324</v>
      </c>
      <c r="D176" s="95"/>
      <c r="E176" s="95">
        <v>8</v>
      </c>
      <c r="F176" s="135"/>
      <c r="G176" s="153">
        <f>VLOOKUP($B$5,ComData!$B$15:$FK$185,I176,FALSE)</f>
        <v>56.71727242585242</v>
      </c>
      <c r="H176" s="136"/>
      <c r="I176" s="362">
        <v>141</v>
      </c>
    </row>
    <row r="177" spans="2:9" ht="15.75">
      <c r="B177" s="94"/>
      <c r="C177" s="164" t="s">
        <v>325</v>
      </c>
      <c r="D177" s="95"/>
      <c r="E177" s="95">
        <v>7</v>
      </c>
      <c r="F177" s="135"/>
      <c r="G177" s="153">
        <f>VLOOKUP($B$5,ComData!$B$15:$FK$185,I177,FALSE)</f>
        <v>59.898127987399505</v>
      </c>
      <c r="H177" s="136"/>
      <c r="I177" s="362">
        <v>142</v>
      </c>
    </row>
    <row r="178" spans="2:9" ht="15.75">
      <c r="B178" s="94"/>
      <c r="C178" s="164" t="s">
        <v>326</v>
      </c>
      <c r="D178" s="95"/>
      <c r="E178" s="95">
        <v>6</v>
      </c>
      <c r="F178" s="135"/>
      <c r="G178" s="153">
        <f>VLOOKUP($B$5,ComData!$B$15:$FK$185,I178,FALSE)</f>
        <v>62.990350917347605</v>
      </c>
      <c r="H178" s="136"/>
      <c r="I178" s="362">
        <v>143</v>
      </c>
    </row>
    <row r="179" spans="2:9" ht="15.75">
      <c r="B179" s="94"/>
      <c r="C179" s="164" t="s">
        <v>327</v>
      </c>
      <c r="D179" s="95"/>
      <c r="E179" s="95">
        <v>5</v>
      </c>
      <c r="F179" s="135"/>
      <c r="G179" s="153">
        <f>VLOOKUP($B$5,ComData!$B$15:$FK$185,I179,FALSE)</f>
        <v>66.79663293551859</v>
      </c>
      <c r="H179" s="136"/>
      <c r="I179" s="362">
        <v>144</v>
      </c>
    </row>
    <row r="180" spans="2:9" ht="15.75">
      <c r="B180" s="94"/>
      <c r="C180" s="164" t="s">
        <v>328</v>
      </c>
      <c r="D180" s="95"/>
      <c r="E180" s="95">
        <v>9</v>
      </c>
      <c r="F180" s="135"/>
      <c r="G180" s="153">
        <f>VLOOKUP($B$5,ComData!$B$15:$FK$185,I180,FALSE)</f>
        <v>70.30347120526112</v>
      </c>
      <c r="H180" s="136"/>
      <c r="I180" s="362">
        <v>145</v>
      </c>
    </row>
    <row r="181" spans="2:9" ht="15.75">
      <c r="B181" s="100"/>
      <c r="C181" s="164" t="s">
        <v>329</v>
      </c>
      <c r="D181" s="184"/>
      <c r="E181" s="184">
        <v>15</v>
      </c>
      <c r="F181" s="43"/>
      <c r="G181" s="153">
        <f>VLOOKUP($B$5,ComData!$B$15:$FK$185,I181,FALSE)</f>
        <v>72.31022900683357</v>
      </c>
      <c r="H181" s="136"/>
      <c r="I181" s="362">
        <v>146</v>
      </c>
    </row>
    <row r="182" spans="2:9" ht="15.75">
      <c r="B182" s="100"/>
      <c r="C182" s="164" t="s">
        <v>331</v>
      </c>
      <c r="D182" s="184"/>
      <c r="E182" s="185">
        <v>3.07</v>
      </c>
      <c r="F182" s="43"/>
      <c r="G182" s="153">
        <f>VLOOKUP($B$5,ComData!$B$15:$FK$185,I182,FALSE)</f>
        <v>73.80672751576229</v>
      </c>
      <c r="H182" s="136"/>
      <c r="I182" s="362">
        <v>147</v>
      </c>
    </row>
    <row r="183" spans="2:9" ht="15.75">
      <c r="B183" s="100"/>
      <c r="C183" s="164" t="s">
        <v>332</v>
      </c>
      <c r="D183" s="184"/>
      <c r="E183" s="184">
        <v>5</v>
      </c>
      <c r="F183" s="43"/>
      <c r="G183" s="153">
        <f>VLOOKUP($B$5,ComData!$B$15:$FK$185,I183,FALSE)</f>
        <v>78.50518680813688</v>
      </c>
      <c r="H183" s="136"/>
      <c r="I183" s="362">
        <v>148</v>
      </c>
    </row>
    <row r="184" spans="2:9" ht="16.5" thickBot="1">
      <c r="B184" s="222"/>
      <c r="C184" s="324" t="s">
        <v>222</v>
      </c>
      <c r="D184" s="325"/>
      <c r="E184" s="325">
        <v>4</v>
      </c>
      <c r="F184" s="326"/>
      <c r="G184" s="327">
        <f>VLOOKUP($B$5,ComData!$B$15:$FK$185,I184,FALSE)</f>
        <v>84.28531268003728</v>
      </c>
      <c r="H184" s="328"/>
      <c r="I184" s="362">
        <v>149</v>
      </c>
    </row>
  </sheetData>
  <mergeCells count="1">
    <mergeCell ref="B5:C5"/>
  </mergeCell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1">
    <tabColor indexed="41"/>
  </sheetPr>
  <dimension ref="B2:H99"/>
  <sheetViews>
    <sheetView workbookViewId="0" topLeftCell="A1">
      <selection activeCell="A1" sqref="A1:IV16384"/>
    </sheetView>
  </sheetViews>
  <sheetFormatPr defaultColWidth="9.140625" defaultRowHeight="12.75"/>
  <cols>
    <col min="1" max="1" width="6.140625" style="3" customWidth="1"/>
    <col min="2" max="2" width="29.140625" style="3" customWidth="1"/>
    <col min="3" max="3" width="56.57421875" style="3" bestFit="1" customWidth="1"/>
    <col min="4" max="4" width="3.28125" style="3" customWidth="1"/>
    <col min="5" max="5" width="3.00390625" style="3" customWidth="1"/>
    <col min="6" max="6" width="2.28125" style="3" customWidth="1"/>
    <col min="7" max="7" width="11.421875" style="3" bestFit="1" customWidth="1"/>
    <col min="8" max="16384" width="9.140625" style="3" customWidth="1"/>
  </cols>
  <sheetData>
    <row r="1" ht="13.5" thickBot="1"/>
    <row r="2" spans="2:7" ht="18">
      <c r="B2" s="77" t="s">
        <v>278</v>
      </c>
      <c r="C2" s="16"/>
      <c r="D2" s="16"/>
      <c r="E2" s="16"/>
      <c r="F2" s="78"/>
      <c r="G2" s="17"/>
    </row>
    <row r="3" spans="2:7" ht="12.75">
      <c r="B3" s="79"/>
      <c r="C3" s="80"/>
      <c r="D3" s="80"/>
      <c r="E3" s="80"/>
      <c r="F3" s="81"/>
      <c r="G3" s="82"/>
    </row>
    <row r="4" spans="2:7" ht="15.75">
      <c r="B4" s="83"/>
      <c r="C4" s="80"/>
      <c r="D4" s="80"/>
      <c r="E4" s="80"/>
      <c r="F4" s="81"/>
      <c r="G4" s="82"/>
    </row>
    <row r="5" spans="2:7" ht="15.75">
      <c r="B5" s="83"/>
      <c r="C5" s="80"/>
      <c r="D5" s="80"/>
      <c r="E5" s="80"/>
      <c r="F5" s="81"/>
      <c r="G5" s="82"/>
    </row>
    <row r="6" spans="2:7" ht="16.5" thickBot="1">
      <c r="B6" s="84"/>
      <c r="C6" s="85"/>
      <c r="D6" s="85"/>
      <c r="E6" s="85"/>
      <c r="F6" s="86"/>
      <c r="G6" s="87"/>
    </row>
    <row r="13" ht="13.5" thickBot="1"/>
    <row r="14" spans="2:8" ht="12.75">
      <c r="B14" s="88"/>
      <c r="C14" s="89"/>
      <c r="D14" s="89"/>
      <c r="E14" s="89"/>
      <c r="F14" s="89"/>
      <c r="G14" s="89"/>
      <c r="H14" s="90"/>
    </row>
    <row r="15" spans="2:8" ht="15.75">
      <c r="B15" s="91" t="s">
        <v>258</v>
      </c>
      <c r="C15" s="92" t="s">
        <v>291</v>
      </c>
      <c r="D15" s="69"/>
      <c r="E15" s="69"/>
      <c r="F15" s="69"/>
      <c r="G15" s="93">
        <v>72.9843832742676</v>
      </c>
      <c r="H15" s="4"/>
    </row>
    <row r="16" spans="2:8" ht="15">
      <c r="B16" s="104"/>
      <c r="C16" s="95"/>
      <c r="D16" s="69"/>
      <c r="E16" s="69"/>
      <c r="F16" s="69"/>
      <c r="G16" s="96"/>
      <c r="H16" s="4"/>
    </row>
    <row r="17" spans="2:8" ht="15.75">
      <c r="B17" s="97" t="s">
        <v>259</v>
      </c>
      <c r="C17" s="98" t="s">
        <v>225</v>
      </c>
      <c r="D17" s="69"/>
      <c r="E17" s="69"/>
      <c r="F17" s="69"/>
      <c r="G17" s="93">
        <v>78.68435432813122</v>
      </c>
      <c r="H17" s="4"/>
    </row>
    <row r="18" spans="2:8" ht="15">
      <c r="B18" s="104"/>
      <c r="C18" s="95"/>
      <c r="D18" s="69"/>
      <c r="E18" s="69"/>
      <c r="F18" s="69"/>
      <c r="G18" s="96"/>
      <c r="H18" s="4"/>
    </row>
    <row r="19" spans="2:8" ht="15.75">
      <c r="B19" s="97" t="s">
        <v>279</v>
      </c>
      <c r="C19" s="98" t="s">
        <v>280</v>
      </c>
      <c r="D19" s="69"/>
      <c r="E19" s="69"/>
      <c r="F19" s="69"/>
      <c r="G19" s="93">
        <v>5.699971053863621</v>
      </c>
      <c r="H19" s="4"/>
    </row>
    <row r="20" spans="2:8" ht="15">
      <c r="B20" s="104"/>
      <c r="C20" s="95"/>
      <c r="D20" s="69"/>
      <c r="E20" s="69"/>
      <c r="F20" s="69"/>
      <c r="G20" s="96"/>
      <c r="H20" s="4"/>
    </row>
    <row r="21" spans="2:8" ht="15.75">
      <c r="B21" s="97" t="s">
        <v>281</v>
      </c>
      <c r="C21" s="92" t="s">
        <v>226</v>
      </c>
      <c r="D21" s="69"/>
      <c r="E21" s="69"/>
      <c r="F21" s="69"/>
      <c r="G21" s="93">
        <v>72.24055797824823</v>
      </c>
      <c r="H21" s="4"/>
    </row>
    <row r="22" spans="2:8" ht="15">
      <c r="B22" s="104"/>
      <c r="C22" s="95"/>
      <c r="D22" s="69"/>
      <c r="E22" s="69"/>
      <c r="F22" s="69"/>
      <c r="G22" s="96"/>
      <c r="H22" s="4"/>
    </row>
    <row r="23" spans="2:8" ht="15.75">
      <c r="B23" s="97" t="s">
        <v>282</v>
      </c>
      <c r="C23" s="98" t="s">
        <v>227</v>
      </c>
      <c r="D23" s="69"/>
      <c r="E23" s="69"/>
      <c r="F23" s="69"/>
      <c r="G23" s="93">
        <v>82.36452293337699</v>
      </c>
      <c r="H23" s="4"/>
    </row>
    <row r="24" spans="2:8" ht="15">
      <c r="B24" s="105"/>
      <c r="C24" s="95"/>
      <c r="D24" s="69"/>
      <c r="E24" s="69"/>
      <c r="F24" s="69"/>
      <c r="G24" s="96"/>
      <c r="H24" s="4"/>
    </row>
    <row r="25" spans="2:8" ht="15.75">
      <c r="B25" s="97" t="s">
        <v>292</v>
      </c>
      <c r="C25" s="98" t="s">
        <v>228</v>
      </c>
      <c r="D25" s="69"/>
      <c r="E25" s="69"/>
      <c r="F25" s="69"/>
      <c r="G25" s="93">
        <v>78.07655474453527</v>
      </c>
      <c r="H25" s="4"/>
    </row>
    <row r="26" spans="2:8" ht="15.75">
      <c r="B26" s="97" t="s">
        <v>469</v>
      </c>
      <c r="C26" s="98"/>
      <c r="D26" s="69"/>
      <c r="E26" s="69"/>
      <c r="F26" s="69"/>
      <c r="G26" s="96"/>
      <c r="H26" s="4"/>
    </row>
    <row r="27" spans="2:8" ht="15">
      <c r="B27" s="105"/>
      <c r="C27" s="95"/>
      <c r="D27" s="69"/>
      <c r="E27" s="69"/>
      <c r="F27" s="69"/>
      <c r="G27" s="96"/>
      <c r="H27" s="4"/>
    </row>
    <row r="28" spans="2:8" ht="15.75">
      <c r="B28" s="97" t="s">
        <v>283</v>
      </c>
      <c r="C28" s="98" t="s">
        <v>284</v>
      </c>
      <c r="D28" s="69"/>
      <c r="E28" s="69"/>
      <c r="F28" s="69"/>
      <c r="G28" s="93">
        <v>5.835996766287039</v>
      </c>
      <c r="H28" s="4"/>
    </row>
    <row r="29" spans="2:8" ht="15">
      <c r="B29" s="104"/>
      <c r="C29" s="95"/>
      <c r="D29" s="69"/>
      <c r="E29" s="69"/>
      <c r="F29" s="69"/>
      <c r="G29" s="69"/>
      <c r="H29" s="4"/>
    </row>
    <row r="30" spans="2:8" ht="15.75">
      <c r="B30" s="97" t="s">
        <v>285</v>
      </c>
      <c r="C30" s="98" t="s">
        <v>286</v>
      </c>
      <c r="D30" s="69"/>
      <c r="E30" s="69"/>
      <c r="F30" s="69"/>
      <c r="G30" s="93">
        <v>0</v>
      </c>
      <c r="H30" s="4"/>
    </row>
    <row r="31" spans="2:8" ht="18">
      <c r="B31" s="106"/>
      <c r="C31" s="95"/>
      <c r="D31" s="69"/>
      <c r="E31" s="69"/>
      <c r="F31" s="69"/>
      <c r="G31" s="69"/>
      <c r="H31" s="4"/>
    </row>
    <row r="32" spans="2:8" ht="15.75">
      <c r="B32" s="97" t="s">
        <v>287</v>
      </c>
      <c r="C32" s="98" t="s">
        <v>229</v>
      </c>
      <c r="D32" s="69"/>
      <c r="E32" s="69"/>
      <c r="F32" s="69"/>
      <c r="G32" s="93">
        <v>36.33038461538462</v>
      </c>
      <c r="H32" s="4"/>
    </row>
    <row r="33" spans="2:8" ht="18">
      <c r="B33" s="106"/>
      <c r="C33" s="98" t="s">
        <v>358</v>
      </c>
      <c r="D33" s="69"/>
      <c r="E33" s="69"/>
      <c r="F33" s="69"/>
      <c r="G33" s="69"/>
      <c r="H33" s="4"/>
    </row>
    <row r="34" spans="2:8" ht="15">
      <c r="B34" s="104"/>
      <c r="C34" s="95"/>
      <c r="D34" s="69"/>
      <c r="E34" s="69"/>
      <c r="F34" s="69"/>
      <c r="G34" s="69"/>
      <c r="H34" s="4"/>
    </row>
    <row r="35" spans="2:8" ht="15.75">
      <c r="B35" s="97" t="s">
        <v>288</v>
      </c>
      <c r="C35" s="98" t="s">
        <v>289</v>
      </c>
      <c r="D35" s="69"/>
      <c r="E35" s="69"/>
      <c r="F35" s="69"/>
      <c r="G35" s="102">
        <v>0</v>
      </c>
      <c r="H35" s="4"/>
    </row>
    <row r="36" spans="2:8" ht="15">
      <c r="B36" s="105"/>
      <c r="C36" s="98" t="s">
        <v>230</v>
      </c>
      <c r="D36" s="69"/>
      <c r="E36" s="69"/>
      <c r="F36" s="69"/>
      <c r="G36" s="69"/>
      <c r="H36" s="4"/>
    </row>
    <row r="37" spans="2:8" ht="15">
      <c r="B37" s="105"/>
      <c r="C37" s="98" t="s">
        <v>290</v>
      </c>
      <c r="D37" s="69"/>
      <c r="E37" s="69"/>
      <c r="F37" s="69"/>
      <c r="G37" s="69"/>
      <c r="H37" s="4"/>
    </row>
    <row r="38" spans="2:8" ht="13.5" thickBot="1">
      <c r="B38" s="103"/>
      <c r="C38" s="70"/>
      <c r="D38" s="70"/>
      <c r="E38" s="70"/>
      <c r="F38" s="70"/>
      <c r="G38" s="70"/>
      <c r="H38" s="5"/>
    </row>
    <row r="93" spans="6:7" ht="12.75">
      <c r="F93" s="71"/>
      <c r="G93" s="75"/>
    </row>
    <row r="94" spans="6:7" ht="12.75">
      <c r="F94" s="71"/>
      <c r="G94" s="75"/>
    </row>
    <row r="95" spans="6:7" ht="12.75">
      <c r="F95" s="71"/>
      <c r="G95" s="75"/>
    </row>
    <row r="96" spans="6:7" ht="12.75">
      <c r="F96" s="71"/>
      <c r="G96" s="75"/>
    </row>
    <row r="97" spans="6:7" ht="12.75">
      <c r="F97" s="71"/>
      <c r="G97" s="75"/>
    </row>
    <row r="98" spans="6:7" ht="12.75">
      <c r="F98" s="71"/>
      <c r="G98" s="75"/>
    </row>
    <row r="99" spans="6:7" ht="12.75">
      <c r="F99" s="71"/>
      <c r="G99" s="7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Baseline Model</dc:title>
  <dc:subject/>
  <dc:creator/>
  <cp:keywords/>
  <dc:description>FINAL</dc:description>
  <cp:lastModifiedBy>mdavid</cp:lastModifiedBy>
  <cp:lastPrinted>2010-12-17T10:26:45Z</cp:lastPrinted>
  <dcterms:created xsi:type="dcterms:W3CDTF">2010-07-19T14:11:26Z</dcterms:created>
  <dcterms:modified xsi:type="dcterms:W3CDTF">2012-02-01T12:20:32Z</dcterms:modified>
  <cp:category/>
  <cp:version/>
  <cp:contentType/>
  <cp:contentStatus/>
</cp:coreProperties>
</file>