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480" windowHeight="9210" firstSheet="4" activeTab="8"/>
  </bookViews>
  <sheets>
    <sheet name="Title sheet" sheetId="1" r:id="rId1"/>
    <sheet name="Assumptions Control sheet" sheetId="2" r:id="rId2"/>
    <sheet name="Market calculations" sheetId="3" r:id="rId3"/>
    <sheet name="Component #1" sheetId="4" r:id="rId4"/>
    <sheet name="Component #2" sheetId="5" r:id="rId5"/>
    <sheet name="Component #3" sheetId="6" r:id="rId6"/>
    <sheet name="Component #4" sheetId="7" r:id="rId7"/>
    <sheet name="Component #5" sheetId="8" r:id="rId8"/>
    <sheet name="Investment Summary" sheetId="9" r:id="rId9"/>
  </sheets>
  <definedNames/>
  <calcPr fullCalcOnLoad="1"/>
</workbook>
</file>

<file path=xl/sharedStrings.xml><?xml version="1.0" encoding="utf-8"?>
<sst xmlns="http://schemas.openxmlformats.org/spreadsheetml/2006/main" count="183" uniqueCount="114">
  <si>
    <t>Home CPE</t>
  </si>
  <si>
    <t>Cabinet &amp; Line-cards</t>
  </si>
  <si>
    <t>Onward Connectivity</t>
  </si>
  <si>
    <t>Home maintenance</t>
  </si>
  <si>
    <t>Openreach copper pairs</t>
  </si>
  <si>
    <t>Onward connectivity</t>
  </si>
  <si>
    <t>Revenue</t>
  </si>
  <si>
    <t>Cabinet &amp; 1st block of Line-cards</t>
  </si>
  <si>
    <t>Additional line cards</t>
  </si>
  <si>
    <t>Total customers</t>
  </si>
  <si>
    <t>Total</t>
  </si>
  <si>
    <t>VDSL at 3 cabinets</t>
  </si>
  <si>
    <t>Component 1</t>
  </si>
  <si>
    <t>Total Households</t>
  </si>
  <si>
    <t>Assumptions</t>
  </si>
  <si>
    <t>Total Premises</t>
  </si>
  <si>
    <t>Total Businesses</t>
  </si>
  <si>
    <t>Openreach Sub-loop visits</t>
  </si>
  <si>
    <t>Unit cost</t>
  </si>
  <si>
    <t>Total Households &lt;2Mb</t>
  </si>
  <si>
    <t>Total Businesses &lt;2Mb</t>
  </si>
  <si>
    <t>Total Premises &lt;2Mb</t>
  </si>
  <si>
    <t>Households &gt;2Mbps</t>
  </si>
  <si>
    <t>Households &lt;2Mbps</t>
  </si>
  <si>
    <t>Capex costs</t>
  </si>
  <si>
    <t>Opex costs</t>
  </si>
  <si>
    <t>Total household customers</t>
  </si>
  <si>
    <t>Businesses &gt;2Mbps</t>
  </si>
  <si>
    <t>Businesses &lt;2Mbps</t>
  </si>
  <si>
    <t>Total business customers</t>
  </si>
  <si>
    <t>New business customers</t>
  </si>
  <si>
    <t>New household customers</t>
  </si>
  <si>
    <t xml:space="preserve">New customers </t>
  </si>
  <si>
    <t>Monthly business rental (VDSL)</t>
  </si>
  <si>
    <t>Monthly household rental (VDSL)</t>
  </si>
  <si>
    <t>Household connection charges</t>
  </si>
  <si>
    <t>Household ongoing rental</t>
  </si>
  <si>
    <t>Business connection charges</t>
  </si>
  <si>
    <t>Business ongoing rental</t>
  </si>
  <si>
    <t>Household connection (VDSL)</t>
  </si>
  <si>
    <t>Business connection (VDSL)</t>
  </si>
  <si>
    <t>Project Cash-flow</t>
  </si>
  <si>
    <t>Running Total</t>
  </si>
  <si>
    <t>BT WES / GEA Rental (3 cabinets)</t>
  </si>
  <si>
    <t>BT WES / GEA Connection (3 cabinets)</t>
  </si>
  <si>
    <t>Excess construction charges (3 cabinets)</t>
  </si>
  <si>
    <t>Government Intervention</t>
  </si>
  <si>
    <t>New running total</t>
  </si>
  <si>
    <t>New total</t>
  </si>
  <si>
    <t>Project IRR</t>
  </si>
  <si>
    <t>Target IRR (VDSL)</t>
  </si>
  <si>
    <t>Component #1</t>
  </si>
  <si>
    <t>Component #2</t>
  </si>
  <si>
    <t>Component 2</t>
  </si>
  <si>
    <t>Satellite infill</t>
  </si>
  <si>
    <t>Component 3</t>
  </si>
  <si>
    <t>Component #3</t>
  </si>
  <si>
    <t>General propensity of households to take-up of broadband</t>
  </si>
  <si>
    <t>General propensity of businesses to take-up of broadband</t>
  </si>
  <si>
    <t>Lines on line-card (VDSL)</t>
  </si>
  <si>
    <t>IRR Period</t>
  </si>
  <si>
    <t>years</t>
  </si>
  <si>
    <t>VDSL</t>
  </si>
  <si>
    <t>Copper Access (Openreach)</t>
  </si>
  <si>
    <t>Cabinet System</t>
  </si>
  <si>
    <t xml:space="preserve">Backhaul </t>
  </si>
  <si>
    <t>Aggregation / Core Network &amp; Operations</t>
  </si>
  <si>
    <t>Fibre Access</t>
  </si>
  <si>
    <t>Fibre access solution</t>
  </si>
  <si>
    <t>Wireless access solution</t>
  </si>
  <si>
    <t xml:space="preserve">Base stations Including  including install </t>
  </si>
  <si>
    <t>Network Management Software and Hardware</t>
  </si>
  <si>
    <t xml:space="preserve">Annual Spectrum Licence Fee - </t>
  </si>
  <si>
    <t>Backhaul Radios (between Base Stations and back to a POP)</t>
  </si>
  <si>
    <t>Self Install CPEs (window mount)</t>
  </si>
  <si>
    <t>External CPE - Including Installation</t>
  </si>
  <si>
    <t>Component 5</t>
  </si>
  <si>
    <t>Component 4</t>
  </si>
  <si>
    <t>Market size</t>
  </si>
  <si>
    <t>Addressable Market for VDSL solution</t>
  </si>
  <si>
    <t>Market share for VDSL solution</t>
  </si>
  <si>
    <t>Total within USC Theoretical Exercise area</t>
  </si>
  <si>
    <t>Total within 3km proximity to 3 cabinets for VDSL solution</t>
  </si>
  <si>
    <t>Component #1: VDSL solution</t>
  </si>
  <si>
    <t>Market share</t>
  </si>
  <si>
    <t>IRR period</t>
  </si>
  <si>
    <t>Contents:</t>
  </si>
  <si>
    <t>Component #4</t>
  </si>
  <si>
    <t>Component #5</t>
  </si>
  <si>
    <t>Instructions</t>
  </si>
  <si>
    <t>Cash flow</t>
  </si>
  <si>
    <t>Investment Summary</t>
  </si>
  <si>
    <t>• This template has been provided to help suppliers calculate indicative investment gaps for the USC Theoretical Examples exercise</t>
  </si>
  <si>
    <t>• Its use is encouraged, but suppliers may find it appropriate to modify for their purposes, or perhaps even to use their own templates to show similar information and produce similar outputs</t>
  </si>
  <si>
    <t>• The sheets in the workbook have been set-up to calculate cash-flows and project returns for each component technology, given a set of assumptions for market size, costs and revenues</t>
  </si>
  <si>
    <t>• The template has been partially completed with indicative data to illustrate how it can be used to calculate the investment gap to achieve an intended project return</t>
  </si>
  <si>
    <t>• The template consists of the following sheets:</t>
  </si>
  <si>
    <t>Assumptions Control sheet:</t>
  </si>
  <si>
    <t>A sheet available for suppliers to list key assumptions in a single place, to be cross-referenced in formulae</t>
  </si>
  <si>
    <t>Market calculations:</t>
  </si>
  <si>
    <t>Component #1:</t>
  </si>
  <si>
    <t>Component #2:</t>
  </si>
  <si>
    <t>Component #3:</t>
  </si>
  <si>
    <t>Component #4:</t>
  </si>
  <si>
    <t>Component #5:</t>
  </si>
  <si>
    <t>Investment summary:</t>
  </si>
  <si>
    <t>An example of how indicative capex and opex costs, and consumer and business revenues, have been calculated for the relevant solution cost components of a VDSL solution into 3 cabinets</t>
  </si>
  <si>
    <t>An empty template to enable suppliers to capture cost &amp; revenue &amp; return for their solution components; sample cost categories for a FTTH solution have been suggested</t>
  </si>
  <si>
    <t>An empty template to enable suppliers to capture cost &amp; revenue &amp; return for their solution components; sample cost categories for a FTTC solution have been suggested</t>
  </si>
  <si>
    <t>An empty template to enable suppliers to capture cost &amp; revenue &amp; return for their solution components; sample cost categories for a wireless solution have been suggested</t>
  </si>
  <si>
    <t>An empty template to enable suppliers to capture cost &amp; revenue &amp; return for their solution components; sample cost categories for a satellite solution have been suggested</t>
  </si>
  <si>
    <t>A sheet to bring together the net cash-flows from each component solution, and to aggregate the indicative investment gap to be met in order to provide the area with coverage</t>
  </si>
  <si>
    <t>A sheet to hold data on number of residents and businesses, which, if cut different ways, can be used to calculate the number of customers for each component solution and service</t>
  </si>
  <si>
    <t>Request for Information Indicative Investment Model Spreadsheet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</si>
</sst>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quot;#,##0.0;[Red]\-&quot;£&quot;#,##0.0"/>
    <numFmt numFmtId="167" formatCode="&quot;@&quot;\ &quot;£&quot;#,##0\ &quot;pm&quot;"/>
    <numFmt numFmtId="168" formatCode="&quot;£&quot;#,##0"/>
    <numFmt numFmtId="169" formatCode="&quot;£&quot;#,##0.00"/>
    <numFmt numFmtId="170" formatCode="0.00_ ;[Red]\-0.00\ "/>
    <numFmt numFmtId="171" formatCode="#,##0_ ;[Red]\-#,##0\ "/>
    <numFmt numFmtId="172" formatCode="#,##0;[Red]#,##0"/>
    <numFmt numFmtId="173" formatCode="&quot;Yr &quot;0"/>
    <numFmt numFmtId="174" formatCode="&quot;Yes&quot;;&quot;Yes&quot;;&quot;No&quot;"/>
    <numFmt numFmtId="175" formatCode="&quot;True&quot;;&quot;True&quot;;&quot;False&quot;"/>
    <numFmt numFmtId="176" formatCode="&quot;On&quot;;&quot;On&quot;;&quot;Off&quot;"/>
    <numFmt numFmtId="177" formatCode="[$€-2]\ #,##0.00_);[Red]\([$€-2]\ #,##0.00\)"/>
  </numFmts>
  <fonts count="45">
    <font>
      <sz val="10"/>
      <name val="Arial"/>
      <family val="0"/>
    </font>
    <font>
      <b/>
      <sz val="10"/>
      <name val="Arial"/>
      <family val="2"/>
    </font>
    <font>
      <u val="single"/>
      <sz val="10"/>
      <color indexed="12"/>
      <name val="Arial"/>
      <family val="2"/>
    </font>
    <font>
      <u val="single"/>
      <sz val="10"/>
      <color indexed="36"/>
      <name val="Arial"/>
      <family val="2"/>
    </font>
    <font>
      <i/>
      <sz val="10"/>
      <name val="Arial"/>
      <family val="2"/>
    </font>
    <font>
      <b/>
      <i/>
      <sz val="10"/>
      <name val="Arial"/>
      <family val="2"/>
    </font>
    <font>
      <b/>
      <i/>
      <u val="single"/>
      <sz val="10"/>
      <name val="Arial"/>
      <family val="2"/>
    </font>
    <font>
      <b/>
      <u val="single"/>
      <sz val="10"/>
      <name val="Arial"/>
      <family val="2"/>
    </font>
    <font>
      <i/>
      <sz val="8"/>
      <color indexed="50"/>
      <name val="Arial"/>
      <family val="2"/>
    </font>
    <font>
      <i/>
      <sz val="10"/>
      <color indexed="50"/>
      <name val="Arial"/>
      <family val="2"/>
    </font>
    <font>
      <sz val="2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style="thin">
        <color indexed="43"/>
      </bottom>
    </border>
    <border>
      <left>
        <color indexed="63"/>
      </left>
      <right style="thin"/>
      <top style="thin">
        <color indexed="43"/>
      </top>
      <bottom style="thin">
        <color indexed="43"/>
      </bottom>
    </border>
    <border>
      <left style="thin"/>
      <right style="thin"/>
      <top style="thin"/>
      <bottom style="thin">
        <color indexed="43"/>
      </bottom>
    </border>
    <border>
      <left style="thin"/>
      <right style="thin"/>
      <top style="thin">
        <color indexed="43"/>
      </top>
      <bottom style="thin">
        <color indexed="43"/>
      </bottom>
    </border>
    <border>
      <left style="thin"/>
      <right style="thin"/>
      <top style="thin">
        <color indexed="43"/>
      </top>
      <bottom style="thin"/>
    </border>
    <border>
      <left>
        <color indexed="63"/>
      </left>
      <right style="thin"/>
      <top style="thin">
        <color indexed="4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xf>
    <xf numFmtId="165" fontId="0" fillId="0" borderId="0" xfId="0" applyNumberFormat="1" applyAlignment="1">
      <alignment/>
    </xf>
    <xf numFmtId="9" fontId="0" fillId="0" borderId="0" xfId="0" applyNumberFormat="1" applyAlignment="1">
      <alignment/>
    </xf>
    <xf numFmtId="6" fontId="0" fillId="0" borderId="0" xfId="0" applyNumberFormat="1" applyAlignment="1">
      <alignment/>
    </xf>
    <xf numFmtId="0" fontId="4" fillId="0" borderId="0" xfId="0" applyFont="1" applyAlignment="1">
      <alignment/>
    </xf>
    <xf numFmtId="0" fontId="0" fillId="0" borderId="0" xfId="0" applyFont="1" applyAlignment="1">
      <alignment/>
    </xf>
    <xf numFmtId="173" fontId="0" fillId="0" borderId="0" xfId="0" applyNumberFormat="1" applyFont="1" applyAlignment="1">
      <alignment/>
    </xf>
    <xf numFmtId="0" fontId="5" fillId="0" borderId="0" xfId="0" applyFont="1" applyAlignment="1">
      <alignment/>
    </xf>
    <xf numFmtId="0" fontId="1" fillId="0" borderId="10" xfId="0" applyFont="1" applyBorder="1" applyAlignment="1">
      <alignment/>
    </xf>
    <xf numFmtId="165" fontId="1" fillId="0" borderId="10" xfId="0" applyNumberFormat="1" applyFont="1" applyBorder="1" applyAlignment="1">
      <alignment/>
    </xf>
    <xf numFmtId="165" fontId="0" fillId="0" borderId="0" xfId="0" applyNumberFormat="1" applyFont="1" applyAlignment="1">
      <alignment/>
    </xf>
    <xf numFmtId="0" fontId="8" fillId="33" borderId="0" xfId="0" applyFont="1" applyFill="1" applyAlignment="1">
      <alignment/>
    </xf>
    <xf numFmtId="6" fontId="8" fillId="33" borderId="0" xfId="0" applyNumberFormat="1" applyFont="1" applyFill="1" applyAlignment="1">
      <alignment/>
    </xf>
    <xf numFmtId="9" fontId="8" fillId="33" borderId="0" xfId="0" applyNumberFormat="1" applyFont="1" applyFill="1" applyAlignment="1">
      <alignment/>
    </xf>
    <xf numFmtId="0" fontId="6" fillId="0" borderId="0" xfId="0" applyFont="1" applyAlignment="1">
      <alignment/>
    </xf>
    <xf numFmtId="0" fontId="9" fillId="33" borderId="0" xfId="0" applyFont="1" applyFill="1" applyAlignment="1">
      <alignment/>
    </xf>
    <xf numFmtId="165" fontId="8" fillId="33" borderId="0" xfId="42" applyNumberFormat="1" applyFont="1" applyFill="1" applyAlignment="1">
      <alignment/>
    </xf>
    <xf numFmtId="165" fontId="8" fillId="33" borderId="0" xfId="0" applyNumberFormat="1" applyFont="1" applyFill="1" applyAlignment="1">
      <alignment/>
    </xf>
    <xf numFmtId="6" fontId="9" fillId="33" borderId="0" xfId="0" applyNumberFormat="1" applyFont="1" applyFill="1" applyAlignment="1">
      <alignment/>
    </xf>
    <xf numFmtId="3" fontId="8" fillId="33" borderId="0" xfId="0" applyNumberFormat="1" applyFont="1" applyFill="1" applyAlignment="1">
      <alignment/>
    </xf>
    <xf numFmtId="9" fontId="8" fillId="33" borderId="0" xfId="59" applyFont="1" applyFill="1" applyAlignment="1">
      <alignment/>
    </xf>
    <xf numFmtId="0" fontId="7" fillId="0" borderId="0" xfId="0" applyFont="1" applyAlignment="1">
      <alignment/>
    </xf>
    <xf numFmtId="173" fontId="1" fillId="0" borderId="0" xfId="0" applyNumberFormat="1" applyFont="1" applyAlignment="1">
      <alignment/>
    </xf>
    <xf numFmtId="0" fontId="0" fillId="0" borderId="0" xfId="0" applyFont="1" applyAlignment="1">
      <alignment/>
    </xf>
    <xf numFmtId="165" fontId="1" fillId="0" borderId="0" xfId="0" applyNumberFormat="1" applyFont="1" applyAlignment="1">
      <alignment/>
    </xf>
    <xf numFmtId="0" fontId="0" fillId="0" borderId="11" xfId="0" applyFont="1" applyBorder="1" applyAlignment="1">
      <alignment horizontal="left" vertical="center"/>
    </xf>
    <xf numFmtId="0" fontId="0" fillId="0" borderId="12" xfId="0" applyFont="1" applyBorder="1" applyAlignment="1">
      <alignment horizontal="left" vertical="center" wrapTex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0" fillId="0" borderId="16" xfId="0" applyFont="1" applyBorder="1" applyAlignment="1">
      <alignment horizontal="left" vertical="center" wrapText="1"/>
    </xf>
    <xf numFmtId="0" fontId="10" fillId="0" borderId="0" xfId="0" applyFont="1" applyAlignment="1">
      <alignment/>
    </xf>
    <xf numFmtId="0" fontId="0" fillId="0" borderId="0" xfId="0" applyFont="1" applyAlignment="1">
      <alignment horizontal="left"/>
    </xf>
    <xf numFmtId="0" fontId="0"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485775</xdr:colOff>
      <xdr:row>5</xdr:row>
      <xdr:rowOff>28575</xdr:rowOff>
    </xdr:to>
    <xdr:pic>
      <xdr:nvPicPr>
        <xdr:cNvPr id="1" name="Picture 2"/>
        <xdr:cNvPicPr preferRelativeResize="1">
          <a:picLocks noChangeAspect="1"/>
        </xdr:cNvPicPr>
      </xdr:nvPicPr>
      <xdr:blipFill>
        <a:blip r:embed="rId1"/>
        <a:stretch>
          <a:fillRect/>
        </a:stretch>
      </xdr:blipFill>
      <xdr:spPr>
        <a:xfrm>
          <a:off x="76200" y="76200"/>
          <a:ext cx="10191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409575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10191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409575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10191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219075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10953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219075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10953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219075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10953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219075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10953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219075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10953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409575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10191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1:D22"/>
  <sheetViews>
    <sheetView showGridLines="0" zoomScalePageLayoutView="0" workbookViewId="0" topLeftCell="A1">
      <selection activeCell="D3" sqref="A1:IV16384"/>
    </sheetView>
  </sheetViews>
  <sheetFormatPr defaultColWidth="9.140625" defaultRowHeight="12.75"/>
  <cols>
    <col min="3" max="3" width="26.140625" style="0" customWidth="1"/>
    <col min="4" max="4" width="89.57421875" style="0" customWidth="1"/>
  </cols>
  <sheetData>
    <row r="1" ht="25.5">
      <c r="C1" s="32" t="s">
        <v>113</v>
      </c>
    </row>
    <row r="7" ht="12.75">
      <c r="C7" s="22" t="s">
        <v>89</v>
      </c>
    </row>
    <row r="8" spans="3:4" ht="12.75">
      <c r="C8" s="33" t="s">
        <v>92</v>
      </c>
      <c r="D8" s="33"/>
    </row>
    <row r="9" spans="3:4" ht="27" customHeight="1">
      <c r="C9" s="34" t="s">
        <v>93</v>
      </c>
      <c r="D9" s="33"/>
    </row>
    <row r="10" spans="3:4" ht="26.25" customHeight="1">
      <c r="C10" s="34" t="s">
        <v>94</v>
      </c>
      <c r="D10" s="33"/>
    </row>
    <row r="11" spans="3:4" ht="23.25" customHeight="1">
      <c r="C11" s="34" t="s">
        <v>95</v>
      </c>
      <c r="D11" s="33"/>
    </row>
    <row r="12" spans="3:4" ht="12.75">
      <c r="C12" s="33" t="s">
        <v>96</v>
      </c>
      <c r="D12" s="33"/>
    </row>
    <row r="14" ht="12.75">
      <c r="C14" s="22" t="s">
        <v>86</v>
      </c>
    </row>
    <row r="15" spans="3:4" ht="12.75">
      <c r="C15" s="28" t="s">
        <v>97</v>
      </c>
      <c r="D15" s="26" t="s">
        <v>98</v>
      </c>
    </row>
    <row r="16" spans="3:4" ht="25.5">
      <c r="C16" s="29" t="s">
        <v>99</v>
      </c>
      <c r="D16" s="27" t="s">
        <v>112</v>
      </c>
    </row>
    <row r="17" spans="3:4" ht="25.5">
      <c r="C17" s="29" t="s">
        <v>100</v>
      </c>
      <c r="D17" s="27" t="s">
        <v>106</v>
      </c>
    </row>
    <row r="18" spans="3:4" ht="25.5">
      <c r="C18" s="29" t="s">
        <v>101</v>
      </c>
      <c r="D18" s="27" t="s">
        <v>108</v>
      </c>
    </row>
    <row r="19" spans="3:4" ht="25.5">
      <c r="C19" s="29" t="s">
        <v>102</v>
      </c>
      <c r="D19" s="27" t="s">
        <v>107</v>
      </c>
    </row>
    <row r="20" spans="3:4" ht="25.5">
      <c r="C20" s="29" t="s">
        <v>103</v>
      </c>
      <c r="D20" s="27" t="s">
        <v>109</v>
      </c>
    </row>
    <row r="21" spans="3:4" ht="25.5">
      <c r="C21" s="29" t="s">
        <v>104</v>
      </c>
      <c r="D21" s="27" t="s">
        <v>110</v>
      </c>
    </row>
    <row r="22" spans="3:4" ht="25.5">
      <c r="C22" s="30" t="s">
        <v>105</v>
      </c>
      <c r="D22" s="31" t="s">
        <v>111</v>
      </c>
    </row>
  </sheetData>
  <sheetProtection/>
  <mergeCells count="5">
    <mergeCell ref="C12:D12"/>
    <mergeCell ref="C8:D8"/>
    <mergeCell ref="C9:D9"/>
    <mergeCell ref="C10:D10"/>
    <mergeCell ref="C11:D11"/>
  </mergeCells>
  <printOptions/>
  <pageMargins left="0.7086614173228347" right="0.7086614173228347" top="0.7480314960629921" bottom="0.7480314960629921" header="0.31496062992125984" footer="0.31496062992125984"/>
  <pageSetup fitToHeight="1" fitToWidth="1" horizontalDpi="200" verticalDpi="200" orientation="landscape"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7:M16"/>
  <sheetViews>
    <sheetView showGridLines="0" zoomScalePageLayoutView="0" workbookViewId="0" topLeftCell="A1">
      <pane xSplit="3" ySplit="7" topLeftCell="D8" activePane="bottomRight" state="frozen"/>
      <selection pane="topLeft" activeCell="A1" sqref="A1"/>
      <selection pane="topRight" activeCell="D1" sqref="D1"/>
      <selection pane="bottomLeft" activeCell="A3" sqref="A3"/>
      <selection pane="bottomRight" activeCell="E8" sqref="E8"/>
    </sheetView>
  </sheetViews>
  <sheetFormatPr defaultColWidth="9.140625" defaultRowHeight="12.75"/>
  <cols>
    <col min="2" max="2" width="43.8515625" style="0" bestFit="1" customWidth="1"/>
    <col min="3" max="4" width="1.1484375" style="0" customWidth="1"/>
  </cols>
  <sheetData>
    <row r="7" spans="1:13" ht="12.75">
      <c r="A7" s="1" t="s">
        <v>14</v>
      </c>
      <c r="E7" s="23">
        <v>0</v>
      </c>
      <c r="F7" s="23">
        <f>E7+1</f>
        <v>1</v>
      </c>
      <c r="G7" s="23">
        <f aca="true" t="shared" si="0" ref="G7:M7">F7+1</f>
        <v>2</v>
      </c>
      <c r="H7" s="23">
        <f t="shared" si="0"/>
        <v>3</v>
      </c>
      <c r="I7" s="23">
        <f t="shared" si="0"/>
        <v>4</v>
      </c>
      <c r="J7" s="23">
        <f t="shared" si="0"/>
        <v>5</v>
      </c>
      <c r="K7" s="23">
        <f t="shared" si="0"/>
        <v>6</v>
      </c>
      <c r="L7" s="23">
        <f t="shared" si="0"/>
        <v>7</v>
      </c>
      <c r="M7" s="23">
        <f t="shared" si="0"/>
        <v>8</v>
      </c>
    </row>
    <row r="8" spans="2:13" ht="12.75">
      <c r="B8" s="12" t="s">
        <v>57</v>
      </c>
      <c r="E8" s="14">
        <v>0.7</v>
      </c>
      <c r="F8" s="3">
        <f>E8</f>
        <v>0.7</v>
      </c>
      <c r="G8" s="3">
        <f aca="true" t="shared" si="1" ref="G8:M9">F8</f>
        <v>0.7</v>
      </c>
      <c r="H8" s="3">
        <f t="shared" si="1"/>
        <v>0.7</v>
      </c>
      <c r="I8" s="3">
        <f t="shared" si="1"/>
        <v>0.7</v>
      </c>
      <c r="J8" s="3">
        <f t="shared" si="1"/>
        <v>0.7</v>
      </c>
      <c r="K8" s="3">
        <f t="shared" si="1"/>
        <v>0.7</v>
      </c>
      <c r="L8" s="3">
        <f t="shared" si="1"/>
        <v>0.7</v>
      </c>
      <c r="M8" s="3">
        <f t="shared" si="1"/>
        <v>0.7</v>
      </c>
    </row>
    <row r="9" spans="2:13" ht="12.75">
      <c r="B9" s="12" t="s">
        <v>58</v>
      </c>
      <c r="E9" s="14">
        <v>0.7</v>
      </c>
      <c r="F9" s="3">
        <f>E9</f>
        <v>0.7</v>
      </c>
      <c r="G9" s="3">
        <f t="shared" si="1"/>
        <v>0.7</v>
      </c>
      <c r="H9" s="3">
        <f t="shared" si="1"/>
        <v>0.7</v>
      </c>
      <c r="I9" s="3">
        <f t="shared" si="1"/>
        <v>0.7</v>
      </c>
      <c r="J9" s="3">
        <f t="shared" si="1"/>
        <v>0.7</v>
      </c>
      <c r="K9" s="3">
        <f t="shared" si="1"/>
        <v>0.7</v>
      </c>
      <c r="L9" s="3">
        <f t="shared" si="1"/>
        <v>0.7</v>
      </c>
      <c r="M9" s="3">
        <f t="shared" si="1"/>
        <v>0.7</v>
      </c>
    </row>
    <row r="10" spans="1:13" ht="12.75">
      <c r="A10" s="3"/>
      <c r="B10" s="6"/>
      <c r="E10" s="3"/>
      <c r="F10" s="3"/>
      <c r="G10" s="3"/>
      <c r="H10" s="3"/>
      <c r="I10" s="3"/>
      <c r="J10" s="3"/>
      <c r="K10" s="3"/>
      <c r="L10" s="3"/>
      <c r="M10" s="3"/>
    </row>
    <row r="11" spans="2:5" ht="12.75">
      <c r="B11" s="12" t="s">
        <v>59</v>
      </c>
      <c r="E11" s="12">
        <v>32</v>
      </c>
    </row>
    <row r="12" spans="2:5" ht="12.75">
      <c r="B12" s="12" t="s">
        <v>39</v>
      </c>
      <c r="E12" s="13">
        <v>0</v>
      </c>
    </row>
    <row r="13" spans="2:5" ht="12.75">
      <c r="B13" s="12" t="s">
        <v>34</v>
      </c>
      <c r="E13" s="13">
        <v>25</v>
      </c>
    </row>
    <row r="14" spans="2:5" ht="12.75">
      <c r="B14" s="12" t="s">
        <v>40</v>
      </c>
      <c r="E14" s="13">
        <v>0</v>
      </c>
    </row>
    <row r="15" spans="2:5" ht="12.75">
      <c r="B15" s="12" t="s">
        <v>33</v>
      </c>
      <c r="E15" s="13">
        <v>50</v>
      </c>
    </row>
    <row r="16" spans="2:5" ht="12.75">
      <c r="B16" s="12" t="s">
        <v>50</v>
      </c>
      <c r="E16" s="14">
        <v>0.2</v>
      </c>
    </row>
  </sheetData>
  <sheetProtection/>
  <printOptions/>
  <pageMargins left="0.7086614173228347" right="0.7086614173228347" top="0.7480314960629921" bottom="0.7480314960629921" header="0.31496062992125984" footer="0.31496062992125984"/>
  <pageSetup fitToHeight="1" fitToWidth="1" horizontalDpi="200" verticalDpi="200" orientation="landscape" paperSize="9"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7:M53"/>
  <sheetViews>
    <sheetView showGridLines="0" zoomScalePageLayoutView="0" workbookViewId="0" topLeftCell="A1">
      <pane xSplit="3" ySplit="7" topLeftCell="D8" activePane="bottomRight" state="frozen"/>
      <selection pane="topLeft" activeCell="A1" sqref="A1"/>
      <selection pane="topRight" activeCell="D1" sqref="D1"/>
      <selection pane="bottomLeft" activeCell="A3" sqref="A3"/>
      <selection pane="bottomRight" activeCell="E9" sqref="E9"/>
    </sheetView>
  </sheetViews>
  <sheetFormatPr defaultColWidth="9.140625" defaultRowHeight="12.75"/>
  <cols>
    <col min="2" max="2" width="16.57421875" style="0" bestFit="1" customWidth="1"/>
  </cols>
  <sheetData>
    <row r="7" spans="1:13" ht="12.75">
      <c r="A7" s="1" t="s">
        <v>78</v>
      </c>
      <c r="E7" s="23">
        <v>0</v>
      </c>
      <c r="F7" s="23">
        <f>E7+1</f>
        <v>1</v>
      </c>
      <c r="G7" s="23">
        <f aca="true" t="shared" si="0" ref="G7:M7">F7+1</f>
        <v>2</v>
      </c>
      <c r="H7" s="23">
        <f t="shared" si="0"/>
        <v>3</v>
      </c>
      <c r="I7" s="23">
        <f t="shared" si="0"/>
        <v>4</v>
      </c>
      <c r="J7" s="23">
        <f t="shared" si="0"/>
        <v>5</v>
      </c>
      <c r="K7" s="23">
        <f t="shared" si="0"/>
        <v>6</v>
      </c>
      <c r="L7" s="23">
        <f t="shared" si="0"/>
        <v>7</v>
      </c>
      <c r="M7" s="23">
        <f t="shared" si="0"/>
        <v>8</v>
      </c>
    </row>
    <row r="9" ht="12.75">
      <c r="A9" s="8" t="s">
        <v>81</v>
      </c>
    </row>
    <row r="10" spans="2:13" ht="12.75">
      <c r="B10" t="s">
        <v>13</v>
      </c>
      <c r="E10" s="12">
        <v>738</v>
      </c>
      <c r="F10">
        <f aca="true" t="shared" si="1" ref="F10:M11">E10</f>
        <v>738</v>
      </c>
      <c r="G10">
        <f t="shared" si="1"/>
        <v>738</v>
      </c>
      <c r="H10">
        <f t="shared" si="1"/>
        <v>738</v>
      </c>
      <c r="I10">
        <f t="shared" si="1"/>
        <v>738</v>
      </c>
      <c r="J10">
        <f t="shared" si="1"/>
        <v>738</v>
      </c>
      <c r="K10">
        <f t="shared" si="1"/>
        <v>738</v>
      </c>
      <c r="L10">
        <f t="shared" si="1"/>
        <v>738</v>
      </c>
      <c r="M10">
        <f t="shared" si="1"/>
        <v>738</v>
      </c>
    </row>
    <row r="11" spans="2:13" ht="12.75">
      <c r="B11" t="s">
        <v>16</v>
      </c>
      <c r="E11" s="12">
        <v>57</v>
      </c>
      <c r="F11">
        <f t="shared" si="1"/>
        <v>57</v>
      </c>
      <c r="G11">
        <f t="shared" si="1"/>
        <v>57</v>
      </c>
      <c r="H11">
        <f t="shared" si="1"/>
        <v>57</v>
      </c>
      <c r="I11">
        <f t="shared" si="1"/>
        <v>57</v>
      </c>
      <c r="J11">
        <f t="shared" si="1"/>
        <v>57</v>
      </c>
      <c r="K11">
        <f t="shared" si="1"/>
        <v>57</v>
      </c>
      <c r="L11">
        <f t="shared" si="1"/>
        <v>57</v>
      </c>
      <c r="M11">
        <f t="shared" si="1"/>
        <v>57</v>
      </c>
    </row>
    <row r="12" spans="2:13" ht="12.75">
      <c r="B12" s="6" t="s">
        <v>15</v>
      </c>
      <c r="E12" s="6">
        <f aca="true" t="shared" si="2" ref="E12:M12">SUM(E10:E11)</f>
        <v>795</v>
      </c>
      <c r="F12" s="6">
        <f t="shared" si="2"/>
        <v>795</v>
      </c>
      <c r="G12" s="6">
        <f t="shared" si="2"/>
        <v>795</v>
      </c>
      <c r="H12" s="6">
        <f t="shared" si="2"/>
        <v>795</v>
      </c>
      <c r="I12" s="6">
        <f t="shared" si="2"/>
        <v>795</v>
      </c>
      <c r="J12" s="6">
        <f t="shared" si="2"/>
        <v>795</v>
      </c>
      <c r="K12" s="6">
        <f t="shared" si="2"/>
        <v>795</v>
      </c>
      <c r="L12" s="6">
        <f t="shared" si="2"/>
        <v>795</v>
      </c>
      <c r="M12" s="6">
        <f t="shared" si="2"/>
        <v>795</v>
      </c>
    </row>
    <row r="13" spans="2:13" ht="12.75">
      <c r="B13" s="6"/>
      <c r="E13" s="6"/>
      <c r="F13" s="6"/>
      <c r="G13" s="6"/>
      <c r="H13" s="6"/>
      <c r="I13" s="6"/>
      <c r="J13" s="6"/>
      <c r="K13" s="6"/>
      <c r="L13" s="6"/>
      <c r="M13" s="6"/>
    </row>
    <row r="14" spans="2:13" ht="12.75">
      <c r="B14" s="6" t="s">
        <v>19</v>
      </c>
      <c r="E14" s="12">
        <v>289</v>
      </c>
      <c r="F14">
        <f aca="true" t="shared" si="3" ref="F14:M15">E14</f>
        <v>289</v>
      </c>
      <c r="G14">
        <f t="shared" si="3"/>
        <v>289</v>
      </c>
      <c r="H14">
        <f t="shared" si="3"/>
        <v>289</v>
      </c>
      <c r="I14">
        <f t="shared" si="3"/>
        <v>289</v>
      </c>
      <c r="J14">
        <f t="shared" si="3"/>
        <v>289</v>
      </c>
      <c r="K14">
        <f t="shared" si="3"/>
        <v>289</v>
      </c>
      <c r="L14">
        <f t="shared" si="3"/>
        <v>289</v>
      </c>
      <c r="M14">
        <f t="shared" si="3"/>
        <v>289</v>
      </c>
    </row>
    <row r="15" spans="2:13" ht="12.75">
      <c r="B15" s="6" t="s">
        <v>20</v>
      </c>
      <c r="E15" s="12">
        <v>49</v>
      </c>
      <c r="F15">
        <f t="shared" si="3"/>
        <v>49</v>
      </c>
      <c r="G15">
        <f t="shared" si="3"/>
        <v>49</v>
      </c>
      <c r="H15">
        <f t="shared" si="3"/>
        <v>49</v>
      </c>
      <c r="I15">
        <f t="shared" si="3"/>
        <v>49</v>
      </c>
      <c r="J15">
        <f t="shared" si="3"/>
        <v>49</v>
      </c>
      <c r="K15">
        <f t="shared" si="3"/>
        <v>49</v>
      </c>
      <c r="L15">
        <f t="shared" si="3"/>
        <v>49</v>
      </c>
      <c r="M15">
        <f t="shared" si="3"/>
        <v>49</v>
      </c>
    </row>
    <row r="16" spans="2:13" ht="12.75">
      <c r="B16" s="6" t="s">
        <v>21</v>
      </c>
      <c r="E16" s="6">
        <f aca="true" t="shared" si="4" ref="E16:M16">SUM(E14:E15)</f>
        <v>338</v>
      </c>
      <c r="F16" s="6">
        <f t="shared" si="4"/>
        <v>338</v>
      </c>
      <c r="G16" s="6">
        <f t="shared" si="4"/>
        <v>338</v>
      </c>
      <c r="H16" s="6">
        <f t="shared" si="4"/>
        <v>338</v>
      </c>
      <c r="I16" s="6">
        <f t="shared" si="4"/>
        <v>338</v>
      </c>
      <c r="J16" s="6">
        <f t="shared" si="4"/>
        <v>338</v>
      </c>
      <c r="K16" s="6">
        <f t="shared" si="4"/>
        <v>338</v>
      </c>
      <c r="L16" s="6">
        <f t="shared" si="4"/>
        <v>338</v>
      </c>
      <c r="M16" s="6">
        <f t="shared" si="4"/>
        <v>338</v>
      </c>
    </row>
    <row r="17" spans="2:13" ht="12.75">
      <c r="B17" s="6"/>
      <c r="E17" s="6"/>
      <c r="F17" s="6"/>
      <c r="G17" s="6"/>
      <c r="H17" s="6"/>
      <c r="I17" s="6"/>
      <c r="J17" s="6"/>
      <c r="K17" s="6"/>
      <c r="L17" s="6"/>
      <c r="M17" s="6"/>
    </row>
    <row r="18" spans="2:13" ht="12.75">
      <c r="B18" s="6"/>
      <c r="E18" s="6"/>
      <c r="F18" s="6"/>
      <c r="G18" s="6"/>
      <c r="H18" s="6"/>
      <c r="I18" s="6"/>
      <c r="J18" s="6"/>
      <c r="K18" s="6"/>
      <c r="L18" s="6"/>
      <c r="M18" s="6"/>
    </row>
    <row r="19" spans="1:13" ht="12.75">
      <c r="A19" s="15" t="s">
        <v>83</v>
      </c>
      <c r="B19" s="6"/>
      <c r="E19" s="6"/>
      <c r="F19" s="6"/>
      <c r="G19" s="6"/>
      <c r="H19" s="6"/>
      <c r="I19" s="6"/>
      <c r="J19" s="6"/>
      <c r="K19" s="6"/>
      <c r="L19" s="6"/>
      <c r="M19" s="6"/>
    </row>
    <row r="21" ht="12.75">
      <c r="A21" s="8" t="s">
        <v>82</v>
      </c>
    </row>
    <row r="22" spans="2:13" ht="12.75">
      <c r="B22" t="s">
        <v>13</v>
      </c>
      <c r="E22" s="12">
        <v>709</v>
      </c>
      <c r="F22">
        <f aca="true" t="shared" si="5" ref="F22:M23">E22</f>
        <v>709</v>
      </c>
      <c r="G22">
        <f t="shared" si="5"/>
        <v>709</v>
      </c>
      <c r="H22">
        <f t="shared" si="5"/>
        <v>709</v>
      </c>
      <c r="I22">
        <f t="shared" si="5"/>
        <v>709</v>
      </c>
      <c r="J22">
        <f t="shared" si="5"/>
        <v>709</v>
      </c>
      <c r="K22">
        <f t="shared" si="5"/>
        <v>709</v>
      </c>
      <c r="L22">
        <f t="shared" si="5"/>
        <v>709</v>
      </c>
      <c r="M22">
        <f t="shared" si="5"/>
        <v>709</v>
      </c>
    </row>
    <row r="23" spans="2:13" ht="12.75">
      <c r="B23" t="s">
        <v>16</v>
      </c>
      <c r="E23" s="12">
        <v>57</v>
      </c>
      <c r="F23">
        <f t="shared" si="5"/>
        <v>57</v>
      </c>
      <c r="G23">
        <f t="shared" si="5"/>
        <v>57</v>
      </c>
      <c r="H23">
        <f t="shared" si="5"/>
        <v>57</v>
      </c>
      <c r="I23">
        <f t="shared" si="5"/>
        <v>57</v>
      </c>
      <c r="J23">
        <f t="shared" si="5"/>
        <v>57</v>
      </c>
      <c r="K23">
        <f t="shared" si="5"/>
        <v>57</v>
      </c>
      <c r="L23">
        <f t="shared" si="5"/>
        <v>57</v>
      </c>
      <c r="M23">
        <f t="shared" si="5"/>
        <v>57</v>
      </c>
    </row>
    <row r="24" spans="2:13" ht="12.75">
      <c r="B24" s="6" t="s">
        <v>15</v>
      </c>
      <c r="E24" s="6">
        <f aca="true" t="shared" si="6" ref="E24:M24">SUM(E22:E23)</f>
        <v>766</v>
      </c>
      <c r="F24" s="6">
        <f t="shared" si="6"/>
        <v>766</v>
      </c>
      <c r="G24" s="6">
        <f t="shared" si="6"/>
        <v>766</v>
      </c>
      <c r="H24" s="6">
        <f t="shared" si="6"/>
        <v>766</v>
      </c>
      <c r="I24" s="6">
        <f t="shared" si="6"/>
        <v>766</v>
      </c>
      <c r="J24" s="6">
        <f t="shared" si="6"/>
        <v>766</v>
      </c>
      <c r="K24" s="6">
        <f t="shared" si="6"/>
        <v>766</v>
      </c>
      <c r="L24" s="6">
        <f t="shared" si="6"/>
        <v>766</v>
      </c>
      <c r="M24" s="6">
        <f t="shared" si="6"/>
        <v>766</v>
      </c>
    </row>
    <row r="25" ht="12.75">
      <c r="B25" s="6"/>
    </row>
    <row r="26" spans="2:13" ht="12.75">
      <c r="B26" s="6" t="s">
        <v>19</v>
      </c>
      <c r="E26" s="12">
        <f>E14-26</f>
        <v>263</v>
      </c>
      <c r="F26">
        <f aca="true" t="shared" si="7" ref="F26:M27">E26</f>
        <v>263</v>
      </c>
      <c r="G26">
        <f t="shared" si="7"/>
        <v>263</v>
      </c>
      <c r="H26">
        <f t="shared" si="7"/>
        <v>263</v>
      </c>
      <c r="I26">
        <f t="shared" si="7"/>
        <v>263</v>
      </c>
      <c r="J26">
        <f t="shared" si="7"/>
        <v>263</v>
      </c>
      <c r="K26">
        <f t="shared" si="7"/>
        <v>263</v>
      </c>
      <c r="L26">
        <f t="shared" si="7"/>
        <v>263</v>
      </c>
      <c r="M26">
        <f t="shared" si="7"/>
        <v>263</v>
      </c>
    </row>
    <row r="27" spans="2:13" ht="12.75">
      <c r="B27" s="6" t="s">
        <v>20</v>
      </c>
      <c r="E27" s="12">
        <f>E23-0</f>
        <v>57</v>
      </c>
      <c r="F27">
        <f t="shared" si="7"/>
        <v>57</v>
      </c>
      <c r="G27">
        <f t="shared" si="7"/>
        <v>57</v>
      </c>
      <c r="H27">
        <f t="shared" si="7"/>
        <v>57</v>
      </c>
      <c r="I27">
        <f t="shared" si="7"/>
        <v>57</v>
      </c>
      <c r="J27">
        <f t="shared" si="7"/>
        <v>57</v>
      </c>
      <c r="K27">
        <f t="shared" si="7"/>
        <v>57</v>
      </c>
      <c r="L27">
        <f t="shared" si="7"/>
        <v>57</v>
      </c>
      <c r="M27">
        <f t="shared" si="7"/>
        <v>57</v>
      </c>
    </row>
    <row r="28" spans="2:13" ht="12.75">
      <c r="B28" s="6" t="s">
        <v>21</v>
      </c>
      <c r="E28" s="6">
        <f aca="true" t="shared" si="8" ref="E28:M28">SUM(E26:E27)</f>
        <v>320</v>
      </c>
      <c r="F28" s="6">
        <f t="shared" si="8"/>
        <v>320</v>
      </c>
      <c r="G28" s="6">
        <f t="shared" si="8"/>
        <v>320</v>
      </c>
      <c r="H28" s="6">
        <f t="shared" si="8"/>
        <v>320</v>
      </c>
      <c r="I28" s="6">
        <f t="shared" si="8"/>
        <v>320</v>
      </c>
      <c r="J28" s="6">
        <f t="shared" si="8"/>
        <v>320</v>
      </c>
      <c r="K28" s="6">
        <f t="shared" si="8"/>
        <v>320</v>
      </c>
      <c r="L28" s="6">
        <f t="shared" si="8"/>
        <v>320</v>
      </c>
      <c r="M28" s="6">
        <f t="shared" si="8"/>
        <v>320</v>
      </c>
    </row>
    <row r="30" spans="1:13" ht="12.75">
      <c r="A30" s="8" t="s">
        <v>79</v>
      </c>
      <c r="E30" s="7"/>
      <c r="F30" s="7"/>
      <c r="G30" s="7"/>
      <c r="H30" s="7"/>
      <c r="I30" s="7"/>
      <c r="J30" s="7"/>
      <c r="K30" s="7"/>
      <c r="L30" s="7"/>
      <c r="M30" s="7"/>
    </row>
    <row r="31" spans="1:13" ht="12.75">
      <c r="A31" s="5"/>
      <c r="B31" t="s">
        <v>13</v>
      </c>
      <c r="E31">
        <f>ROUND('Market calculations'!E22*'Assumptions Control sheet'!$E$8,0)</f>
        <v>496</v>
      </c>
      <c r="F31">
        <f>ROUND('Market calculations'!F22*'Assumptions Control sheet'!$E$8,0)</f>
        <v>496</v>
      </c>
      <c r="G31">
        <f>ROUND('Market calculations'!G22*'Assumptions Control sheet'!$E$8,0)</f>
        <v>496</v>
      </c>
      <c r="H31">
        <f>ROUND('Market calculations'!H22*'Assumptions Control sheet'!$E$8,0)</f>
        <v>496</v>
      </c>
      <c r="I31">
        <f>ROUND('Market calculations'!I22*'Assumptions Control sheet'!$E$8,0)</f>
        <v>496</v>
      </c>
      <c r="J31">
        <f>ROUND('Market calculations'!J22*'Assumptions Control sheet'!$E$8,0)</f>
        <v>496</v>
      </c>
      <c r="K31">
        <f>ROUND('Market calculations'!K22*'Assumptions Control sheet'!$E$8,0)</f>
        <v>496</v>
      </c>
      <c r="L31">
        <f>ROUND('Market calculations'!L22*'Assumptions Control sheet'!$E$8,0)</f>
        <v>496</v>
      </c>
      <c r="M31">
        <f>ROUND('Market calculations'!M22*'Assumptions Control sheet'!$E$8,0)</f>
        <v>496</v>
      </c>
    </row>
    <row r="32" spans="1:13" ht="12.75">
      <c r="A32" s="5"/>
      <c r="B32" t="s">
        <v>16</v>
      </c>
      <c r="E32">
        <f>ROUND('Market calculations'!E23*'Assumptions Control sheet'!$E$9,0)</f>
        <v>40</v>
      </c>
      <c r="F32">
        <f>ROUND('Market calculations'!F23*'Assumptions Control sheet'!$E$9,0)</f>
        <v>40</v>
      </c>
      <c r="G32">
        <f>ROUND('Market calculations'!G23*'Assumptions Control sheet'!$E$9,0)</f>
        <v>40</v>
      </c>
      <c r="H32">
        <f>ROUND('Market calculations'!H23*'Assumptions Control sheet'!$E$9,0)</f>
        <v>40</v>
      </c>
      <c r="I32">
        <f>ROUND('Market calculations'!I23*'Assumptions Control sheet'!$E$9,0)</f>
        <v>40</v>
      </c>
      <c r="J32">
        <f>ROUND('Market calculations'!J23*'Assumptions Control sheet'!$E$9,0)</f>
        <v>40</v>
      </c>
      <c r="K32">
        <f>ROUND('Market calculations'!K23*'Assumptions Control sheet'!$E$9,0)</f>
        <v>40</v>
      </c>
      <c r="L32">
        <f>ROUND('Market calculations'!L23*'Assumptions Control sheet'!$E$9,0)</f>
        <v>40</v>
      </c>
      <c r="M32">
        <f>ROUND('Market calculations'!M23*'Assumptions Control sheet'!$E$9,0)</f>
        <v>40</v>
      </c>
    </row>
    <row r="33" spans="1:13" ht="12.75">
      <c r="A33" s="5"/>
      <c r="B33" s="6" t="s">
        <v>15</v>
      </c>
      <c r="E33" s="5">
        <f aca="true" t="shared" si="9" ref="E33:M33">SUM(E31:E32)</f>
        <v>536</v>
      </c>
      <c r="F33" s="5">
        <f t="shared" si="9"/>
        <v>536</v>
      </c>
      <c r="G33" s="5">
        <f t="shared" si="9"/>
        <v>536</v>
      </c>
      <c r="H33" s="5">
        <f t="shared" si="9"/>
        <v>536</v>
      </c>
      <c r="I33" s="5">
        <f t="shared" si="9"/>
        <v>536</v>
      </c>
      <c r="J33" s="5">
        <f t="shared" si="9"/>
        <v>536</v>
      </c>
      <c r="K33" s="5">
        <f t="shared" si="9"/>
        <v>536</v>
      </c>
      <c r="L33" s="5">
        <f t="shared" si="9"/>
        <v>536</v>
      </c>
      <c r="M33" s="5">
        <f t="shared" si="9"/>
        <v>536</v>
      </c>
    </row>
    <row r="34" spans="1:2" ht="12.75">
      <c r="A34" s="5"/>
      <c r="B34" s="6"/>
    </row>
    <row r="35" spans="1:13" ht="12.75">
      <c r="A35" s="5"/>
      <c r="B35" s="6" t="s">
        <v>19</v>
      </c>
      <c r="E35">
        <f>ROUND('Market calculations'!E26*'Assumptions Control sheet'!$E$8,0)</f>
        <v>184</v>
      </c>
      <c r="F35">
        <f>ROUND('Market calculations'!F26*'Assumptions Control sheet'!$E$8,0)</f>
        <v>184</v>
      </c>
      <c r="G35">
        <f>ROUND('Market calculations'!G26*'Assumptions Control sheet'!$E$8,0)</f>
        <v>184</v>
      </c>
      <c r="H35">
        <f>ROUND('Market calculations'!H26*'Assumptions Control sheet'!$E$8,0)</f>
        <v>184</v>
      </c>
      <c r="I35">
        <f>ROUND('Market calculations'!I26*'Assumptions Control sheet'!$E$8,0)</f>
        <v>184</v>
      </c>
      <c r="J35">
        <f>ROUND('Market calculations'!J26*'Assumptions Control sheet'!$E$8,0)</f>
        <v>184</v>
      </c>
      <c r="K35">
        <f>ROUND('Market calculations'!K26*'Assumptions Control sheet'!$E$8,0)</f>
        <v>184</v>
      </c>
      <c r="L35">
        <f>ROUND('Market calculations'!L26*'Assumptions Control sheet'!$E$8,0)</f>
        <v>184</v>
      </c>
      <c r="M35">
        <f>ROUND('Market calculations'!M26*'Assumptions Control sheet'!$E$8,0)</f>
        <v>184</v>
      </c>
    </row>
    <row r="36" spans="1:13" ht="12.75">
      <c r="A36" s="5"/>
      <c r="B36" s="6" t="s">
        <v>20</v>
      </c>
      <c r="E36">
        <f>ROUND('Market calculations'!E27*'Assumptions Control sheet'!$E$9,0)</f>
        <v>40</v>
      </c>
      <c r="F36">
        <f>ROUND('Market calculations'!F27*'Assumptions Control sheet'!$E$9,0)</f>
        <v>40</v>
      </c>
      <c r="G36">
        <f>ROUND('Market calculations'!G27*'Assumptions Control sheet'!$E$9,0)</f>
        <v>40</v>
      </c>
      <c r="H36">
        <f>ROUND('Market calculations'!H27*'Assumptions Control sheet'!$E$9,0)</f>
        <v>40</v>
      </c>
      <c r="I36">
        <f>ROUND('Market calculations'!I27*'Assumptions Control sheet'!$E$9,0)</f>
        <v>40</v>
      </c>
      <c r="J36">
        <f>ROUND('Market calculations'!J27*'Assumptions Control sheet'!$E$9,0)</f>
        <v>40</v>
      </c>
      <c r="K36">
        <f>ROUND('Market calculations'!K27*'Assumptions Control sheet'!$E$9,0)</f>
        <v>40</v>
      </c>
      <c r="L36">
        <f>ROUND('Market calculations'!L27*'Assumptions Control sheet'!$E$9,0)</f>
        <v>40</v>
      </c>
      <c r="M36">
        <f>ROUND('Market calculations'!M27*'Assumptions Control sheet'!$E$9,0)</f>
        <v>40</v>
      </c>
    </row>
    <row r="37" spans="1:13" ht="12.75">
      <c r="A37" s="5"/>
      <c r="B37" s="6" t="s">
        <v>21</v>
      </c>
      <c r="E37" s="5">
        <f aca="true" t="shared" si="10" ref="E37:M37">SUM(E35:E36)</f>
        <v>224</v>
      </c>
      <c r="F37" s="5">
        <f t="shared" si="10"/>
        <v>224</v>
      </c>
      <c r="G37" s="5">
        <f t="shared" si="10"/>
        <v>224</v>
      </c>
      <c r="H37" s="5">
        <f t="shared" si="10"/>
        <v>224</v>
      </c>
      <c r="I37" s="5">
        <f t="shared" si="10"/>
        <v>224</v>
      </c>
      <c r="J37" s="5">
        <f t="shared" si="10"/>
        <v>224</v>
      </c>
      <c r="K37" s="5">
        <f t="shared" si="10"/>
        <v>224</v>
      </c>
      <c r="L37" s="5">
        <f t="shared" si="10"/>
        <v>224</v>
      </c>
      <c r="M37" s="5">
        <f t="shared" si="10"/>
        <v>224</v>
      </c>
    </row>
    <row r="38" spans="1:2" ht="12.75">
      <c r="A38" s="5"/>
      <c r="B38" s="6"/>
    </row>
    <row r="39" spans="1:2" ht="12.75">
      <c r="A39" s="8" t="s">
        <v>80</v>
      </c>
      <c r="B39" s="6"/>
    </row>
    <row r="40" spans="1:13" ht="12.75">
      <c r="A40" s="5"/>
      <c r="B40" s="6" t="s">
        <v>22</v>
      </c>
      <c r="E40" s="14">
        <v>0</v>
      </c>
      <c r="F40" s="14">
        <v>0.1</v>
      </c>
      <c r="G40" s="14">
        <v>0.2</v>
      </c>
      <c r="H40" s="14">
        <v>0.2</v>
      </c>
      <c r="I40" s="14">
        <v>0.2</v>
      </c>
      <c r="J40" s="14">
        <v>0.2</v>
      </c>
      <c r="K40" s="14">
        <v>0.2</v>
      </c>
      <c r="L40" s="14">
        <v>0.2</v>
      </c>
      <c r="M40" s="14">
        <v>0.2</v>
      </c>
    </row>
    <row r="41" spans="1:13" ht="12.75">
      <c r="A41" s="5"/>
      <c r="B41" s="6" t="s">
        <v>23</v>
      </c>
      <c r="E41" s="14">
        <v>0</v>
      </c>
      <c r="F41" s="14">
        <v>0.5</v>
      </c>
      <c r="G41" s="14">
        <v>1</v>
      </c>
      <c r="H41" s="14">
        <v>1</v>
      </c>
      <c r="I41" s="14">
        <v>1</v>
      </c>
      <c r="J41" s="14">
        <v>1</v>
      </c>
      <c r="K41" s="14">
        <v>1</v>
      </c>
      <c r="L41" s="14">
        <v>1</v>
      </c>
      <c r="M41" s="14">
        <v>1</v>
      </c>
    </row>
    <row r="42" spans="1:13" ht="12.75">
      <c r="A42" s="5"/>
      <c r="B42" s="6"/>
      <c r="E42" s="3"/>
      <c r="F42" s="3"/>
      <c r="G42" s="3"/>
      <c r="H42" s="3"/>
      <c r="I42" s="3"/>
      <c r="J42" s="3"/>
      <c r="K42" s="3"/>
      <c r="L42" s="3"/>
      <c r="M42" s="3"/>
    </row>
    <row r="43" spans="1:13" ht="12.75">
      <c r="A43" s="5"/>
      <c r="B43" s="6" t="s">
        <v>26</v>
      </c>
      <c r="E43">
        <f aca="true" t="shared" si="11" ref="E43:M43">ROUND(SUM((E31-E35)*E40,(E41*E35)),0)</f>
        <v>0</v>
      </c>
      <c r="F43">
        <f t="shared" si="11"/>
        <v>123</v>
      </c>
      <c r="G43">
        <f t="shared" si="11"/>
        <v>246</v>
      </c>
      <c r="H43">
        <f t="shared" si="11"/>
        <v>246</v>
      </c>
      <c r="I43">
        <f t="shared" si="11"/>
        <v>246</v>
      </c>
      <c r="J43">
        <f t="shared" si="11"/>
        <v>246</v>
      </c>
      <c r="K43">
        <f t="shared" si="11"/>
        <v>246</v>
      </c>
      <c r="L43">
        <f t="shared" si="11"/>
        <v>246</v>
      </c>
      <c r="M43">
        <f t="shared" si="11"/>
        <v>246</v>
      </c>
    </row>
    <row r="44" spans="1:13" ht="12.75">
      <c r="A44" s="5"/>
      <c r="B44" s="6" t="s">
        <v>31</v>
      </c>
      <c r="E44">
        <f>E43-C43</f>
        <v>0</v>
      </c>
      <c r="F44">
        <f aca="true" t="shared" si="12" ref="F44:M44">F43-E43</f>
        <v>123</v>
      </c>
      <c r="G44">
        <f t="shared" si="12"/>
        <v>123</v>
      </c>
      <c r="H44">
        <f t="shared" si="12"/>
        <v>0</v>
      </c>
      <c r="I44">
        <f t="shared" si="12"/>
        <v>0</v>
      </c>
      <c r="J44">
        <f t="shared" si="12"/>
        <v>0</v>
      </c>
      <c r="K44">
        <f t="shared" si="12"/>
        <v>0</v>
      </c>
      <c r="L44">
        <f t="shared" si="12"/>
        <v>0</v>
      </c>
      <c r="M44">
        <f t="shared" si="12"/>
        <v>0</v>
      </c>
    </row>
    <row r="45" spans="1:2" ht="12.75">
      <c r="A45" s="5"/>
      <c r="B45" s="6"/>
    </row>
    <row r="46" spans="1:13" ht="12.75">
      <c r="A46" s="5"/>
      <c r="B46" s="6" t="s">
        <v>27</v>
      </c>
      <c r="E46" s="14">
        <v>0</v>
      </c>
      <c r="F46" s="14">
        <v>0.1</v>
      </c>
      <c r="G46" s="14">
        <v>0.2</v>
      </c>
      <c r="H46" s="14">
        <f aca="true" t="shared" si="13" ref="H46:M47">G46</f>
        <v>0.2</v>
      </c>
      <c r="I46" s="14">
        <f t="shared" si="13"/>
        <v>0.2</v>
      </c>
      <c r="J46" s="14">
        <f t="shared" si="13"/>
        <v>0.2</v>
      </c>
      <c r="K46" s="14">
        <f t="shared" si="13"/>
        <v>0.2</v>
      </c>
      <c r="L46" s="14">
        <f t="shared" si="13"/>
        <v>0.2</v>
      </c>
      <c r="M46" s="14">
        <f t="shared" si="13"/>
        <v>0.2</v>
      </c>
    </row>
    <row r="47" spans="1:13" ht="12.75">
      <c r="A47" s="5"/>
      <c r="B47" s="6" t="s">
        <v>28</v>
      </c>
      <c r="E47" s="14">
        <v>0</v>
      </c>
      <c r="F47" s="14">
        <v>0.5</v>
      </c>
      <c r="G47" s="14">
        <v>1</v>
      </c>
      <c r="H47" s="14">
        <f t="shared" si="13"/>
        <v>1</v>
      </c>
      <c r="I47" s="14">
        <f t="shared" si="13"/>
        <v>1</v>
      </c>
      <c r="J47" s="14">
        <f t="shared" si="13"/>
        <v>1</v>
      </c>
      <c r="K47" s="14">
        <f t="shared" si="13"/>
        <v>1</v>
      </c>
      <c r="L47" s="14">
        <f t="shared" si="13"/>
        <v>1</v>
      </c>
      <c r="M47" s="14">
        <f t="shared" si="13"/>
        <v>1</v>
      </c>
    </row>
    <row r="48" spans="1:2" ht="12.75">
      <c r="A48" s="5"/>
      <c r="B48" s="6"/>
    </row>
    <row r="49" spans="1:13" ht="12.75">
      <c r="A49" s="5"/>
      <c r="B49" s="6" t="s">
        <v>29</v>
      </c>
      <c r="E49">
        <f aca="true" t="shared" si="14" ref="E49:M49">ROUND(SUM((E32-E36)*E46,(E47*E36)),0)</f>
        <v>0</v>
      </c>
      <c r="F49">
        <f t="shared" si="14"/>
        <v>20</v>
      </c>
      <c r="G49">
        <f t="shared" si="14"/>
        <v>40</v>
      </c>
      <c r="H49">
        <f t="shared" si="14"/>
        <v>40</v>
      </c>
      <c r="I49">
        <f t="shared" si="14"/>
        <v>40</v>
      </c>
      <c r="J49">
        <f t="shared" si="14"/>
        <v>40</v>
      </c>
      <c r="K49">
        <f t="shared" si="14"/>
        <v>40</v>
      </c>
      <c r="L49">
        <f t="shared" si="14"/>
        <v>40</v>
      </c>
      <c r="M49">
        <f t="shared" si="14"/>
        <v>40</v>
      </c>
    </row>
    <row r="50" spans="1:13" ht="12.75">
      <c r="A50" s="5"/>
      <c r="B50" s="6" t="s">
        <v>30</v>
      </c>
      <c r="E50">
        <f>E49-C49</f>
        <v>0</v>
      </c>
      <c r="F50">
        <f aca="true" t="shared" si="15" ref="F50:M50">F49-E49</f>
        <v>20</v>
      </c>
      <c r="G50">
        <f t="shared" si="15"/>
        <v>20</v>
      </c>
      <c r="H50">
        <f t="shared" si="15"/>
        <v>0</v>
      </c>
      <c r="I50">
        <f t="shared" si="15"/>
        <v>0</v>
      </c>
      <c r="J50">
        <f t="shared" si="15"/>
        <v>0</v>
      </c>
      <c r="K50">
        <f t="shared" si="15"/>
        <v>0</v>
      </c>
      <c r="L50">
        <f t="shared" si="15"/>
        <v>0</v>
      </c>
      <c r="M50">
        <f t="shared" si="15"/>
        <v>0</v>
      </c>
    </row>
    <row r="51" spans="1:2" ht="12.75">
      <c r="A51" s="5"/>
      <c r="B51" s="6"/>
    </row>
    <row r="52" spans="1:13" ht="12.75">
      <c r="A52" s="5"/>
      <c r="B52" s="6" t="s">
        <v>9</v>
      </c>
      <c r="E52">
        <f aca="true" t="shared" si="16" ref="E52:M52">SUM(E43,E49)</f>
        <v>0</v>
      </c>
      <c r="F52">
        <f t="shared" si="16"/>
        <v>143</v>
      </c>
      <c r="G52">
        <f t="shared" si="16"/>
        <v>286</v>
      </c>
      <c r="H52">
        <f t="shared" si="16"/>
        <v>286</v>
      </c>
      <c r="I52">
        <f t="shared" si="16"/>
        <v>286</v>
      </c>
      <c r="J52">
        <f t="shared" si="16"/>
        <v>286</v>
      </c>
      <c r="K52">
        <f t="shared" si="16"/>
        <v>286</v>
      </c>
      <c r="L52">
        <f t="shared" si="16"/>
        <v>286</v>
      </c>
      <c r="M52">
        <f t="shared" si="16"/>
        <v>286</v>
      </c>
    </row>
    <row r="53" spans="1:13" ht="12.75">
      <c r="A53" s="5"/>
      <c r="B53" s="6" t="s">
        <v>32</v>
      </c>
      <c r="E53">
        <f aca="true" t="shared" si="17" ref="E53:M53">SUM(E44,E50)</f>
        <v>0</v>
      </c>
      <c r="F53">
        <f t="shared" si="17"/>
        <v>143</v>
      </c>
      <c r="G53">
        <f t="shared" si="17"/>
        <v>143</v>
      </c>
      <c r="H53">
        <f t="shared" si="17"/>
        <v>0</v>
      </c>
      <c r="I53">
        <f t="shared" si="17"/>
        <v>0</v>
      </c>
      <c r="J53">
        <f t="shared" si="17"/>
        <v>0</v>
      </c>
      <c r="K53">
        <f t="shared" si="17"/>
        <v>0</v>
      </c>
      <c r="L53">
        <f t="shared" si="17"/>
        <v>0</v>
      </c>
      <c r="M53">
        <f t="shared" si="17"/>
        <v>0</v>
      </c>
    </row>
  </sheetData>
  <sheetProtection/>
  <printOptions/>
  <pageMargins left="0.7086614173228347" right="0.7086614173228347" top="0.7480314960629921" bottom="0.7480314960629921" header="0.31496062992125984" footer="0.31496062992125984"/>
  <pageSetup fitToHeight="1" fitToWidth="1" horizontalDpi="200" verticalDpi="2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8:M56"/>
  <sheetViews>
    <sheetView showGridLines="0" zoomScalePageLayoutView="0" workbookViewId="0" topLeftCell="A1">
      <pane xSplit="3" ySplit="8" topLeftCell="D42" activePane="bottomRight" state="frozen"/>
      <selection pane="topLeft" activeCell="A1" sqref="A1"/>
      <selection pane="topRight" activeCell="D1" sqref="D1"/>
      <selection pane="bottomLeft" activeCell="A4" sqref="A4"/>
      <selection pane="bottomRight" activeCell="A8" sqref="A8:B8"/>
    </sheetView>
  </sheetViews>
  <sheetFormatPr defaultColWidth="9.140625" defaultRowHeight="12.75"/>
  <cols>
    <col min="1" max="1" width="13.140625" style="0" bestFit="1" customWidth="1"/>
    <col min="3" max="3" width="29.00390625" style="0" bestFit="1" customWidth="1"/>
    <col min="4" max="4" width="9.28125" style="0" bestFit="1" customWidth="1"/>
  </cols>
  <sheetData>
    <row r="8" spans="1:13" ht="12.75">
      <c r="A8" s="1" t="s">
        <v>12</v>
      </c>
      <c r="B8" s="8" t="s">
        <v>11</v>
      </c>
      <c r="E8" s="23">
        <v>0</v>
      </c>
      <c r="F8" s="23">
        <f>E8+1</f>
        <v>1</v>
      </c>
      <c r="G8" s="23">
        <f aca="true" t="shared" si="0" ref="G8:M8">F8+1</f>
        <v>2</v>
      </c>
      <c r="H8" s="23">
        <f t="shared" si="0"/>
        <v>3</v>
      </c>
      <c r="I8" s="23">
        <f t="shared" si="0"/>
        <v>4</v>
      </c>
      <c r="J8" s="23">
        <f t="shared" si="0"/>
        <v>5</v>
      </c>
      <c r="K8" s="23">
        <f t="shared" si="0"/>
        <v>6</v>
      </c>
      <c r="L8" s="23">
        <f t="shared" si="0"/>
        <v>7</v>
      </c>
      <c r="M8" s="23">
        <f t="shared" si="0"/>
        <v>8</v>
      </c>
    </row>
    <row r="9" spans="1:13" ht="12.75">
      <c r="A9" s="6"/>
      <c r="B9" s="5"/>
      <c r="E9" s="7"/>
      <c r="F9" s="7"/>
      <c r="G9" s="7"/>
      <c r="H9" s="7"/>
      <c r="I9" s="7"/>
      <c r="J9" s="7"/>
      <c r="K9" s="7"/>
      <c r="L9" s="7"/>
      <c r="M9" s="7"/>
    </row>
    <row r="10" spans="1:13" ht="12.75">
      <c r="A10" s="6"/>
      <c r="B10" s="8" t="s">
        <v>84</v>
      </c>
      <c r="E10" s="7"/>
      <c r="F10" s="7"/>
      <c r="G10" s="7"/>
      <c r="H10" s="7"/>
      <c r="I10" s="7"/>
      <c r="J10" s="7"/>
      <c r="K10" s="7"/>
      <c r="L10" s="7"/>
      <c r="M10" s="7"/>
    </row>
    <row r="11" spans="1:13" ht="12.75">
      <c r="A11" s="6"/>
      <c r="C11" s="6" t="s">
        <v>26</v>
      </c>
      <c r="E11">
        <f>'Market calculations'!E43</f>
        <v>0</v>
      </c>
      <c r="F11">
        <f>'Market calculations'!F43</f>
        <v>123</v>
      </c>
      <c r="G11">
        <f>'Market calculations'!G43</f>
        <v>246</v>
      </c>
      <c r="H11">
        <f>'Market calculations'!H43</f>
        <v>246</v>
      </c>
      <c r="I11">
        <f>'Market calculations'!I43</f>
        <v>246</v>
      </c>
      <c r="J11">
        <f>'Market calculations'!J43</f>
        <v>246</v>
      </c>
      <c r="K11">
        <f>'Market calculations'!K43</f>
        <v>246</v>
      </c>
      <c r="L11">
        <f>'Market calculations'!L43</f>
        <v>246</v>
      </c>
      <c r="M11">
        <f>'Market calculations'!M43</f>
        <v>246</v>
      </c>
    </row>
    <row r="12" spans="1:13" ht="12.75">
      <c r="A12" s="6"/>
      <c r="C12" s="6" t="s">
        <v>31</v>
      </c>
      <c r="E12">
        <f>'Market calculations'!E44</f>
        <v>0</v>
      </c>
      <c r="F12">
        <f>'Market calculations'!F44</f>
        <v>123</v>
      </c>
      <c r="G12">
        <f>'Market calculations'!G44</f>
        <v>123</v>
      </c>
      <c r="H12">
        <f>'Market calculations'!H44</f>
        <v>0</v>
      </c>
      <c r="I12">
        <f>'Market calculations'!I44</f>
        <v>0</v>
      </c>
      <c r="J12">
        <f>'Market calculations'!J44</f>
        <v>0</v>
      </c>
      <c r="K12">
        <f>'Market calculations'!K44</f>
        <v>0</v>
      </c>
      <c r="L12">
        <f>'Market calculations'!L44</f>
        <v>0</v>
      </c>
      <c r="M12">
        <f>'Market calculations'!M44</f>
        <v>0</v>
      </c>
    </row>
    <row r="13" spans="1:13" ht="12.75">
      <c r="A13" s="6"/>
      <c r="C13" s="6" t="s">
        <v>29</v>
      </c>
      <c r="E13">
        <f>'Market calculations'!E49</f>
        <v>0</v>
      </c>
      <c r="F13">
        <f>'Market calculations'!F49</f>
        <v>20</v>
      </c>
      <c r="G13">
        <f>'Market calculations'!G49</f>
        <v>40</v>
      </c>
      <c r="H13">
        <f>'Market calculations'!H49</f>
        <v>40</v>
      </c>
      <c r="I13">
        <f>'Market calculations'!I49</f>
        <v>40</v>
      </c>
      <c r="J13">
        <f>'Market calculations'!J49</f>
        <v>40</v>
      </c>
      <c r="K13">
        <f>'Market calculations'!K49</f>
        <v>40</v>
      </c>
      <c r="L13">
        <f>'Market calculations'!L49</f>
        <v>40</v>
      </c>
      <c r="M13">
        <f>'Market calculations'!M49</f>
        <v>40</v>
      </c>
    </row>
    <row r="14" spans="1:13" ht="12.75">
      <c r="A14" s="6"/>
      <c r="C14" s="6" t="s">
        <v>30</v>
      </c>
      <c r="E14">
        <f>'Market calculations'!E50</f>
        <v>0</v>
      </c>
      <c r="F14">
        <f>'Market calculations'!F50</f>
        <v>20</v>
      </c>
      <c r="G14">
        <f>'Market calculations'!G50</f>
        <v>20</v>
      </c>
      <c r="H14">
        <f>'Market calculations'!H50</f>
        <v>0</v>
      </c>
      <c r="I14">
        <f>'Market calculations'!I50</f>
        <v>0</v>
      </c>
      <c r="J14">
        <f>'Market calculations'!J50</f>
        <v>0</v>
      </c>
      <c r="K14">
        <f>'Market calculations'!K50</f>
        <v>0</v>
      </c>
      <c r="L14">
        <f>'Market calculations'!L50</f>
        <v>0</v>
      </c>
      <c r="M14">
        <f>'Market calculations'!M50</f>
        <v>0</v>
      </c>
    </row>
    <row r="15" spans="1:13" ht="12.75">
      <c r="A15" s="6"/>
      <c r="C15" s="6" t="s">
        <v>9</v>
      </c>
      <c r="E15">
        <f>'Market calculations'!E52</f>
        <v>0</v>
      </c>
      <c r="F15">
        <f>'Market calculations'!F52</f>
        <v>143</v>
      </c>
      <c r="G15">
        <f>'Market calculations'!G52</f>
        <v>286</v>
      </c>
      <c r="H15">
        <f>'Market calculations'!H52</f>
        <v>286</v>
      </c>
      <c r="I15">
        <f>'Market calculations'!I52</f>
        <v>286</v>
      </c>
      <c r="J15">
        <f>'Market calculations'!J52</f>
        <v>286</v>
      </c>
      <c r="K15">
        <f>'Market calculations'!K52</f>
        <v>286</v>
      </c>
      <c r="L15">
        <f>'Market calculations'!L52</f>
        <v>286</v>
      </c>
      <c r="M15">
        <f>'Market calculations'!M52</f>
        <v>286</v>
      </c>
    </row>
    <row r="16" spans="1:13" ht="12.75">
      <c r="A16" s="6"/>
      <c r="C16" s="6" t="s">
        <v>32</v>
      </c>
      <c r="E16">
        <f>'Market calculations'!E53</f>
        <v>0</v>
      </c>
      <c r="F16">
        <f>'Market calculations'!F53</f>
        <v>143</v>
      </c>
      <c r="G16">
        <f>'Market calculations'!G53</f>
        <v>143</v>
      </c>
      <c r="H16">
        <f>'Market calculations'!H53</f>
        <v>0</v>
      </c>
      <c r="I16">
        <f>'Market calculations'!I53</f>
        <v>0</v>
      </c>
      <c r="J16">
        <f>'Market calculations'!J53</f>
        <v>0</v>
      </c>
      <c r="K16">
        <f>'Market calculations'!K53</f>
        <v>0</v>
      </c>
      <c r="L16">
        <f>'Market calculations'!L53</f>
        <v>0</v>
      </c>
      <c r="M16">
        <f>'Market calculations'!M53</f>
        <v>0</v>
      </c>
    </row>
    <row r="17" spans="1:13" ht="12.75">
      <c r="A17" s="6"/>
      <c r="B17" s="8"/>
      <c r="E17" s="7"/>
      <c r="F17" s="7"/>
      <c r="G17" s="7"/>
      <c r="H17" s="7"/>
      <c r="I17" s="7"/>
      <c r="J17" s="7"/>
      <c r="K17" s="7"/>
      <c r="L17" s="7"/>
      <c r="M17" s="7"/>
    </row>
    <row r="19" spans="2:4" ht="12.75">
      <c r="B19" s="8" t="s">
        <v>24</v>
      </c>
      <c r="D19" s="6" t="s">
        <v>18</v>
      </c>
    </row>
    <row r="20" spans="3:13" ht="12.75">
      <c r="C20" s="12" t="s">
        <v>0</v>
      </c>
      <c r="D20" s="17">
        <v>200</v>
      </c>
      <c r="E20" s="2">
        <f>$D20*E16</f>
        <v>0</v>
      </c>
      <c r="F20" s="2">
        <f>$D20*F16</f>
        <v>28600</v>
      </c>
      <c r="G20" s="2">
        <f>$D20*G16</f>
        <v>28600</v>
      </c>
      <c r="H20" s="2">
        <f>$D20*'Market calculations'!H$53</f>
        <v>0</v>
      </c>
      <c r="I20" s="2">
        <f>$D20*'Market calculations'!I$53</f>
        <v>0</v>
      </c>
      <c r="J20" s="2">
        <f>$D20*'Market calculations'!J$53</f>
        <v>0</v>
      </c>
      <c r="K20" s="2">
        <f>$D20*'Market calculations'!K$53</f>
        <v>0</v>
      </c>
      <c r="L20" s="2"/>
      <c r="M20" s="2"/>
    </row>
    <row r="21" spans="3:13" ht="12.75">
      <c r="C21" s="12" t="s">
        <v>17</v>
      </c>
      <c r="D21" s="17">
        <v>90</v>
      </c>
      <c r="E21" s="2">
        <f>$D21*E16</f>
        <v>0</v>
      </c>
      <c r="F21" s="2">
        <f aca="true" t="shared" si="1" ref="F21:K21">$D21*F16</f>
        <v>12870</v>
      </c>
      <c r="G21" s="2">
        <f t="shared" si="1"/>
        <v>12870</v>
      </c>
      <c r="H21" s="2">
        <f t="shared" si="1"/>
        <v>0</v>
      </c>
      <c r="I21" s="2">
        <f t="shared" si="1"/>
        <v>0</v>
      </c>
      <c r="J21" s="2">
        <f t="shared" si="1"/>
        <v>0</v>
      </c>
      <c r="K21" s="2">
        <f t="shared" si="1"/>
        <v>0</v>
      </c>
      <c r="L21" s="2"/>
      <c r="M21" s="2"/>
    </row>
    <row r="22" spans="3:5" ht="12.75">
      <c r="C22" s="12" t="s">
        <v>7</v>
      </c>
      <c r="D22" s="17">
        <v>17000</v>
      </c>
      <c r="E22" s="18">
        <f>D22*3</f>
        <v>51000</v>
      </c>
    </row>
    <row r="23" spans="3:13" ht="12.75">
      <c r="C23" s="12" t="s">
        <v>8</v>
      </c>
      <c r="D23" s="17">
        <v>500</v>
      </c>
      <c r="E23" s="12"/>
      <c r="F23" s="2">
        <f>IF(INT(F15/'Assumptions Control sheet'!$E$11)&gt;(E15/'Assumptions Control sheet'!$E$11),(INT(F15/'Assumptions Control sheet'!$E$11)-INT(E15/'Assumptions Control sheet'!$E$11))*$D23,0)</f>
        <v>2000</v>
      </c>
      <c r="G23" s="2">
        <f>IF(INT(G15/'Assumptions Control sheet'!$E$11)&gt;(F15/'Assumptions Control sheet'!$E$11),(INT(G15/'Assumptions Control sheet'!$E$11)-INT(F15/'Assumptions Control sheet'!$E$11))*$D23,0)</f>
        <v>2000</v>
      </c>
      <c r="H23" s="2">
        <f>IF(INT(H15/'Assumptions Control sheet'!$E$11)&gt;(G15/'Assumptions Control sheet'!$E$11),(INT(H15/'Assumptions Control sheet'!$E$11)-INT(G15/'Assumptions Control sheet'!$E$11))*$D23,0)</f>
        <v>0</v>
      </c>
      <c r="I23" s="2">
        <f>IF(INT(I15/'Assumptions Control sheet'!$E$11)&gt;(H15/'Assumptions Control sheet'!$E$11),(INT(I15/'Assumptions Control sheet'!$E$11)-INT(H15/'Assumptions Control sheet'!$E$11))*$D23,0)</f>
        <v>0</v>
      </c>
      <c r="J23" s="2">
        <f>IF(INT(J15/'Assumptions Control sheet'!$E$11)&gt;(I15/'Assumptions Control sheet'!$E$11),(INT(J15/'Assumptions Control sheet'!$E$11)-INT(I15/'Assumptions Control sheet'!$E$11))*$D23,0)</f>
        <v>0</v>
      </c>
      <c r="K23" s="2">
        <f>IF(INT(K15/'Assumptions Control sheet'!$E$11)&gt;(J15/'Assumptions Control sheet'!$E$11),(INT(K15/'Assumptions Control sheet'!$E$11)-INT(J15/'Assumptions Control sheet'!$E$11))*$D23,0)</f>
        <v>0</v>
      </c>
      <c r="L23" s="2"/>
      <c r="M23" s="2"/>
    </row>
    <row r="24" spans="3:5" ht="12.75">
      <c r="C24" s="12" t="s">
        <v>44</v>
      </c>
      <c r="D24" s="17">
        <v>2000</v>
      </c>
      <c r="E24" s="18">
        <f>D24*3</f>
        <v>6000</v>
      </c>
    </row>
    <row r="25" spans="3:5" ht="12.75">
      <c r="C25" s="12" t="s">
        <v>45</v>
      </c>
      <c r="D25" s="17">
        <f>20%*D24</f>
        <v>400</v>
      </c>
      <c r="E25" s="18">
        <f>D25*3</f>
        <v>1200</v>
      </c>
    </row>
    <row r="26" spans="3:5" ht="12.75">
      <c r="C26" s="12" t="s">
        <v>2</v>
      </c>
      <c r="D26" s="17">
        <v>1000</v>
      </c>
      <c r="E26" s="18">
        <f>D26*1</f>
        <v>1000</v>
      </c>
    </row>
    <row r="27" spans="3:13" ht="12.75">
      <c r="C27" s="9" t="s">
        <v>10</v>
      </c>
      <c r="D27" s="9"/>
      <c r="E27" s="10">
        <f>SUM(E20:E26)</f>
        <v>59200</v>
      </c>
      <c r="F27" s="10">
        <f aca="true" t="shared" si="2" ref="F27:K27">SUM(F20:F26)</f>
        <v>43470</v>
      </c>
      <c r="G27" s="10">
        <f t="shared" si="2"/>
        <v>43470</v>
      </c>
      <c r="H27" s="10">
        <f t="shared" si="2"/>
        <v>0</v>
      </c>
      <c r="I27" s="10">
        <f t="shared" si="2"/>
        <v>0</v>
      </c>
      <c r="J27" s="10">
        <f t="shared" si="2"/>
        <v>0</v>
      </c>
      <c r="K27" s="10">
        <f t="shared" si="2"/>
        <v>0</v>
      </c>
      <c r="L27" s="10"/>
      <c r="M27" s="10"/>
    </row>
    <row r="29" ht="12.75">
      <c r="B29" s="8" t="s">
        <v>25</v>
      </c>
    </row>
    <row r="30" spans="3:13" ht="12.75">
      <c r="C30" s="12" t="s">
        <v>3</v>
      </c>
      <c r="D30" s="17">
        <v>4</v>
      </c>
      <c r="E30" s="2">
        <f>E15*$D30</f>
        <v>0</v>
      </c>
      <c r="F30" s="2">
        <f aca="true" t="shared" si="3" ref="F30:K30">F15*$D30</f>
        <v>572</v>
      </c>
      <c r="G30" s="2">
        <f t="shared" si="3"/>
        <v>1144</v>
      </c>
      <c r="H30" s="2">
        <f t="shared" si="3"/>
        <v>1144</v>
      </c>
      <c r="I30" s="2">
        <f t="shared" si="3"/>
        <v>1144</v>
      </c>
      <c r="J30" s="2">
        <f t="shared" si="3"/>
        <v>1144</v>
      </c>
      <c r="K30" s="2">
        <f t="shared" si="3"/>
        <v>1144</v>
      </c>
      <c r="L30" s="2"/>
      <c r="M30" s="2"/>
    </row>
    <row r="31" spans="3:13" ht="12.75">
      <c r="C31" s="12" t="s">
        <v>4</v>
      </c>
      <c r="D31" s="17">
        <v>30</v>
      </c>
      <c r="E31" s="2">
        <f>E15*$D31</f>
        <v>0</v>
      </c>
      <c r="F31" s="2">
        <f aca="true" t="shared" si="4" ref="F31:K31">F15*$D31</f>
        <v>4290</v>
      </c>
      <c r="G31" s="2">
        <f t="shared" si="4"/>
        <v>8580</v>
      </c>
      <c r="H31" s="2">
        <f t="shared" si="4"/>
        <v>8580</v>
      </c>
      <c r="I31" s="2">
        <f t="shared" si="4"/>
        <v>8580</v>
      </c>
      <c r="J31" s="2">
        <f t="shared" si="4"/>
        <v>8580</v>
      </c>
      <c r="K31" s="2">
        <f t="shared" si="4"/>
        <v>8580</v>
      </c>
      <c r="L31" s="2"/>
      <c r="M31" s="2"/>
    </row>
    <row r="32" spans="3:13" ht="12.75">
      <c r="C32" s="12" t="s">
        <v>1</v>
      </c>
      <c r="D32" s="17">
        <v>800</v>
      </c>
      <c r="E32" s="2">
        <v>0</v>
      </c>
      <c r="F32" s="2">
        <f>D32</f>
        <v>800</v>
      </c>
      <c r="G32" s="2">
        <f aca="true" t="shared" si="5" ref="G32:K34">F32</f>
        <v>800</v>
      </c>
      <c r="H32" s="2">
        <f t="shared" si="5"/>
        <v>800</v>
      </c>
      <c r="I32" s="2">
        <f t="shared" si="5"/>
        <v>800</v>
      </c>
      <c r="J32" s="2">
        <f t="shared" si="5"/>
        <v>800</v>
      </c>
      <c r="K32" s="2">
        <f t="shared" si="5"/>
        <v>800</v>
      </c>
      <c r="L32" s="2"/>
      <c r="M32" s="2"/>
    </row>
    <row r="33" spans="3:13" ht="12.75">
      <c r="C33" s="12" t="s">
        <v>43</v>
      </c>
      <c r="D33" s="17">
        <v>6750</v>
      </c>
      <c r="E33" s="2">
        <v>0</v>
      </c>
      <c r="F33" s="2">
        <f>D33*3</f>
        <v>20250</v>
      </c>
      <c r="G33" s="2">
        <f t="shared" si="5"/>
        <v>20250</v>
      </c>
      <c r="H33" s="2">
        <f t="shared" si="5"/>
        <v>20250</v>
      </c>
      <c r="I33" s="2">
        <f t="shared" si="5"/>
        <v>20250</v>
      </c>
      <c r="J33" s="2">
        <f t="shared" si="5"/>
        <v>20250</v>
      </c>
      <c r="K33" s="2">
        <f t="shared" si="5"/>
        <v>20250</v>
      </c>
      <c r="L33" s="2"/>
      <c r="M33" s="2"/>
    </row>
    <row r="34" spans="3:13" ht="12.75">
      <c r="C34" s="12" t="s">
        <v>5</v>
      </c>
      <c r="D34" s="17">
        <v>1000</v>
      </c>
      <c r="E34" s="2">
        <v>0</v>
      </c>
      <c r="F34" s="2">
        <f>D34</f>
        <v>1000</v>
      </c>
      <c r="G34" s="2">
        <f t="shared" si="5"/>
        <v>1000</v>
      </c>
      <c r="H34" s="2">
        <f t="shared" si="5"/>
        <v>1000</v>
      </c>
      <c r="I34" s="2">
        <f t="shared" si="5"/>
        <v>1000</v>
      </c>
      <c r="J34" s="2">
        <f t="shared" si="5"/>
        <v>1000</v>
      </c>
      <c r="K34" s="2">
        <f t="shared" si="5"/>
        <v>1000</v>
      </c>
      <c r="L34" s="2"/>
      <c r="M34" s="2"/>
    </row>
    <row r="35" spans="3:13" ht="12.75">
      <c r="C35" s="9" t="s">
        <v>10</v>
      </c>
      <c r="D35" s="9"/>
      <c r="E35" s="10">
        <f>SUM(E30:E34)</f>
        <v>0</v>
      </c>
      <c r="F35" s="10">
        <f aca="true" t="shared" si="6" ref="F35:K35">SUM(F30:F34)</f>
        <v>26912</v>
      </c>
      <c r="G35" s="10">
        <f t="shared" si="6"/>
        <v>31774</v>
      </c>
      <c r="H35" s="10">
        <f t="shared" si="6"/>
        <v>31774</v>
      </c>
      <c r="I35" s="10">
        <f t="shared" si="6"/>
        <v>31774</v>
      </c>
      <c r="J35" s="10">
        <f t="shared" si="6"/>
        <v>31774</v>
      </c>
      <c r="K35" s="10">
        <f t="shared" si="6"/>
        <v>31774</v>
      </c>
      <c r="L35" s="10"/>
      <c r="M35" s="10"/>
    </row>
    <row r="37" spans="2:3" ht="12.75">
      <c r="B37" s="8" t="s">
        <v>6</v>
      </c>
      <c r="C37" s="1"/>
    </row>
    <row r="38" spans="3:13" ht="12.75">
      <c r="C38" s="16" t="s">
        <v>35</v>
      </c>
      <c r="D38" s="19">
        <f>'Assumptions Control sheet'!E12</f>
        <v>0</v>
      </c>
      <c r="E38" s="4">
        <f>E12*$D38</f>
        <v>0</v>
      </c>
      <c r="F38" s="4">
        <f aca="true" t="shared" si="7" ref="F38:K38">F12*$D38</f>
        <v>0</v>
      </c>
      <c r="G38" s="4">
        <f t="shared" si="7"/>
        <v>0</v>
      </c>
      <c r="H38" s="4">
        <f t="shared" si="7"/>
        <v>0</v>
      </c>
      <c r="I38" s="4">
        <f t="shared" si="7"/>
        <v>0</v>
      </c>
      <c r="J38" s="4">
        <f t="shared" si="7"/>
        <v>0</v>
      </c>
      <c r="K38" s="4">
        <f t="shared" si="7"/>
        <v>0</v>
      </c>
      <c r="L38" s="4"/>
      <c r="M38" s="4"/>
    </row>
    <row r="39" spans="3:13" ht="12.75">
      <c r="C39" s="16" t="s">
        <v>36</v>
      </c>
      <c r="D39" s="19">
        <f>12*'Assumptions Control sheet'!E13</f>
        <v>300</v>
      </c>
      <c r="E39" s="4">
        <f>E11*$D39</f>
        <v>0</v>
      </c>
      <c r="F39" s="4">
        <f aca="true" t="shared" si="8" ref="F39:K39">F11*$D39</f>
        <v>36900</v>
      </c>
      <c r="G39" s="4">
        <f t="shared" si="8"/>
        <v>73800</v>
      </c>
      <c r="H39" s="4">
        <f t="shared" si="8"/>
        <v>73800</v>
      </c>
      <c r="I39" s="4">
        <f t="shared" si="8"/>
        <v>73800</v>
      </c>
      <c r="J39" s="4">
        <f t="shared" si="8"/>
        <v>73800</v>
      </c>
      <c r="K39" s="4">
        <f t="shared" si="8"/>
        <v>73800</v>
      </c>
      <c r="L39" s="4"/>
      <c r="M39" s="4"/>
    </row>
    <row r="40" spans="3:13" ht="12.75">
      <c r="C40" s="16" t="s">
        <v>37</v>
      </c>
      <c r="D40" s="19">
        <f>'Assumptions Control sheet'!E14</f>
        <v>0</v>
      </c>
      <c r="E40" s="4">
        <f>E14*$D40</f>
        <v>0</v>
      </c>
      <c r="F40" s="4">
        <f aca="true" t="shared" si="9" ref="F40:K40">F14*$D40</f>
        <v>0</v>
      </c>
      <c r="G40" s="4">
        <f t="shared" si="9"/>
        <v>0</v>
      </c>
      <c r="H40" s="4">
        <f t="shared" si="9"/>
        <v>0</v>
      </c>
      <c r="I40" s="4">
        <f t="shared" si="9"/>
        <v>0</v>
      </c>
      <c r="J40" s="4">
        <f t="shared" si="9"/>
        <v>0</v>
      </c>
      <c r="K40" s="4">
        <f t="shared" si="9"/>
        <v>0</v>
      </c>
      <c r="L40" s="4"/>
      <c r="M40" s="4"/>
    </row>
    <row r="41" spans="3:13" ht="12.75">
      <c r="C41" s="16" t="s">
        <v>38</v>
      </c>
      <c r="D41" s="19">
        <f>'Assumptions Control sheet'!E15</f>
        <v>50</v>
      </c>
      <c r="E41" s="4">
        <f>E13*$D41</f>
        <v>0</v>
      </c>
      <c r="F41" s="4">
        <f aca="true" t="shared" si="10" ref="F41:K41">F13*$D41</f>
        <v>1000</v>
      </c>
      <c r="G41" s="4">
        <f t="shared" si="10"/>
        <v>2000</v>
      </c>
      <c r="H41" s="4">
        <f t="shared" si="10"/>
        <v>2000</v>
      </c>
      <c r="I41" s="4">
        <f t="shared" si="10"/>
        <v>2000</v>
      </c>
      <c r="J41" s="4">
        <f t="shared" si="10"/>
        <v>2000</v>
      </c>
      <c r="K41" s="4">
        <f t="shared" si="10"/>
        <v>2000</v>
      </c>
      <c r="L41" s="4"/>
      <c r="M41" s="4"/>
    </row>
    <row r="42" spans="3:13" ht="12.75">
      <c r="C42" s="9" t="s">
        <v>10</v>
      </c>
      <c r="D42" s="9"/>
      <c r="E42" s="10">
        <f>SUM(E38:E41)</f>
        <v>0</v>
      </c>
      <c r="F42" s="10">
        <f aca="true" t="shared" si="11" ref="F42:K42">SUM(F38:F41)</f>
        <v>37900</v>
      </c>
      <c r="G42" s="10">
        <f t="shared" si="11"/>
        <v>75800</v>
      </c>
      <c r="H42" s="10">
        <f t="shared" si="11"/>
        <v>75800</v>
      </c>
      <c r="I42" s="10">
        <f t="shared" si="11"/>
        <v>75800</v>
      </c>
      <c r="J42" s="10">
        <f t="shared" si="11"/>
        <v>75800</v>
      </c>
      <c r="K42" s="10">
        <f t="shared" si="11"/>
        <v>75800</v>
      </c>
      <c r="L42" s="10"/>
      <c r="M42" s="10"/>
    </row>
    <row r="44" ht="12.75">
      <c r="B44" s="1" t="s">
        <v>41</v>
      </c>
    </row>
    <row r="45" spans="3:13" ht="12.75">
      <c r="C45" s="24" t="s">
        <v>24</v>
      </c>
      <c r="E45" s="2">
        <f>-E27</f>
        <v>-59200</v>
      </c>
      <c r="F45" s="2">
        <f aca="true" t="shared" si="12" ref="F45:K45">-F27</f>
        <v>-43470</v>
      </c>
      <c r="G45" s="2">
        <f t="shared" si="12"/>
        <v>-43470</v>
      </c>
      <c r="H45" s="2">
        <f t="shared" si="12"/>
        <v>0</v>
      </c>
      <c r="I45" s="2">
        <f t="shared" si="12"/>
        <v>0</v>
      </c>
      <c r="J45" s="2">
        <f t="shared" si="12"/>
        <v>0</v>
      </c>
      <c r="K45" s="2">
        <f t="shared" si="12"/>
        <v>0</v>
      </c>
      <c r="L45" s="2"/>
      <c r="M45" s="2"/>
    </row>
    <row r="46" spans="3:13" ht="12.75">
      <c r="C46" s="6" t="s">
        <v>25</v>
      </c>
      <c r="E46" s="2">
        <f>-E35</f>
        <v>0</v>
      </c>
      <c r="F46" s="2">
        <f aca="true" t="shared" si="13" ref="F46:K46">-F35</f>
        <v>-26912</v>
      </c>
      <c r="G46" s="2">
        <f t="shared" si="13"/>
        <v>-31774</v>
      </c>
      <c r="H46" s="2">
        <f t="shared" si="13"/>
        <v>-31774</v>
      </c>
      <c r="I46" s="2">
        <f t="shared" si="13"/>
        <v>-31774</v>
      </c>
      <c r="J46" s="2">
        <f t="shared" si="13"/>
        <v>-31774</v>
      </c>
      <c r="K46" s="2">
        <f t="shared" si="13"/>
        <v>-31774</v>
      </c>
      <c r="L46" s="2"/>
      <c r="M46" s="2"/>
    </row>
    <row r="47" spans="3:13" ht="12.75">
      <c r="C47" s="6" t="s">
        <v>6</v>
      </c>
      <c r="E47" s="2">
        <f>E42</f>
        <v>0</v>
      </c>
      <c r="F47" s="2">
        <f aca="true" t="shared" si="14" ref="F47:K47">F42</f>
        <v>37900</v>
      </c>
      <c r="G47" s="2">
        <f t="shared" si="14"/>
        <v>75800</v>
      </c>
      <c r="H47" s="2">
        <f t="shared" si="14"/>
        <v>75800</v>
      </c>
      <c r="I47" s="2">
        <f t="shared" si="14"/>
        <v>75800</v>
      </c>
      <c r="J47" s="2">
        <f t="shared" si="14"/>
        <v>75800</v>
      </c>
      <c r="K47" s="2">
        <f t="shared" si="14"/>
        <v>75800</v>
      </c>
      <c r="L47" s="2"/>
      <c r="M47" s="2"/>
    </row>
    <row r="48" spans="3:13" ht="12.75">
      <c r="C48" s="9" t="s">
        <v>90</v>
      </c>
      <c r="D48" s="9"/>
      <c r="E48" s="10">
        <f>SUM(E45:E47)</f>
        <v>-59200</v>
      </c>
      <c r="F48" s="10">
        <f aca="true" t="shared" si="15" ref="F48:K48">SUM(F45:F47)</f>
        <v>-32482</v>
      </c>
      <c r="G48" s="10">
        <f t="shared" si="15"/>
        <v>556</v>
      </c>
      <c r="H48" s="10">
        <f t="shared" si="15"/>
        <v>44026</v>
      </c>
      <c r="I48" s="10">
        <f t="shared" si="15"/>
        <v>44026</v>
      </c>
      <c r="J48" s="10">
        <f t="shared" si="15"/>
        <v>44026</v>
      </c>
      <c r="K48" s="10">
        <f t="shared" si="15"/>
        <v>44026</v>
      </c>
      <c r="L48" s="10"/>
      <c r="M48" s="10"/>
    </row>
    <row r="49" spans="3:13" ht="12.75">
      <c r="C49" s="6" t="s">
        <v>42</v>
      </c>
      <c r="E49" s="2">
        <f>E48+D49</f>
        <v>-59200</v>
      </c>
      <c r="F49" s="2">
        <f aca="true" t="shared" si="16" ref="F49:K49">F48+E49</f>
        <v>-91682</v>
      </c>
      <c r="G49" s="2">
        <f t="shared" si="16"/>
        <v>-91126</v>
      </c>
      <c r="H49" s="2">
        <f t="shared" si="16"/>
        <v>-47100</v>
      </c>
      <c r="I49" s="2">
        <f t="shared" si="16"/>
        <v>-3074</v>
      </c>
      <c r="J49" s="2">
        <f t="shared" si="16"/>
        <v>40952</v>
      </c>
      <c r="K49" s="2">
        <f t="shared" si="16"/>
        <v>84978</v>
      </c>
      <c r="L49" s="2"/>
      <c r="M49" s="2"/>
    </row>
    <row r="50" spans="3:13" ht="12.75">
      <c r="C50" s="6"/>
      <c r="E50" s="2"/>
      <c r="F50" s="2"/>
      <c r="G50" s="2"/>
      <c r="H50" s="2"/>
      <c r="I50" s="2"/>
      <c r="J50" s="2"/>
      <c r="K50" s="2"/>
      <c r="L50" s="2"/>
      <c r="M50" s="2"/>
    </row>
    <row r="51" spans="3:5" ht="12.75">
      <c r="C51" s="6" t="s">
        <v>46</v>
      </c>
      <c r="E51" s="20">
        <v>6600.239590170717</v>
      </c>
    </row>
    <row r="52" spans="3:13" ht="12.75">
      <c r="C52" s="9" t="s">
        <v>48</v>
      </c>
      <c r="D52" s="9"/>
      <c r="E52" s="10">
        <f>E48+E51</f>
        <v>-52599.76040982928</v>
      </c>
      <c r="F52" s="10">
        <f aca="true" t="shared" si="17" ref="F52:K52">F48+F51</f>
        <v>-32482</v>
      </c>
      <c r="G52" s="10">
        <f t="shared" si="17"/>
        <v>556</v>
      </c>
      <c r="H52" s="10">
        <f t="shared" si="17"/>
        <v>44026</v>
      </c>
      <c r="I52" s="10">
        <f t="shared" si="17"/>
        <v>44026</v>
      </c>
      <c r="J52" s="10">
        <f t="shared" si="17"/>
        <v>44026</v>
      </c>
      <c r="K52" s="10">
        <f t="shared" si="17"/>
        <v>44026</v>
      </c>
      <c r="L52" s="10"/>
      <c r="M52" s="10"/>
    </row>
    <row r="53" spans="3:13" ht="12.75">
      <c r="C53" s="6" t="s">
        <v>47</v>
      </c>
      <c r="E53" s="2">
        <f aca="true" t="shared" si="18" ref="E53:K53">E52+D53</f>
        <v>-52599.76040982928</v>
      </c>
      <c r="F53" s="2">
        <f t="shared" si="18"/>
        <v>-85081.76040982928</v>
      </c>
      <c r="G53" s="2">
        <f t="shared" si="18"/>
        <v>-84525.76040982928</v>
      </c>
      <c r="H53" s="2">
        <f t="shared" si="18"/>
        <v>-40499.76040982928</v>
      </c>
      <c r="I53" s="2">
        <f t="shared" si="18"/>
        <v>3526.2395901707205</v>
      </c>
      <c r="J53" s="2">
        <f t="shared" si="18"/>
        <v>47552.23959017072</v>
      </c>
      <c r="K53" s="2">
        <f t="shared" si="18"/>
        <v>91578.23959017072</v>
      </c>
      <c r="L53" s="2"/>
      <c r="M53" s="2"/>
    </row>
    <row r="55" spans="3:5" ht="12.75">
      <c r="C55" s="6" t="s">
        <v>49</v>
      </c>
      <c r="E55" s="21">
        <f>IRR(E52:K52,'Assumptions Control sheet'!E16)</f>
        <v>0.1994813470128388</v>
      </c>
    </row>
    <row r="56" spans="3:6" ht="12.75">
      <c r="C56" s="6" t="s">
        <v>60</v>
      </c>
      <c r="E56" s="20">
        <v>6</v>
      </c>
      <c r="F56" s="6" t="s">
        <v>61</v>
      </c>
    </row>
  </sheetData>
  <sheetProtection/>
  <printOptions/>
  <pageMargins left="0.7086614173228347" right="0.7086614173228347" top="0.7480314960629921" bottom="0.7480314960629921" header="0.31496062992125984" footer="0.31496062992125984"/>
  <pageSetup fitToHeight="1" fitToWidth="1" horizontalDpi="200" verticalDpi="200" orientation="landscape" paperSize="9"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8:M22"/>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4" sqref="A4"/>
      <selection pane="bottomRight" activeCell="G39" sqref="G39"/>
    </sheetView>
  </sheetViews>
  <sheetFormatPr defaultColWidth="9.140625" defaultRowHeight="12.75"/>
  <cols>
    <col min="1" max="1" width="13.140625" style="0" bestFit="1" customWidth="1"/>
    <col min="2" max="2" width="12.00390625" style="0" bestFit="1" customWidth="1"/>
    <col min="3" max="3" width="36.00390625" style="0" bestFit="1" customWidth="1"/>
  </cols>
  <sheetData>
    <row r="8" spans="1:13" ht="12.75">
      <c r="A8" s="1" t="s">
        <v>53</v>
      </c>
      <c r="B8" s="8" t="s">
        <v>62</v>
      </c>
      <c r="E8" s="23">
        <v>0</v>
      </c>
      <c r="F8" s="23">
        <f>E8+1</f>
        <v>1</v>
      </c>
      <c r="G8" s="23">
        <f aca="true" t="shared" si="0" ref="G8:M8">F8+1</f>
        <v>2</v>
      </c>
      <c r="H8" s="23">
        <f t="shared" si="0"/>
        <v>3</v>
      </c>
      <c r="I8" s="23">
        <f t="shared" si="0"/>
        <v>4</v>
      </c>
      <c r="J8" s="23">
        <f t="shared" si="0"/>
        <v>5</v>
      </c>
      <c r="K8" s="23">
        <f t="shared" si="0"/>
        <v>6</v>
      </c>
      <c r="L8" s="23">
        <f t="shared" si="0"/>
        <v>7</v>
      </c>
      <c r="M8" s="23">
        <f t="shared" si="0"/>
        <v>8</v>
      </c>
    </row>
    <row r="10" ht="12.75">
      <c r="B10" s="8" t="s">
        <v>24</v>
      </c>
    </row>
    <row r="11" ht="12.75">
      <c r="C11" s="12" t="s">
        <v>63</v>
      </c>
    </row>
    <row r="12" ht="12.75">
      <c r="C12" s="12" t="s">
        <v>64</v>
      </c>
    </row>
    <row r="13" ht="12.75">
      <c r="C13" s="12" t="s">
        <v>65</v>
      </c>
    </row>
    <row r="14" ht="12.75">
      <c r="C14" s="12" t="s">
        <v>66</v>
      </c>
    </row>
    <row r="15" ht="12.75">
      <c r="C15" s="9" t="s">
        <v>10</v>
      </c>
    </row>
    <row r="17" ht="12.75">
      <c r="B17" s="8" t="s">
        <v>25</v>
      </c>
    </row>
    <row r="18" ht="12.75">
      <c r="C18" s="12" t="s">
        <v>63</v>
      </c>
    </row>
    <row r="19" ht="12.75">
      <c r="C19" s="12" t="s">
        <v>64</v>
      </c>
    </row>
    <row r="20" ht="12.75">
      <c r="C20" s="12" t="s">
        <v>65</v>
      </c>
    </row>
    <row r="21" ht="12.75">
      <c r="C21" s="12" t="s">
        <v>66</v>
      </c>
    </row>
    <row r="22" ht="12.75">
      <c r="C22" s="9" t="s">
        <v>10</v>
      </c>
    </row>
  </sheetData>
  <sheetProtection/>
  <printOptions/>
  <pageMargins left="0.7086614173228347" right="0.7086614173228347" top="0.7480314960629921" bottom="0.7480314960629921" header="0.31496062992125984" footer="0.31496062992125984"/>
  <pageSetup fitToHeight="1" fitToWidth="1" horizontalDpi="200" verticalDpi="200" orientation="landscape" paperSize="9" scale="8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8:M22"/>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9" sqref="A9"/>
    </sheetView>
  </sheetViews>
  <sheetFormatPr defaultColWidth="9.140625" defaultRowHeight="12.75"/>
  <cols>
    <col min="1" max="1" width="13.140625" style="0" bestFit="1" customWidth="1"/>
    <col min="2" max="2" width="12.00390625" style="0" bestFit="1" customWidth="1"/>
    <col min="3" max="3" width="36.00390625" style="0" bestFit="1" customWidth="1"/>
  </cols>
  <sheetData>
    <row r="8" spans="1:13" ht="12.75">
      <c r="A8" s="1" t="s">
        <v>55</v>
      </c>
      <c r="B8" s="8" t="s">
        <v>68</v>
      </c>
      <c r="E8" s="23">
        <v>0</v>
      </c>
      <c r="F8" s="23">
        <f>E8+1</f>
        <v>1</v>
      </c>
      <c r="G8" s="23">
        <f aca="true" t="shared" si="0" ref="G8:M8">F8+1</f>
        <v>2</v>
      </c>
      <c r="H8" s="23">
        <f t="shared" si="0"/>
        <v>3</v>
      </c>
      <c r="I8" s="23">
        <f t="shared" si="0"/>
        <v>4</v>
      </c>
      <c r="J8" s="23">
        <f t="shared" si="0"/>
        <v>5</v>
      </c>
      <c r="K8" s="23">
        <f t="shared" si="0"/>
        <v>6</v>
      </c>
      <c r="L8" s="23">
        <f t="shared" si="0"/>
        <v>7</v>
      </c>
      <c r="M8" s="23">
        <f t="shared" si="0"/>
        <v>8</v>
      </c>
    </row>
    <row r="10" ht="12.75">
      <c r="B10" s="8" t="s">
        <v>24</v>
      </c>
    </row>
    <row r="11" ht="12.75">
      <c r="C11" s="12" t="s">
        <v>67</v>
      </c>
    </row>
    <row r="12" ht="12.75">
      <c r="C12" s="12" t="s">
        <v>64</v>
      </c>
    </row>
    <row r="13" ht="12.75">
      <c r="C13" s="12" t="s">
        <v>65</v>
      </c>
    </row>
    <row r="14" ht="12.75">
      <c r="C14" s="12" t="s">
        <v>66</v>
      </c>
    </row>
    <row r="15" ht="12.75">
      <c r="C15" s="9" t="s">
        <v>10</v>
      </c>
    </row>
    <row r="17" ht="12.75">
      <c r="B17" s="8" t="s">
        <v>25</v>
      </c>
    </row>
    <row r="18" ht="12.75">
      <c r="C18" s="12" t="s">
        <v>67</v>
      </c>
    </row>
    <row r="19" ht="12.75">
      <c r="C19" s="12" t="s">
        <v>64</v>
      </c>
    </row>
    <row r="20" ht="12.75">
      <c r="C20" s="12" t="s">
        <v>65</v>
      </c>
    </row>
    <row r="21" ht="12.75">
      <c r="C21" s="12" t="s">
        <v>66</v>
      </c>
    </row>
    <row r="22" ht="12.75">
      <c r="C22" s="9" t="s">
        <v>10</v>
      </c>
    </row>
  </sheetData>
  <sheetProtection/>
  <printOptions/>
  <pageMargins left="0.7086614173228347" right="0.7086614173228347" top="0.7480314960629921" bottom="0.7480314960629921" header="0.31496062992125984" footer="0.31496062992125984"/>
  <pageSetup fitToHeight="1" fitToWidth="1" horizontalDpi="200" verticalDpi="200" orientation="landscape" paperSize="9" scale="8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8:M26"/>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8" sqref="A8:B8"/>
    </sheetView>
  </sheetViews>
  <sheetFormatPr defaultColWidth="9.140625" defaultRowHeight="12.75"/>
  <cols>
    <col min="1" max="1" width="13.140625" style="0" bestFit="1" customWidth="1"/>
    <col min="2" max="2" width="12.00390625" style="0" bestFit="1" customWidth="1"/>
    <col min="3" max="3" width="49.8515625" style="0" bestFit="1" customWidth="1"/>
  </cols>
  <sheetData>
    <row r="8" spans="1:13" ht="12.75">
      <c r="A8" s="1" t="s">
        <v>77</v>
      </c>
      <c r="B8" s="8" t="s">
        <v>69</v>
      </c>
      <c r="E8" s="23">
        <v>0</v>
      </c>
      <c r="F8" s="23">
        <f>E8+1</f>
        <v>1</v>
      </c>
      <c r="G8" s="23">
        <f aca="true" t="shared" si="0" ref="G8:M8">F8+1</f>
        <v>2</v>
      </c>
      <c r="H8" s="23">
        <f t="shared" si="0"/>
        <v>3</v>
      </c>
      <c r="I8" s="23">
        <f t="shared" si="0"/>
        <v>4</v>
      </c>
      <c r="J8" s="23">
        <f t="shared" si="0"/>
        <v>5</v>
      </c>
      <c r="K8" s="23">
        <f t="shared" si="0"/>
        <v>6</v>
      </c>
      <c r="L8" s="23">
        <f t="shared" si="0"/>
        <v>7</v>
      </c>
      <c r="M8" s="23">
        <f t="shared" si="0"/>
        <v>8</v>
      </c>
    </row>
    <row r="10" ht="12.75">
      <c r="B10" s="8" t="s">
        <v>24</v>
      </c>
    </row>
    <row r="11" spans="2:3" ht="12.75">
      <c r="B11" s="8"/>
      <c r="C11" s="12" t="s">
        <v>70</v>
      </c>
    </row>
    <row r="12" spans="2:3" ht="12.75">
      <c r="B12" s="8"/>
      <c r="C12" s="12" t="s">
        <v>71</v>
      </c>
    </row>
    <row r="13" ht="12.75">
      <c r="C13" s="12" t="s">
        <v>72</v>
      </c>
    </row>
    <row r="14" ht="12.75">
      <c r="C14" s="12" t="s">
        <v>73</v>
      </c>
    </row>
    <row r="15" ht="12.75">
      <c r="C15" s="12" t="s">
        <v>74</v>
      </c>
    </row>
    <row r="16" ht="12.75">
      <c r="C16" s="12" t="s">
        <v>75</v>
      </c>
    </row>
    <row r="17" ht="12.75">
      <c r="C17" s="9" t="s">
        <v>10</v>
      </c>
    </row>
    <row r="19" ht="12.75">
      <c r="B19" s="8" t="s">
        <v>25</v>
      </c>
    </row>
    <row r="20" ht="12.75">
      <c r="C20" s="12" t="s">
        <v>70</v>
      </c>
    </row>
    <row r="21" ht="12.75">
      <c r="C21" s="12" t="s">
        <v>71</v>
      </c>
    </row>
    <row r="22" ht="12.75">
      <c r="C22" s="12" t="s">
        <v>72</v>
      </c>
    </row>
    <row r="23" ht="12.75">
      <c r="C23" s="12" t="s">
        <v>73</v>
      </c>
    </row>
    <row r="24" ht="12.75">
      <c r="C24" s="12" t="s">
        <v>74</v>
      </c>
    </row>
    <row r="25" ht="12.75">
      <c r="C25" s="12" t="s">
        <v>75</v>
      </c>
    </row>
    <row r="26" ht="12.75">
      <c r="C26" s="9" t="s">
        <v>10</v>
      </c>
    </row>
  </sheetData>
  <sheetProtection/>
  <printOptions/>
  <pageMargins left="0.7086614173228347" right="0.7086614173228347" top="0.7480314960629921" bottom="0.7480314960629921" header="0.31496062992125984" footer="0.31496062992125984"/>
  <pageSetup fitToHeight="1" fitToWidth="1" horizontalDpi="200" verticalDpi="200" orientation="landscape"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8:M26"/>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9.140625" defaultRowHeight="12.75"/>
  <cols>
    <col min="1" max="1" width="13.140625" style="0" bestFit="1" customWidth="1"/>
    <col min="2" max="2" width="12.00390625" style="0" bestFit="1" customWidth="1"/>
    <col min="3" max="3" width="49.8515625" style="0" bestFit="1" customWidth="1"/>
  </cols>
  <sheetData>
    <row r="8" spans="1:13" ht="12.75">
      <c r="A8" s="1" t="s">
        <v>76</v>
      </c>
      <c r="B8" s="8" t="s">
        <v>54</v>
      </c>
      <c r="E8" s="23">
        <v>0</v>
      </c>
      <c r="F8" s="23">
        <f>E8+1</f>
        <v>1</v>
      </c>
      <c r="G8" s="23">
        <f aca="true" t="shared" si="0" ref="G8:M8">F8+1</f>
        <v>2</v>
      </c>
      <c r="H8" s="23">
        <f t="shared" si="0"/>
        <v>3</v>
      </c>
      <c r="I8" s="23">
        <f t="shared" si="0"/>
        <v>4</v>
      </c>
      <c r="J8" s="23">
        <f t="shared" si="0"/>
        <v>5</v>
      </c>
      <c r="K8" s="23">
        <f t="shared" si="0"/>
        <v>6</v>
      </c>
      <c r="L8" s="23">
        <f t="shared" si="0"/>
        <v>7</v>
      </c>
      <c r="M8" s="23">
        <f t="shared" si="0"/>
        <v>8</v>
      </c>
    </row>
    <row r="10" ht="12.75">
      <c r="B10" s="8" t="s">
        <v>24</v>
      </c>
    </row>
    <row r="11" spans="2:3" ht="12.75">
      <c r="B11" s="8"/>
      <c r="C11" s="12"/>
    </row>
    <row r="12" spans="2:3" ht="12.75">
      <c r="B12" s="8"/>
      <c r="C12" s="12"/>
    </row>
    <row r="13" ht="12.75">
      <c r="C13" s="12"/>
    </row>
    <row r="14" ht="12.75">
      <c r="C14" s="12"/>
    </row>
    <row r="15" ht="12.75">
      <c r="C15" s="12"/>
    </row>
    <row r="16" ht="12.75">
      <c r="C16" s="12"/>
    </row>
    <row r="17" ht="12.75">
      <c r="C17" s="9" t="s">
        <v>10</v>
      </c>
    </row>
    <row r="19" ht="12.75">
      <c r="B19" s="8" t="s">
        <v>25</v>
      </c>
    </row>
    <row r="20" ht="12.75">
      <c r="C20" s="12"/>
    </row>
    <row r="21" ht="12.75">
      <c r="C21" s="12"/>
    </row>
    <row r="22" ht="12.75">
      <c r="C22" s="12"/>
    </row>
    <row r="23" ht="12.75">
      <c r="C23" s="12"/>
    </row>
    <row r="24" ht="12.75">
      <c r="C24" s="12"/>
    </row>
    <row r="25" ht="12.75">
      <c r="C25" s="12"/>
    </row>
    <row r="26" ht="12.75">
      <c r="C26" s="9" t="s">
        <v>10</v>
      </c>
    </row>
  </sheetData>
  <sheetProtection/>
  <printOptions/>
  <pageMargins left="0.7086614173228347" right="0.7086614173228347" top="0.7480314960629921" bottom="0.7480314960629921" header="0.31496062992125984" footer="0.31496062992125984"/>
  <pageSetup fitToHeight="1" fitToWidth="1" horizontalDpi="200" verticalDpi="200" orientation="landscape" paperSize="9" scale="8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7:M60"/>
  <sheetViews>
    <sheetView showGridLines="0"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H6" sqref="H6"/>
    </sheetView>
  </sheetViews>
  <sheetFormatPr defaultColWidth="9.140625" defaultRowHeight="12.75"/>
  <cols>
    <col min="3" max="3" width="22.28125" style="0" bestFit="1" customWidth="1"/>
    <col min="4" max="4" width="4.421875" style="0" customWidth="1"/>
  </cols>
  <sheetData>
    <row r="7" spans="1:13" ht="12.75">
      <c r="A7" s="1" t="s">
        <v>91</v>
      </c>
      <c r="E7" s="23">
        <v>0</v>
      </c>
      <c r="F7" s="23">
        <f>E7+1</f>
        <v>1</v>
      </c>
      <c r="G7" s="23">
        <f aca="true" t="shared" si="0" ref="G7:M7">F7+1</f>
        <v>2</v>
      </c>
      <c r="H7" s="23">
        <f t="shared" si="0"/>
        <v>3</v>
      </c>
      <c r="I7" s="23">
        <f t="shared" si="0"/>
        <v>4</v>
      </c>
      <c r="J7" s="23">
        <f t="shared" si="0"/>
        <v>5</v>
      </c>
      <c r="K7" s="23">
        <f t="shared" si="0"/>
        <v>6</v>
      </c>
      <c r="L7" s="23">
        <f t="shared" si="0"/>
        <v>7</v>
      </c>
      <c r="M7" s="23">
        <f t="shared" si="0"/>
        <v>8</v>
      </c>
    </row>
    <row r="8" spans="1:13" ht="12.75">
      <c r="A8" s="1"/>
      <c r="E8" s="23"/>
      <c r="F8" s="23"/>
      <c r="G8" s="23"/>
      <c r="H8" s="23"/>
      <c r="I8" s="23"/>
      <c r="J8" s="23"/>
      <c r="K8" s="23"/>
      <c r="L8" s="23"/>
      <c r="M8" s="23"/>
    </row>
    <row r="9" ht="12.75">
      <c r="B9" s="6" t="s">
        <v>51</v>
      </c>
    </row>
    <row r="10" spans="3:13" ht="12.75">
      <c r="C10" s="2" t="str">
        <f>'Component #1'!C45</f>
        <v>Capex costs</v>
      </c>
      <c r="E10" s="2">
        <f>'Component #1'!E45</f>
        <v>-59200</v>
      </c>
      <c r="F10" s="2">
        <f>'Component #1'!F45</f>
        <v>-43470</v>
      </c>
      <c r="G10" s="2">
        <f>'Component #1'!G45</f>
        <v>-43470</v>
      </c>
      <c r="H10" s="2">
        <f>'Component #1'!H45</f>
        <v>0</v>
      </c>
      <c r="I10" s="2">
        <f>'Component #1'!I45</f>
        <v>0</v>
      </c>
      <c r="J10" s="2">
        <f>'Component #1'!J45</f>
        <v>0</v>
      </c>
      <c r="K10" s="2">
        <f>'Component #1'!K45</f>
        <v>0</v>
      </c>
      <c r="L10" s="2">
        <f>'Component #1'!L45</f>
        <v>0</v>
      </c>
      <c r="M10" s="2">
        <f>'Component #1'!M45</f>
        <v>0</v>
      </c>
    </row>
    <row r="11" spans="3:13" ht="12.75">
      <c r="C11" s="2" t="str">
        <f>'Component #1'!C46</f>
        <v>Opex costs</v>
      </c>
      <c r="E11" s="2">
        <f>'Component #1'!E46</f>
        <v>0</v>
      </c>
      <c r="F11" s="2">
        <f>'Component #1'!F46</f>
        <v>-26912</v>
      </c>
      <c r="G11" s="2">
        <f>'Component #1'!G46</f>
        <v>-31774</v>
      </c>
      <c r="H11" s="2">
        <f>'Component #1'!H46</f>
        <v>-31774</v>
      </c>
      <c r="I11" s="2">
        <f>'Component #1'!I46</f>
        <v>-31774</v>
      </c>
      <c r="J11" s="2">
        <f>'Component #1'!J46</f>
        <v>-31774</v>
      </c>
      <c r="K11" s="2">
        <f>'Component #1'!K46</f>
        <v>-31774</v>
      </c>
      <c r="L11" s="2">
        <f>'Component #1'!L46</f>
        <v>0</v>
      </c>
      <c r="M11" s="2">
        <f>'Component #1'!M46</f>
        <v>0</v>
      </c>
    </row>
    <row r="12" spans="3:13" ht="12.75">
      <c r="C12" s="2" t="str">
        <f>'Component #1'!C47</f>
        <v>Revenue</v>
      </c>
      <c r="E12" s="2">
        <f>'Component #1'!E47</f>
        <v>0</v>
      </c>
      <c r="F12" s="2">
        <f>'Component #1'!F47</f>
        <v>37900</v>
      </c>
      <c r="G12" s="2">
        <f>'Component #1'!G47</f>
        <v>75800</v>
      </c>
      <c r="H12" s="2">
        <f>'Component #1'!H47</f>
        <v>75800</v>
      </c>
      <c r="I12" s="2">
        <f>'Component #1'!I47</f>
        <v>75800</v>
      </c>
      <c r="J12" s="2">
        <f>'Component #1'!J47</f>
        <v>75800</v>
      </c>
      <c r="K12" s="2">
        <f>'Component #1'!K47</f>
        <v>75800</v>
      </c>
      <c r="L12" s="2">
        <f>'Component #1'!L47</f>
        <v>0</v>
      </c>
      <c r="M12" s="2">
        <f>'Component #1'!M47</f>
        <v>0</v>
      </c>
    </row>
    <row r="13" spans="3:13" ht="12.75">
      <c r="C13" s="2" t="str">
        <f>'Component #1'!C51</f>
        <v>Government Intervention</v>
      </c>
      <c r="E13" s="2">
        <f>'Component #1'!E51</f>
        <v>6600.239590170717</v>
      </c>
      <c r="F13" s="2">
        <f>'Component #1'!F51</f>
        <v>0</v>
      </c>
      <c r="G13" s="2">
        <f>'Component #1'!G51</f>
        <v>0</v>
      </c>
      <c r="H13" s="2">
        <f>'Component #1'!H51</f>
        <v>0</v>
      </c>
      <c r="I13" s="2">
        <f>'Component #1'!I51</f>
        <v>0</v>
      </c>
      <c r="J13" s="2">
        <f>'Component #1'!J51</f>
        <v>0</v>
      </c>
      <c r="K13" s="2">
        <f>'Component #1'!K51</f>
        <v>0</v>
      </c>
      <c r="L13" s="2">
        <f>'Component #1'!L51</f>
        <v>0</v>
      </c>
      <c r="M13" s="2">
        <f>'Component #1'!M51</f>
        <v>0</v>
      </c>
    </row>
    <row r="14" spans="3:13" ht="12.75">
      <c r="C14" s="11" t="str">
        <f>'Component #1'!C48</f>
        <v>Cash flow</v>
      </c>
      <c r="E14" s="25">
        <f>'Component #1'!E52</f>
        <v>-52599.76040982928</v>
      </c>
      <c r="F14" s="25">
        <f>'Component #1'!F52</f>
        <v>-32482</v>
      </c>
      <c r="G14" s="25">
        <f>'Component #1'!G52</f>
        <v>556</v>
      </c>
      <c r="H14" s="25">
        <f>'Component #1'!H52</f>
        <v>44026</v>
      </c>
      <c r="I14" s="25">
        <f>'Component #1'!I52</f>
        <v>44026</v>
      </c>
      <c r="J14" s="25">
        <f>'Component #1'!J52</f>
        <v>44026</v>
      </c>
      <c r="K14" s="25">
        <f>'Component #1'!K52</f>
        <v>44026</v>
      </c>
      <c r="L14" s="25">
        <f>'Component #1'!L52</f>
        <v>0</v>
      </c>
      <c r="M14" s="25">
        <f>'Component #1'!M52</f>
        <v>0</v>
      </c>
    </row>
    <row r="15" spans="3:5" ht="12.75">
      <c r="C15" s="11" t="str">
        <f>'Component #1'!C55</f>
        <v>Project IRR</v>
      </c>
      <c r="E15" s="3">
        <f>'Component #1'!E55</f>
        <v>0.1994813470128388</v>
      </c>
    </row>
    <row r="16" spans="3:6" ht="12.75">
      <c r="C16" s="11" t="str">
        <f>'Component #1'!C56</f>
        <v>IRR Period</v>
      </c>
      <c r="E16" s="2">
        <f>'Component #1'!E56</f>
        <v>6</v>
      </c>
      <c r="F16" s="6" t="s">
        <v>61</v>
      </c>
    </row>
    <row r="17" spans="3:6" ht="12.75">
      <c r="C17" s="6"/>
      <c r="F17" s="3"/>
    </row>
    <row r="18" spans="2:5" ht="12.75">
      <c r="B18" s="6" t="s">
        <v>52</v>
      </c>
      <c r="E18" s="2"/>
    </row>
    <row r="19" ht="12.75">
      <c r="C19" s="2" t="str">
        <f>C10</f>
        <v>Capex costs</v>
      </c>
    </row>
    <row r="20" ht="12.75">
      <c r="C20" s="2" t="str">
        <f>C11</f>
        <v>Opex costs</v>
      </c>
    </row>
    <row r="21" ht="12.75">
      <c r="C21" s="2" t="str">
        <f>C12</f>
        <v>Revenue</v>
      </c>
    </row>
    <row r="22" ht="12.75">
      <c r="C22" s="2" t="str">
        <f>C13</f>
        <v>Government Intervention</v>
      </c>
    </row>
    <row r="23" ht="12.75">
      <c r="C23" s="2" t="str">
        <f>C14</f>
        <v>Cash flow</v>
      </c>
    </row>
    <row r="24" ht="12.75">
      <c r="C24" s="2" t="s">
        <v>49</v>
      </c>
    </row>
    <row r="25" spans="3:6" ht="12.75">
      <c r="C25" s="2" t="s">
        <v>85</v>
      </c>
      <c r="E25" s="2"/>
      <c r="F25" s="6" t="s">
        <v>61</v>
      </c>
    </row>
    <row r="26" ht="12.75">
      <c r="C26" s="6"/>
    </row>
    <row r="27" spans="2:5" ht="12.75">
      <c r="B27" s="6" t="s">
        <v>56</v>
      </c>
      <c r="E27" s="2"/>
    </row>
    <row r="28" ht="12.75">
      <c r="C28" s="2" t="str">
        <f>C19</f>
        <v>Capex costs</v>
      </c>
    </row>
    <row r="29" ht="12.75">
      <c r="C29" s="2" t="str">
        <f>C20</f>
        <v>Opex costs</v>
      </c>
    </row>
    <row r="30" ht="12.75">
      <c r="C30" s="2" t="str">
        <f>C21</f>
        <v>Revenue</v>
      </c>
    </row>
    <row r="31" ht="12.75">
      <c r="C31" s="2" t="str">
        <f>C22</f>
        <v>Government Intervention</v>
      </c>
    </row>
    <row r="32" ht="12.75">
      <c r="C32" s="2" t="str">
        <f>C23</f>
        <v>Cash flow</v>
      </c>
    </row>
    <row r="33" ht="12.75">
      <c r="C33" s="2" t="s">
        <v>49</v>
      </c>
    </row>
    <row r="34" spans="3:6" ht="12.75">
      <c r="C34" s="2" t="s">
        <v>85</v>
      </c>
      <c r="E34" s="2"/>
      <c r="F34" s="6" t="s">
        <v>61</v>
      </c>
    </row>
    <row r="35" ht="12.75">
      <c r="C35" s="6"/>
    </row>
    <row r="36" spans="2:5" ht="12.75">
      <c r="B36" s="24" t="s">
        <v>87</v>
      </c>
      <c r="E36" s="2"/>
    </row>
    <row r="37" ht="12.75">
      <c r="C37" s="2" t="str">
        <f>C28</f>
        <v>Capex costs</v>
      </c>
    </row>
    <row r="38" ht="12.75">
      <c r="C38" s="2" t="str">
        <f>C29</f>
        <v>Opex costs</v>
      </c>
    </row>
    <row r="39" ht="12.75">
      <c r="C39" s="2" t="str">
        <f>C30</f>
        <v>Revenue</v>
      </c>
    </row>
    <row r="40" ht="12.75">
      <c r="C40" s="2" t="str">
        <f>C31</f>
        <v>Government Intervention</v>
      </c>
    </row>
    <row r="41" ht="12.75">
      <c r="C41" s="2" t="str">
        <f>C32</f>
        <v>Cash flow</v>
      </c>
    </row>
    <row r="42" ht="12.75">
      <c r="C42" s="2" t="s">
        <v>49</v>
      </c>
    </row>
    <row r="43" spans="3:6" ht="12.75">
      <c r="C43" s="2" t="s">
        <v>85</v>
      </c>
      <c r="E43" s="2"/>
      <c r="F43" s="6" t="s">
        <v>61</v>
      </c>
    </row>
    <row r="44" ht="12.75">
      <c r="C44" s="6"/>
    </row>
    <row r="45" spans="2:5" ht="12.75">
      <c r="B45" s="24" t="s">
        <v>88</v>
      </c>
      <c r="E45" s="2"/>
    </row>
    <row r="46" ht="12.75">
      <c r="C46" s="2" t="str">
        <f>C37</f>
        <v>Capex costs</v>
      </c>
    </row>
    <row r="47" ht="12.75">
      <c r="C47" s="2" t="str">
        <f>C38</f>
        <v>Opex costs</v>
      </c>
    </row>
    <row r="48" ht="12.75">
      <c r="C48" s="2" t="str">
        <f>C39</f>
        <v>Revenue</v>
      </c>
    </row>
    <row r="49" ht="12.75">
      <c r="C49" s="2" t="str">
        <f>C40</f>
        <v>Government Intervention</v>
      </c>
    </row>
    <row r="50" ht="12.75">
      <c r="C50" s="2" t="str">
        <f>C41</f>
        <v>Cash flow</v>
      </c>
    </row>
    <row r="51" ht="12.75">
      <c r="C51" s="2" t="s">
        <v>49</v>
      </c>
    </row>
    <row r="52" spans="3:6" ht="12.75">
      <c r="C52" s="2" t="s">
        <v>85</v>
      </c>
      <c r="E52" s="2"/>
      <c r="F52" s="6" t="s">
        <v>61</v>
      </c>
    </row>
    <row r="53" ht="12.75">
      <c r="C53" s="6"/>
    </row>
    <row r="54" spans="2:3" ht="12.75">
      <c r="B54" s="6" t="s">
        <v>10</v>
      </c>
      <c r="C54" s="2"/>
    </row>
    <row r="55" spans="3:5" ht="12.75">
      <c r="C55" s="2" t="str">
        <f aca="true" t="shared" si="1" ref="C55:C60">C46</f>
        <v>Capex costs</v>
      </c>
      <c r="E55" s="2">
        <f>SUM(E10,E19,E46)</f>
        <v>-59200</v>
      </c>
    </row>
    <row r="56" ht="12.75">
      <c r="C56" s="2" t="str">
        <f t="shared" si="1"/>
        <v>Opex costs</v>
      </c>
    </row>
    <row r="57" ht="12.75">
      <c r="C57" s="2" t="str">
        <f t="shared" si="1"/>
        <v>Revenue</v>
      </c>
    </row>
    <row r="58" ht="12.75">
      <c r="C58" s="2" t="str">
        <f t="shared" si="1"/>
        <v>Government Intervention</v>
      </c>
    </row>
    <row r="59" ht="12.75">
      <c r="C59" s="2" t="str">
        <f t="shared" si="1"/>
        <v>Cash flow</v>
      </c>
    </row>
    <row r="60" ht="12.75">
      <c r="C60" s="2" t="str">
        <f t="shared" si="1"/>
        <v>Project IRR</v>
      </c>
    </row>
  </sheetData>
  <sheetProtection/>
  <printOptions/>
  <pageMargins left="0.7086614173228347" right="0.7086614173228347" top="0.7480314960629921" bottom="0.7480314960629921" header="0.31496062992125984" footer="0.31496062992125984"/>
  <pageSetup fitToHeight="1" fitToWidth="1" horizontalDpi="200" verticalDpi="2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Partnerships 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RFI Indicative Investment Model</dc:title>
  <dc:subject/>
  <dc:creator>BIS</dc:creator>
  <cp:keywords/>
  <dc:description/>
  <cp:lastModifiedBy>Nikki Miller</cp:lastModifiedBy>
  <cp:lastPrinted>2011-02-04T16:00:55Z</cp:lastPrinted>
  <dcterms:created xsi:type="dcterms:W3CDTF">2010-06-01T10:32:27Z</dcterms:created>
  <dcterms:modified xsi:type="dcterms:W3CDTF">2011-02-04T16:01:13Z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fbd79dae-26ae-4669-bccc-4a3c71306977</vt:lpwstr>
  </property>
  <property fmtid="{D5CDD505-2E9C-101B-9397-08002B2CF9AE}" pid="15" name="bjHeadersRemoved">
    <vt:lpwstr>true</vt:lpwstr>
  </property>
</Properties>
</file>