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drawings/drawing4.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960" windowHeight="8445" firstSheet="12" activeTab="13"/>
  </bookViews>
  <sheets>
    <sheet name="QA" sheetId="1" r:id="rId1"/>
    <sheet name="Tables for report" sheetId="2" state="hidden" r:id="rId2"/>
    <sheet name="Table for GL" sheetId="3" state="hidden" r:id="rId3"/>
    <sheet name="Point sources raw data" sheetId="4" state="hidden" r:id="rId4"/>
    <sheet name="Point sources" sheetId="5" state="hidden" r:id="rId5"/>
    <sheet name="Summary combustion sources" sheetId="6" state="hidden" r:id="rId6"/>
    <sheet name="Diffuse emissions summary" sheetId="7" r:id="rId7"/>
    <sheet name="Production" sheetId="8" r:id="rId8"/>
    <sheet name="PM10 emission factors" sheetId="9" r:id="rId9"/>
    <sheet name="Roads" sheetId="10" r:id="rId10"/>
    <sheet name="Conveyors" sheetId="11" r:id="rId11"/>
    <sheet name="Stockyards" sheetId="12" r:id="rId12"/>
    <sheet name="Slag handling" sheetId="13" r:id="rId13"/>
    <sheet name="Other area sources" sheetId="14" r:id="rId14"/>
    <sheet name="Sinter Transfer" sheetId="15" r:id="rId15"/>
    <sheet name="Mills" sheetId="16" r:id="rId16"/>
    <sheet name="BF casthouse" sheetId="17" r:id="rId17"/>
    <sheet name="BOS roof" sheetId="18" r:id="rId18"/>
    <sheet name="Coke DLCF &amp; TLCF" sheetId="19" r:id="rId19"/>
    <sheet name="PT Operational Factors" sheetId="20" state="hidden" r:id="rId20"/>
    <sheet name="PT Diffuse emissions - process" sheetId="21" state="hidden" r:id="rId21"/>
    <sheet name="PT Overall PM " sheetId="22" state="hidden" r:id="rId22"/>
  </sheets>
  <externalReferences>
    <externalReference r:id="rId25"/>
    <externalReference r:id="rId26"/>
    <externalReference r:id="rId27"/>
    <externalReference r:id="rId28"/>
    <externalReference r:id="rId29"/>
    <externalReference r:id="rId30"/>
    <externalReference r:id="rId31"/>
  </externalReferences>
  <definedNames>
    <definedName name="_xlnm.Print_Area" localSheetId="6">'Diffuse emissions summary'!$B$10:$G$94</definedName>
    <definedName name="_xlnm.Print_Area" localSheetId="8">'PM10 emission factors'!$A$1:$G$17</definedName>
    <definedName name="_xlnm.Print_Area" localSheetId="4">'Point sources'!$A$1:$J$53</definedName>
    <definedName name="_xlnm.Print_Area" localSheetId="3">'Point sources raw data'!$J$4:$M$32</definedName>
    <definedName name="_xlnm.Print_Area" localSheetId="20">'PT Diffuse emissions - process'!$A$2:$F$41</definedName>
    <definedName name="_xlnm.Print_Area" localSheetId="2">'Table for GL'!$A$1:$P$187</definedName>
    <definedName name="_xlnm.Print_Area" localSheetId="1">'Tables for report'!$G$2:$M$43</definedName>
  </definedNames>
  <calcPr fullCalcOnLoad="1"/>
</workbook>
</file>

<file path=xl/comments10.xml><?xml version="1.0" encoding="utf-8"?>
<comments xmlns="http://schemas.openxmlformats.org/spreadsheetml/2006/main">
  <authors>
    <author>Hodges</author>
    <author>Corus User</author>
  </authors>
  <commentList>
    <comment ref="B2" authorId="0">
      <text>
        <r>
          <rPr>
            <b/>
            <sz val="8"/>
            <rFont val="Tahoma"/>
            <family val="0"/>
          </rPr>
          <t>Hodges:</t>
        </r>
        <r>
          <rPr>
            <sz val="8"/>
            <rFont val="Tahoma"/>
            <family val="0"/>
          </rPr>
          <t xml:space="preserve">
Updated with data from REFsource 149362 by D. Poole
Data calculated before wheel washes were added.
Data for 2009 factored against steel production - g/tls
Update each year
</t>
        </r>
      </text>
    </comment>
    <comment ref="J7" authorId="0">
      <text>
        <r>
          <rPr>
            <b/>
            <sz val="8"/>
            <rFont val="Tahoma"/>
            <family val="0"/>
          </rPr>
          <t>Hodges:</t>
        </r>
        <r>
          <rPr>
            <sz val="8"/>
            <rFont val="Tahoma"/>
            <family val="0"/>
          </rPr>
          <t xml:space="preserve">
Assumed that PM10 is 41.4% of TSP and PM2.5 is 10.6%
See p. 24 of ANH's report - is this only valid for the slag haul road?</t>
        </r>
      </text>
    </comment>
    <comment ref="I10" authorId="0">
      <text>
        <r>
          <rPr>
            <b/>
            <sz val="8"/>
            <rFont val="Tahoma"/>
            <family val="0"/>
          </rPr>
          <t>Hodges:</t>
        </r>
        <r>
          <rPr>
            <sz val="8"/>
            <rFont val="Tahoma"/>
            <family val="0"/>
          </rPr>
          <t xml:space="preserve">
Factored up to higher liquid steel production at Port Talbot</t>
        </r>
      </text>
    </comment>
    <comment ref="S37" authorId="1">
      <text>
        <r>
          <rPr>
            <b/>
            <sz val="8"/>
            <rFont val="Tahoma"/>
            <family val="0"/>
          </rPr>
          <t>Togwell:
From D Poole report, silt load average of 11.8 g/m2
Used 50g/km for lorries on paved roads.
Report stated - this maybe understimated due to damping of some roads that the vehicle used. This would then correlate with a road surface 'B' and act more like a 3g/m2 surface.</t>
        </r>
      </text>
    </comment>
    <comment ref="R37" authorId="1">
      <text>
        <r>
          <rPr>
            <b/>
            <sz val="8"/>
            <rFont val="Tahoma"/>
            <family val="0"/>
          </rPr>
          <t>Togwell:
From D Poole report, silt load average of 11.8 g/m2
Used 50g/km for lorries on paved roads.
Report stated - this maybe understimated due to damping of some roads that the vehicle used. This would then correlate with a road surface 'B' and act more like a 3g/m2 surface.</t>
        </r>
      </text>
    </comment>
    <comment ref="D7" authorId="0">
      <text>
        <r>
          <rPr>
            <b/>
            <sz val="8"/>
            <rFont val="Tahoma"/>
            <family val="0"/>
          </rPr>
          <t>Hodges:</t>
        </r>
        <r>
          <rPr>
            <sz val="8"/>
            <rFont val="Tahoma"/>
            <family val="0"/>
          </rPr>
          <t xml:space="preserve">
Assumed that PM10 is 41.4% of TSP and PM2.5 is 10.6%
See p. 24 of ANH's report - is this only valid for the slag haul road?</t>
        </r>
      </text>
    </comment>
    <comment ref="C10" authorId="0">
      <text>
        <r>
          <rPr>
            <b/>
            <sz val="8"/>
            <rFont val="Tahoma"/>
            <family val="0"/>
          </rPr>
          <t>Hodges:</t>
        </r>
        <r>
          <rPr>
            <sz val="8"/>
            <rFont val="Tahoma"/>
            <family val="0"/>
          </rPr>
          <t xml:space="preserve">
Factored up to higher liquid steel production at Port Talbot</t>
        </r>
      </text>
    </comment>
    <comment ref="I2" authorId="1">
      <text>
        <r>
          <rPr>
            <b/>
            <sz val="8"/>
            <rFont val="Tahoma"/>
            <family val="0"/>
          </rPr>
          <t xml:space="preserve">Hodges:
6.3.1 to 6.3.3 in ANH's report
Updated from REFsource 149362
</t>
        </r>
      </text>
    </comment>
    <comment ref="D14" authorId="0">
      <text>
        <r>
          <rPr>
            <b/>
            <sz val="8"/>
            <rFont val="Tahoma"/>
            <family val="0"/>
          </rPr>
          <t>Hodges:</t>
        </r>
        <r>
          <rPr>
            <sz val="8"/>
            <rFont val="Tahoma"/>
            <family val="0"/>
          </rPr>
          <t xml:space="preserve">
From ANH's report p. 30</t>
        </r>
      </text>
    </comment>
    <comment ref="F15" authorId="1">
      <text>
        <r>
          <rPr>
            <b/>
            <sz val="8"/>
            <rFont val="Tahoma"/>
            <family val="0"/>
          </rPr>
          <t>Togwell
The average PM10 content of the measured dust samples was 0.414,</t>
        </r>
      </text>
    </comment>
    <comment ref="G15" authorId="1">
      <text>
        <r>
          <rPr>
            <b/>
            <sz val="8"/>
            <rFont val="Tahoma"/>
            <family val="0"/>
          </rPr>
          <t xml:space="preserve">Togwell
Use wind blown PM2.5 factor
</t>
        </r>
        <r>
          <rPr>
            <sz val="8"/>
            <rFont val="Tahoma"/>
            <family val="0"/>
          </rPr>
          <t xml:space="preserve">
</t>
        </r>
      </text>
    </comment>
    <comment ref="D3" authorId="1">
      <text>
        <r>
          <rPr>
            <b/>
            <sz val="8"/>
            <rFont val="Tahoma"/>
            <family val="0"/>
          </rPr>
          <t xml:space="preserve">2009 steel production
</t>
        </r>
      </text>
    </comment>
  </commentList>
</comments>
</file>

<file path=xl/comments11.xml><?xml version="1.0" encoding="utf-8"?>
<comments xmlns="http://schemas.openxmlformats.org/spreadsheetml/2006/main">
  <authors>
    <author>Hodges</author>
    <author>Corus User</author>
  </authors>
  <commentList>
    <comment ref="B2" authorId="0">
      <text>
        <r>
          <rPr>
            <b/>
            <sz val="8"/>
            <rFont val="Tahoma"/>
            <family val="0"/>
          </rPr>
          <t>Hodges:</t>
        </r>
        <r>
          <rPr>
            <sz val="8"/>
            <rFont val="Tahoma"/>
            <family val="0"/>
          </rPr>
          <t xml:space="preserve">
6.3.4 in ANH's report
Taking a worst-case assumption that dust will be continuously emitted at the highest estimated rates (i.e. making no allowance for times when the conveyors might be stopped), total emissions from junction house BF1 were estimated as 1 to 2 tonnes/year, from BF2 3 to 5 tonnes/year and from the concrete wharf building at least 1 tonne/year.  Emissions from the conveyors outside these junction houses were estimated as totalling around 8 tonnes/year, so for the whole route between the wharf and the coke screening house the emissions could be at least 15 tonnes/year.
This estimate covers only a proportion of the total conveyor system at Scunthorpe and, as previously discussed, does not include the coke screening house which subjectively seems to be a more significant source than the junction houses that were accessible.  On this basis, and reiterating that any estimation of overall emissions from conveyors based on these results is subject to large uncertainty, an estimate of annual dust emissions of 100 tonnes has been made.
No particle size analysis was undertaken in these studies, and for the purposes of this review it is assumed that the proportion of PM10 was 90%, with 10% PM2.5 and 5% PM1, based on the assumption that mechanically generated PM10 mostly falls in the range between 2.5 and 10 µm diameter.  Thus estimated annual emissions from conveyors at Scunthorpe of 100 tonnes TSP, 90 tonnes PM10 and 10 tonnes PM2.5 have been used
</t>
        </r>
        <r>
          <rPr>
            <b/>
            <sz val="8"/>
            <rFont val="Tahoma"/>
            <family val="2"/>
          </rPr>
          <t>Data for 2009 factored against steel production - g/tls
Update each year</t>
        </r>
        <r>
          <rPr>
            <sz val="8"/>
            <rFont val="Tahoma"/>
            <family val="0"/>
          </rPr>
          <t xml:space="preserve">
</t>
        </r>
      </text>
    </comment>
    <comment ref="C5" authorId="0">
      <text>
        <r>
          <rPr>
            <b/>
            <sz val="8"/>
            <rFont val="Tahoma"/>
            <family val="0"/>
          </rPr>
          <t>Hodges:</t>
        </r>
        <r>
          <rPr>
            <sz val="8"/>
            <rFont val="Tahoma"/>
            <family val="0"/>
          </rPr>
          <t xml:space="preserve">
Factored up to higher liquid steel production at Port Talbot - is this best measure or should I compare iron production rates? (Less at Port Talbot)</t>
        </r>
      </text>
    </comment>
    <comment ref="D3" authorId="1">
      <text>
        <r>
          <rPr>
            <b/>
            <sz val="8"/>
            <rFont val="Tahoma"/>
            <family val="0"/>
          </rPr>
          <t xml:space="preserve">2009 Iron
 production
</t>
        </r>
      </text>
    </comment>
  </commentList>
</comments>
</file>

<file path=xl/comments12.xml><?xml version="1.0" encoding="utf-8"?>
<comments xmlns="http://schemas.openxmlformats.org/spreadsheetml/2006/main">
  <authors>
    <author>Hodges</author>
    <author>Corus User</author>
  </authors>
  <commentList>
    <comment ref="B2" authorId="0">
      <text>
        <r>
          <rPr>
            <b/>
            <sz val="8"/>
            <rFont val="Tahoma"/>
            <family val="0"/>
          </rPr>
          <t>Togwell:</t>
        </r>
        <r>
          <rPr>
            <sz val="8"/>
            <rFont val="Tahoma"/>
            <family val="0"/>
          </rPr>
          <t xml:space="preserve">
Vrins report updated with ANH PM report data, section 7.1.8, 
from 2004 </t>
        </r>
      </text>
    </comment>
    <comment ref="F4" authorId="0">
      <text>
        <r>
          <rPr>
            <b/>
            <sz val="8"/>
            <rFont val="Tahoma"/>
            <family val="0"/>
          </rPr>
          <t>Hodges:</t>
        </r>
        <r>
          <rPr>
            <sz val="8"/>
            <rFont val="Tahoma"/>
            <family val="0"/>
          </rPr>
          <t xml:space="preserve">
Vrins report 2003, page 16.
before 8th November = 0.47 - 1.56 - 0.91 g/s PM2.5, Pm2.5-PM10, and &gt;PM10. Includes roads.
</t>
        </r>
      </text>
    </comment>
    <comment ref="C22" authorId="0">
      <text>
        <r>
          <rPr>
            <b/>
            <sz val="8"/>
            <rFont val="Tahoma"/>
            <family val="0"/>
          </rPr>
          <t>Hodges:</t>
        </r>
        <r>
          <rPr>
            <sz val="8"/>
            <rFont val="Tahoma"/>
            <family val="0"/>
          </rPr>
          <t xml:space="preserve">
From ANH's report p. 30</t>
        </r>
      </text>
    </comment>
    <comment ref="F5" authorId="1">
      <text>
        <r>
          <rPr>
            <b/>
            <sz val="8"/>
            <rFont val="Tahoma"/>
            <family val="0"/>
          </rPr>
          <t>Corus User:</t>
        </r>
        <r>
          <rPr>
            <sz val="8"/>
            <rFont val="Tahoma"/>
            <family val="0"/>
          </rPr>
          <t xml:space="preserve">
Vrins report 2003, page 18.
Ore stockyard before 8th November = 0.72g/s PM10
</t>
        </r>
      </text>
    </comment>
    <comment ref="F9" authorId="1">
      <text>
        <r>
          <rPr>
            <b/>
            <sz val="8"/>
            <rFont val="Tahoma"/>
            <family val="0"/>
          </rPr>
          <t>Corus User:</t>
        </r>
        <r>
          <rPr>
            <sz val="8"/>
            <rFont val="Tahoma"/>
            <family val="0"/>
          </rPr>
          <t xml:space="preserve">
Vrins report 2003, page 18.
Slag pits before 8th November = 1.56
g/s PM10
</t>
        </r>
      </text>
    </comment>
    <comment ref="E4" authorId="1">
      <text>
        <r>
          <rPr>
            <b/>
            <sz val="8"/>
            <rFont val="Tahoma"/>
            <family val="0"/>
          </rPr>
          <t xml:space="preserve">Hodges:
Vrins report 2003, page 16.
before 8th November = 0.47 - 1.56 - 0.91 g/s PM2.5, Pm2.5-PM10, and &gt;PM10. Includes roads.
</t>
        </r>
      </text>
    </comment>
    <comment ref="G4" authorId="1">
      <text>
        <r>
          <rPr>
            <b/>
            <sz val="8"/>
            <rFont val="Tahoma"/>
            <family val="0"/>
          </rPr>
          <t xml:space="preserve">Hodges:
Vrins report 2003, page 16.
before 8th November = 0.47 - 1.56 - 0.91 g/s PM2.5, Pm2.5-PM10, and &gt;PM10. Includes roads.
</t>
        </r>
      </text>
    </comment>
    <comment ref="C8" authorId="1">
      <text>
        <r>
          <rPr>
            <b/>
            <sz val="8"/>
            <rFont val="Tahoma"/>
            <family val="0"/>
          </rPr>
          <t>Togwell:</t>
        </r>
        <r>
          <rPr>
            <sz val="8"/>
            <rFont val="Tahoma"/>
            <family val="0"/>
          </rPr>
          <t xml:space="preserve">
Slag storage, Reverts, etc.
</t>
        </r>
      </text>
    </comment>
    <comment ref="E13" authorId="1">
      <text>
        <r>
          <rPr>
            <b/>
            <sz val="8"/>
            <rFont val="Tahoma"/>
            <family val="0"/>
          </rPr>
          <t xml:space="preserve">Togwell:
From ANH assessment  -2004 data.
</t>
        </r>
      </text>
    </comment>
    <comment ref="C17" authorId="1">
      <text>
        <r>
          <rPr>
            <b/>
            <sz val="8"/>
            <rFont val="Tahoma"/>
            <family val="0"/>
          </rPr>
          <t>Togwell:</t>
        </r>
        <r>
          <rPr>
            <sz val="8"/>
            <rFont val="Tahoma"/>
            <family val="0"/>
          </rPr>
          <t xml:space="preserve">
Slag storage, Reverts, etc.
</t>
        </r>
      </text>
    </comment>
    <comment ref="F18" authorId="1">
      <text>
        <r>
          <rPr>
            <b/>
            <sz val="8"/>
            <rFont val="Tahoma"/>
            <family val="0"/>
          </rPr>
          <t>Corus User:</t>
        </r>
        <r>
          <rPr>
            <sz val="8"/>
            <rFont val="Tahoma"/>
            <family val="0"/>
          </rPr>
          <t xml:space="preserve">
Vrins report 2003, page 18.
Slag pits before 8th November = 1.56
g/s PM10
</t>
        </r>
      </text>
    </comment>
    <comment ref="E14" authorId="1">
      <text>
        <r>
          <rPr>
            <b/>
            <sz val="8"/>
            <rFont val="Tahoma"/>
            <family val="0"/>
          </rPr>
          <t xml:space="preserve">Togwell:
From ANH assessment  -2004 data.
</t>
        </r>
      </text>
    </comment>
  </commentList>
</comments>
</file>

<file path=xl/comments13.xml><?xml version="1.0" encoding="utf-8"?>
<comments xmlns="http://schemas.openxmlformats.org/spreadsheetml/2006/main">
  <authors>
    <author>b005651</author>
    <author>Hodges</author>
  </authors>
  <commentList>
    <comment ref="C3" authorId="0">
      <text>
        <r>
          <rPr>
            <b/>
            <sz val="8"/>
            <rFont val="Tahoma"/>
            <family val="0"/>
          </rPr>
          <t>b005651:</t>
        </r>
        <r>
          <rPr>
            <sz val="8"/>
            <rFont val="Tahoma"/>
            <family val="0"/>
          </rPr>
          <t xml:space="preserve">
See section 7.1.12 of ANH's Scunthorpe report
For the factor, slag generation is a factor of iron and steel prodcution rates so an overal factor can be produced for total of iron and steel.
G/tls+iron
Base year to use is 2013.</t>
        </r>
      </text>
    </comment>
    <comment ref="C10" authorId="1">
      <text>
        <r>
          <rPr>
            <b/>
            <sz val="8"/>
            <rFont val="Tahoma"/>
            <family val="0"/>
          </rPr>
          <t>Hodges:</t>
        </r>
        <r>
          <rPr>
            <sz val="8"/>
            <rFont val="Tahoma"/>
            <family val="0"/>
          </rPr>
          <t xml:space="preserve">
Adjusted for Port Talbot steel production
 This needs a review - believed to be underestimate.</t>
        </r>
      </text>
    </comment>
  </commentList>
</comments>
</file>

<file path=xl/comments14.xml><?xml version="1.0" encoding="utf-8"?>
<comments xmlns="http://schemas.openxmlformats.org/spreadsheetml/2006/main">
  <authors>
    <author>Corus User</author>
  </authors>
  <commentList>
    <comment ref="B2" authorId="0">
      <text>
        <r>
          <rPr>
            <b/>
            <sz val="8"/>
            <rFont val="Tahoma"/>
            <family val="0"/>
          </rPr>
          <t xml:space="preserve">See section 7.1.8 of ANH's Scunthorpe report - based on reverse dispersion modelling in 2004
. 
</t>
        </r>
      </text>
    </comment>
  </commentList>
</comments>
</file>

<file path=xl/comments15.xml><?xml version="1.0" encoding="utf-8"?>
<comments xmlns="http://schemas.openxmlformats.org/spreadsheetml/2006/main">
  <authors>
    <author>Hodges</author>
  </authors>
  <commentList>
    <comment ref="C13" authorId="0">
      <text>
        <r>
          <rPr>
            <b/>
            <sz val="8"/>
            <rFont val="Tahoma"/>
            <family val="0"/>
          </rPr>
          <t>Hodges:</t>
        </r>
        <r>
          <rPr>
            <sz val="8"/>
            <rFont val="Tahoma"/>
            <family val="0"/>
          </rPr>
          <t xml:space="preserve">
From ANH's report p. 30</t>
        </r>
      </text>
    </comment>
  </commentList>
</comments>
</file>

<file path=xl/comments16.xml><?xml version="1.0" encoding="utf-8"?>
<comments xmlns="http://schemas.openxmlformats.org/spreadsheetml/2006/main">
  <authors>
    <author>Hodges</author>
    <author>Corus User</author>
  </authors>
  <commentList>
    <comment ref="B2" authorId="0">
      <text>
        <r>
          <rPr>
            <b/>
            <sz val="8"/>
            <rFont val="Tahoma"/>
            <family val="0"/>
          </rPr>
          <t>Togwell:</t>
        </r>
        <r>
          <rPr>
            <sz val="8"/>
            <rFont val="Tahoma"/>
            <family val="0"/>
          </rPr>
          <t xml:space="preserve">
Data from ASEMIS report - RFSR-CT-2009-00029 page 8.
26g/t of fugitive PM10
.
</t>
        </r>
      </text>
    </comment>
    <comment ref="C5" authorId="0">
      <text>
        <r>
          <rPr>
            <b/>
            <sz val="8"/>
            <rFont val="Tahoma"/>
            <family val="0"/>
          </rPr>
          <t>Hodges:</t>
        </r>
        <r>
          <rPr>
            <sz val="8"/>
            <rFont val="Tahoma"/>
            <family val="0"/>
          </rPr>
          <t xml:space="preserve">
Factored up to higher liquid steel production at Port Talbot - is this best measure or should I compare iron production rates? (Less at Port Talbot)</t>
        </r>
      </text>
    </comment>
    <comment ref="C6" authorId="0">
      <text>
        <r>
          <rPr>
            <b/>
            <sz val="8"/>
            <rFont val="Tahoma"/>
            <family val="0"/>
          </rPr>
          <t>Hodges:</t>
        </r>
        <r>
          <rPr>
            <sz val="8"/>
            <rFont val="Tahoma"/>
            <family val="0"/>
          </rPr>
          <t xml:space="preserve">
Factored up to higher liquid steel production at Port Talbot - is this best measure or should I compare iron production rates? (Less at Port Talbot)</t>
        </r>
      </text>
    </comment>
    <comment ref="C12" authorId="1">
      <text>
        <r>
          <rPr>
            <b/>
            <sz val="8"/>
            <rFont val="Tahoma"/>
            <family val="0"/>
          </rPr>
          <t xml:space="preserve">Togwell:
Data from ASEMIS report - RFSR-CT-2009-00029 page 8.
26g/t of fugitive PM10 with a split of 96% PM10, 51% PM2.5 and 35% PM1.
</t>
        </r>
      </text>
    </comment>
    <comment ref="E18" authorId="1">
      <text>
        <r>
          <rPr>
            <b/>
            <sz val="8"/>
            <rFont val="Tahoma"/>
            <family val="0"/>
          </rPr>
          <t xml:space="preserve">Togwell:
TSP = 63 g/t and use Thrybergh split for PM10 and PM2.5
</t>
        </r>
      </text>
    </comment>
    <comment ref="E15" authorId="1">
      <text>
        <r>
          <rPr>
            <b/>
            <sz val="8"/>
            <rFont val="Tahoma"/>
            <family val="0"/>
          </rPr>
          <t xml:space="preserve">Togwell:
Data direct from Memo for TSp, PM10 and PM2.5
</t>
        </r>
      </text>
    </comment>
    <comment ref="F12" authorId="1">
      <text>
        <r>
          <rPr>
            <b/>
            <sz val="8"/>
            <rFont val="Tahoma"/>
            <family val="0"/>
          </rPr>
          <t>Togwell:
Data from ASEMIS report - RFSR-CT-2009-00029 page 8.
26g/t of fugitive PM10 with a split of 96% PM10, 51% PM2.5 and 35% PM1.</t>
        </r>
      </text>
    </comment>
    <comment ref="C4" authorId="1">
      <text>
        <r>
          <rPr>
            <b/>
            <sz val="8"/>
            <rFont val="Tahoma"/>
            <family val="0"/>
          </rPr>
          <t>Togwell:
Use company average mill g/t steel rolled for Scunthorpe.</t>
        </r>
      </text>
    </comment>
  </commentList>
</comments>
</file>

<file path=xl/comments17.xml><?xml version="1.0" encoding="utf-8"?>
<comments xmlns="http://schemas.openxmlformats.org/spreadsheetml/2006/main">
  <authors>
    <author>Hodges</author>
  </authors>
  <commentList>
    <comment ref="D31" authorId="0">
      <text>
        <r>
          <rPr>
            <b/>
            <sz val="8"/>
            <rFont val="Tahoma"/>
            <family val="0"/>
          </rPr>
          <t>Hodges:</t>
        </r>
        <r>
          <rPr>
            <sz val="8"/>
            <rFont val="Tahoma"/>
            <family val="0"/>
          </rPr>
          <t xml:space="preserve">
From Teifion email on 3/04/12</t>
        </r>
      </text>
    </comment>
    <comment ref="D48" authorId="0">
      <text>
        <r>
          <rPr>
            <b/>
            <sz val="8"/>
            <rFont val="Tahoma"/>
            <family val="0"/>
          </rPr>
          <t>Hodges:</t>
        </r>
        <r>
          <rPr>
            <sz val="8"/>
            <rFont val="Tahoma"/>
            <family val="0"/>
          </rPr>
          <t xml:space="preserve">
From Teifion email on 3/04/12</t>
        </r>
      </text>
    </comment>
    <comment ref="B56" authorId="0">
      <text>
        <r>
          <rPr>
            <b/>
            <sz val="8"/>
            <rFont val="Tahoma"/>
            <family val="0"/>
          </rPr>
          <t>Hodges:</t>
        </r>
        <r>
          <rPr>
            <sz val="8"/>
            <rFont val="Tahoma"/>
            <family val="0"/>
          </rPr>
          <t xml:space="preserve">
ANH email on 4/04</t>
        </r>
      </text>
    </comment>
  </commentList>
</comments>
</file>

<file path=xl/comments19.xml><?xml version="1.0" encoding="utf-8"?>
<comments xmlns="http://schemas.openxmlformats.org/spreadsheetml/2006/main">
  <authors>
    <author>Hodges</author>
    <author>Phillip O'sullivan</author>
  </authors>
  <commentList>
    <comment ref="E35" authorId="0">
      <text>
        <r>
          <rPr>
            <b/>
            <sz val="8"/>
            <rFont val="Tahoma"/>
            <family val="0"/>
          </rPr>
          <t>Hodges:</t>
        </r>
        <r>
          <rPr>
            <sz val="8"/>
            <rFont val="Tahoma"/>
            <family val="0"/>
          </rPr>
          <t xml:space="preserve">
Assumed same size fractionation as for grade 1 tops - made 0.1 ug/m3 difference only!!!!</t>
        </r>
      </text>
    </comment>
    <comment ref="B19" authorId="0">
      <text>
        <r>
          <rPr>
            <b/>
            <sz val="8"/>
            <rFont val="Tahoma"/>
            <family val="0"/>
          </rPr>
          <t>Hodges:</t>
        </r>
        <r>
          <rPr>
            <sz val="8"/>
            <rFont val="Tahoma"/>
            <family val="0"/>
          </rPr>
          <t xml:space="preserve">
Divide by the number of emission points</t>
        </r>
      </text>
    </comment>
    <comment ref="B26" authorId="0">
      <text>
        <r>
          <rPr>
            <b/>
            <sz val="8"/>
            <rFont val="Tahoma"/>
            <family val="0"/>
          </rPr>
          <t>Hodges:</t>
        </r>
        <r>
          <rPr>
            <sz val="8"/>
            <rFont val="Tahoma"/>
            <family val="0"/>
          </rPr>
          <t xml:space="preserve">
Divide by the number of emission points</t>
        </r>
      </text>
    </comment>
    <comment ref="B14" authorId="0">
      <text>
        <r>
          <rPr>
            <b/>
            <sz val="8"/>
            <rFont val="Tahoma"/>
            <family val="0"/>
          </rPr>
          <t>Hodges:</t>
        </r>
        <r>
          <rPr>
            <sz val="8"/>
            <rFont val="Tahoma"/>
            <family val="0"/>
          </rPr>
          <t xml:space="preserve">
1 ascension pipe cap
1 AP spigot
1 AP spindle
4 charge hole lids - emission from each rated 1/4 of a cap, spigot or spindle so counts as 1 emission point
</t>
        </r>
      </text>
    </comment>
    <comment ref="K46" authorId="1">
      <text>
        <r>
          <rPr>
            <b/>
            <sz val="8"/>
            <rFont val="Tahoma"/>
            <family val="0"/>
          </rPr>
          <t>Phillip O'sullivan:</t>
        </r>
        <r>
          <rPr>
            <sz val="8"/>
            <rFont val="Tahoma"/>
            <family val="0"/>
          </rPr>
          <t xml:space="preserve">
assumed 10% of product actually leaves site</t>
        </r>
      </text>
    </comment>
    <comment ref="K50" authorId="1">
      <text>
        <r>
          <rPr>
            <b/>
            <sz val="8"/>
            <rFont val="Tahoma"/>
            <family val="0"/>
          </rPr>
          <t>Phillip O'sullivan:definitely needs checking as this figure has no substantaition</t>
        </r>
      </text>
    </comment>
    <comment ref="K51" authorId="1">
      <text>
        <r>
          <rPr>
            <b/>
            <sz val="8"/>
            <rFont val="Tahoma"/>
            <family val="0"/>
          </rPr>
          <t>Phillip O'sullivan:definitely needs checking as this figure has no substantaition</t>
        </r>
      </text>
    </comment>
  </commentList>
</comments>
</file>

<file path=xl/comments21.xml><?xml version="1.0" encoding="utf-8"?>
<comments xmlns="http://schemas.openxmlformats.org/spreadsheetml/2006/main">
  <authors>
    <author>Hodges</author>
  </authors>
  <commentList>
    <comment ref="C6" authorId="0">
      <text>
        <r>
          <rPr>
            <b/>
            <sz val="8"/>
            <rFont val="Tahoma"/>
            <family val="0"/>
          </rPr>
          <t>Hodges:</t>
        </r>
        <r>
          <rPr>
            <sz val="8"/>
            <rFont val="Tahoma"/>
            <family val="0"/>
          </rPr>
          <t xml:space="preserve">
Taken from middle of BREF range (see ANH report p.13)
BAT level in new draft BREF is &lt; 5g/tonne coke
No measurements of diffuse PM emissions from coke oven charging done at our sites</t>
        </r>
      </text>
    </comment>
    <comment ref="C9" authorId="0">
      <text>
        <r>
          <rPr>
            <b/>
            <sz val="8"/>
            <rFont val="Tahoma"/>
            <family val="0"/>
          </rPr>
          <t>Hodges:</t>
        </r>
        <r>
          <rPr>
            <sz val="8"/>
            <rFont val="Tahoma"/>
            <family val="0"/>
          </rPr>
          <t xml:space="preserve">
Using data from Dawes Lane coke ovens - see p.14 of ANH's report - need to use doors and lids grading for Port Talbot for 2007
Calculation is in sheet called 'Door and top leakage calcs'</t>
        </r>
      </text>
    </comment>
    <comment ref="A6" authorId="0">
      <text>
        <r>
          <rPr>
            <b/>
            <sz val="8"/>
            <rFont val="Tahoma"/>
            <family val="0"/>
          </rPr>
          <t>Hodges:</t>
        </r>
        <r>
          <rPr>
            <sz val="8"/>
            <rFont val="Tahoma"/>
            <family val="0"/>
          </rPr>
          <t xml:space="preserve">
7.2.1 in ANH's report</t>
        </r>
      </text>
    </comment>
    <comment ref="A9" authorId="0">
      <text>
        <r>
          <rPr>
            <b/>
            <sz val="8"/>
            <rFont val="Tahoma"/>
            <family val="0"/>
          </rPr>
          <t>Hodges:</t>
        </r>
        <r>
          <rPr>
            <sz val="8"/>
            <rFont val="Tahoma"/>
            <family val="0"/>
          </rPr>
          <t xml:space="preserve">
7.2.2 in ANH's report</t>
        </r>
      </text>
    </comment>
    <comment ref="A15" authorId="0">
      <text>
        <r>
          <rPr>
            <b/>
            <sz val="8"/>
            <rFont val="Tahoma"/>
            <family val="0"/>
          </rPr>
          <t>Hodges:</t>
        </r>
        <r>
          <rPr>
            <sz val="8"/>
            <rFont val="Tahoma"/>
            <family val="0"/>
          </rPr>
          <t xml:space="preserve">
7.2.3 in ANH's report</t>
        </r>
      </text>
    </comment>
    <comment ref="A33" authorId="0">
      <text>
        <r>
          <rPr>
            <b/>
            <sz val="8"/>
            <rFont val="Tahoma"/>
            <family val="0"/>
          </rPr>
          <t>Hodges:</t>
        </r>
        <r>
          <rPr>
            <sz val="8"/>
            <rFont val="Tahoma"/>
            <family val="0"/>
          </rPr>
          <t xml:space="preserve">
6.2.5 in ANH's report</t>
        </r>
      </text>
    </comment>
    <comment ref="A36" authorId="0">
      <text>
        <r>
          <rPr>
            <b/>
            <sz val="8"/>
            <rFont val="Tahoma"/>
            <family val="0"/>
          </rPr>
          <t>Hodges:</t>
        </r>
        <r>
          <rPr>
            <sz val="8"/>
            <rFont val="Tahoma"/>
            <family val="0"/>
          </rPr>
          <t xml:space="preserve">
6.2.6 in ANH's report</t>
        </r>
      </text>
    </comment>
    <comment ref="A18" authorId="0">
      <text>
        <r>
          <rPr>
            <b/>
            <sz val="8"/>
            <rFont val="Tahoma"/>
            <family val="0"/>
          </rPr>
          <t>Hodges:</t>
        </r>
        <r>
          <rPr>
            <sz val="8"/>
            <rFont val="Tahoma"/>
            <family val="0"/>
          </rPr>
          <t xml:space="preserve">
7.2.4 in ANH's report</t>
        </r>
      </text>
    </comment>
    <comment ref="C18" authorId="0">
      <text>
        <r>
          <rPr>
            <b/>
            <sz val="8"/>
            <rFont val="Tahoma"/>
            <family val="0"/>
          </rPr>
          <t>Hodges:</t>
        </r>
        <r>
          <rPr>
            <sz val="8"/>
            <rFont val="Tahoma"/>
            <family val="0"/>
          </rPr>
          <t xml:space="preserve">
2005 measurements at BF5 (NS)
New BAT is &lt; 5-15 g/tonne hot metal</t>
        </r>
      </text>
    </comment>
    <comment ref="A24" authorId="0">
      <text>
        <r>
          <rPr>
            <b/>
            <sz val="8"/>
            <rFont val="Tahoma"/>
            <family val="0"/>
          </rPr>
          <t>Hodges:</t>
        </r>
        <r>
          <rPr>
            <sz val="8"/>
            <rFont val="Tahoma"/>
            <family val="0"/>
          </rPr>
          <t xml:space="preserve">
7.2.5 in ANH's report</t>
        </r>
      </text>
    </comment>
    <comment ref="C24" authorId="0">
      <text>
        <r>
          <rPr>
            <b/>
            <sz val="8"/>
            <rFont val="Tahoma"/>
            <family val="0"/>
          </rPr>
          <t>Hodges:</t>
        </r>
        <r>
          <rPr>
            <sz val="8"/>
            <rFont val="Tahoma"/>
            <family val="0"/>
          </rPr>
          <t xml:space="preserve">
Port Talbot 12/2005 measurements (NS)</t>
        </r>
      </text>
    </comment>
    <comment ref="A27" authorId="0">
      <text>
        <r>
          <rPr>
            <b/>
            <sz val="8"/>
            <rFont val="Tahoma"/>
            <family val="0"/>
          </rPr>
          <t>Hodges:</t>
        </r>
        <r>
          <rPr>
            <sz val="8"/>
            <rFont val="Tahoma"/>
            <family val="0"/>
          </rPr>
          <t xml:space="preserve">
7.2.6 in ANH's report</t>
        </r>
      </text>
    </comment>
    <comment ref="A30" authorId="0">
      <text>
        <r>
          <rPr>
            <b/>
            <sz val="8"/>
            <rFont val="Tahoma"/>
            <family val="0"/>
          </rPr>
          <t>Hodges:</t>
        </r>
        <r>
          <rPr>
            <sz val="8"/>
            <rFont val="Tahoma"/>
            <family val="0"/>
          </rPr>
          <t xml:space="preserve">
7.2.6 in ANH's report</t>
        </r>
      </text>
    </comment>
    <comment ref="C27" authorId="0">
      <text>
        <r>
          <rPr>
            <b/>
            <sz val="8"/>
            <rFont val="Tahoma"/>
            <family val="0"/>
          </rPr>
          <t>Hodges:</t>
        </r>
        <r>
          <rPr>
            <sz val="8"/>
            <rFont val="Tahoma"/>
            <family val="0"/>
          </rPr>
          <t xml:space="preserve">
Emissions factor from EMEP/EEA and size fractionation for Scunthorpe Plate Mill - NS suggested this most representative number</t>
        </r>
      </text>
    </comment>
    <comment ref="C30" authorId="0">
      <text>
        <r>
          <rPr>
            <b/>
            <sz val="8"/>
            <rFont val="Tahoma"/>
            <family val="0"/>
          </rPr>
          <t>Hodges:</t>
        </r>
        <r>
          <rPr>
            <sz val="8"/>
            <rFont val="Tahoma"/>
            <family val="0"/>
          </rPr>
          <t xml:space="preserve">
Used EMEP/EEA number and same size fractionation as for hot rolling</t>
        </r>
      </text>
    </comment>
    <comment ref="C15" authorId="0">
      <text>
        <r>
          <rPr>
            <b/>
            <sz val="8"/>
            <rFont val="Tahoma"/>
            <family val="0"/>
          </rPr>
          <t>Hodges:</t>
        </r>
        <r>
          <rPr>
            <sz val="8"/>
            <rFont val="Tahoma"/>
            <family val="0"/>
          </rPr>
          <t xml:space="preserve">
Taken from Appendix 1</t>
        </r>
      </text>
    </comment>
    <comment ref="A3" authorId="0">
      <text>
        <r>
          <rPr>
            <b/>
            <sz val="8"/>
            <rFont val="Tahoma"/>
            <family val="0"/>
          </rPr>
          <t>Hodges:</t>
        </r>
        <r>
          <rPr>
            <sz val="8"/>
            <rFont val="Tahoma"/>
            <family val="0"/>
          </rPr>
          <t xml:space="preserve">
7.1.1 in ANH's report</t>
        </r>
      </text>
    </comment>
    <comment ref="A21" authorId="0">
      <text>
        <r>
          <rPr>
            <b/>
            <sz val="8"/>
            <rFont val="Tahoma"/>
            <family val="0"/>
          </rPr>
          <t>Hodges:</t>
        </r>
        <r>
          <rPr>
            <sz val="8"/>
            <rFont val="Tahoma"/>
            <family val="0"/>
          </rPr>
          <t xml:space="preserve">
7.2.4 in ANH's report</t>
        </r>
      </text>
    </comment>
    <comment ref="C3" authorId="0">
      <text>
        <r>
          <rPr>
            <b/>
            <sz val="8"/>
            <rFont val="Tahoma"/>
            <family val="0"/>
          </rPr>
          <t>Hodges:</t>
        </r>
        <r>
          <rPr>
            <sz val="8"/>
            <rFont val="Tahoma"/>
            <family val="0"/>
          </rPr>
          <t xml:space="preserve">
Based on 2010 measurements (NS) reported in ref. source 153826
New BAT for 'dust' is &lt;25 g/tonne coke</t>
        </r>
      </text>
    </comment>
    <comment ref="C21" authorId="0">
      <text>
        <r>
          <rPr>
            <b/>
            <sz val="8"/>
            <rFont val="Tahoma"/>
            <family val="0"/>
          </rPr>
          <t>Hodges:</t>
        </r>
        <r>
          <rPr>
            <sz val="8"/>
            <rFont val="Tahoma"/>
            <family val="0"/>
          </rPr>
          <t xml:space="preserve">
2005 measurements at BF5 (NS)
Reasonable estimate for BF4 according to NS</t>
        </r>
      </text>
    </comment>
    <comment ref="C16" authorId="0">
      <text>
        <r>
          <rPr>
            <b/>
            <sz val="8"/>
            <rFont val="Tahoma"/>
            <family val="0"/>
          </rPr>
          <t>Hodges:</t>
        </r>
        <r>
          <rPr>
            <sz val="8"/>
            <rFont val="Tahoma"/>
            <family val="0"/>
          </rPr>
          <t xml:space="preserve">
Used PI factor of 10% for unabated emissions - this is what is emitted when MS is not available
Used same value for PM2.5</t>
        </r>
      </text>
    </comment>
    <comment ref="E36" authorId="0">
      <text>
        <r>
          <rPr>
            <b/>
            <sz val="8"/>
            <rFont val="Tahoma"/>
            <family val="0"/>
          </rPr>
          <t>Hodges:</t>
        </r>
        <r>
          <rPr>
            <sz val="8"/>
            <rFont val="Tahoma"/>
            <family val="0"/>
          </rPr>
          <t xml:space="preserve">
See calculation in separate sheet
Size fractionation from Scunthorpe measurements - see ANH report p. 17</t>
        </r>
      </text>
    </comment>
    <comment ref="A12" authorId="0">
      <text>
        <r>
          <rPr>
            <b/>
            <sz val="8"/>
            <rFont val="Tahoma"/>
            <family val="0"/>
          </rPr>
          <t>Hodges:</t>
        </r>
        <r>
          <rPr>
            <sz val="8"/>
            <rFont val="Tahoma"/>
            <family val="0"/>
          </rPr>
          <t xml:space="preserve">
7.2.3 in ANH's report</t>
        </r>
      </text>
    </comment>
    <comment ref="C12" authorId="0">
      <text>
        <r>
          <rPr>
            <b/>
            <sz val="8"/>
            <rFont val="Tahoma"/>
            <family val="0"/>
          </rPr>
          <t>Hodges:</t>
        </r>
        <r>
          <rPr>
            <sz val="8"/>
            <rFont val="Tahoma"/>
            <family val="0"/>
          </rPr>
          <t xml:space="preserve">
Taken from Appendix 1</t>
        </r>
      </text>
    </comment>
    <comment ref="C13" authorId="0">
      <text>
        <r>
          <rPr>
            <b/>
            <sz val="8"/>
            <rFont val="Tahoma"/>
            <family val="0"/>
          </rPr>
          <t>Hodges:</t>
        </r>
        <r>
          <rPr>
            <sz val="8"/>
            <rFont val="Tahoma"/>
            <family val="0"/>
          </rPr>
          <t xml:space="preserve">
Used PI factor of 95% for abated emissions - this is what is not caught by the MS when it is in use
Used same value for PM2.5</t>
        </r>
      </text>
    </comment>
    <comment ref="E12" authorId="0">
      <text>
        <r>
          <rPr>
            <b/>
            <sz val="8"/>
            <rFont val="Tahoma"/>
            <family val="0"/>
          </rPr>
          <t>Hodges:</t>
        </r>
        <r>
          <rPr>
            <sz val="8"/>
            <rFont val="Tahoma"/>
            <family val="0"/>
          </rPr>
          <t xml:space="preserve">
97.5% MS availability</t>
        </r>
      </text>
    </comment>
    <comment ref="E15" authorId="0">
      <text>
        <r>
          <rPr>
            <b/>
            <sz val="8"/>
            <rFont val="Tahoma"/>
            <family val="0"/>
          </rPr>
          <t>Hodges:</t>
        </r>
        <r>
          <rPr>
            <sz val="8"/>
            <rFont val="Tahoma"/>
            <family val="0"/>
          </rPr>
          <t xml:space="preserve">
The emissions when the MS is unavailable, i.e. 2.5% of the time</t>
        </r>
      </text>
    </comment>
  </commentList>
</comments>
</file>

<file path=xl/comments22.xml><?xml version="1.0" encoding="utf-8"?>
<comments xmlns="http://schemas.openxmlformats.org/spreadsheetml/2006/main">
  <authors>
    <author>Hodges</author>
  </authors>
  <commentList>
    <comment ref="N9" authorId="0">
      <text>
        <r>
          <rPr>
            <b/>
            <sz val="8"/>
            <rFont val="Tahoma"/>
            <family val="0"/>
          </rPr>
          <t>Hodges:</t>
        </r>
        <r>
          <rPr>
            <sz val="8"/>
            <rFont val="Tahoma"/>
            <family val="0"/>
          </rPr>
          <t xml:space="preserve">
Includes reheat furnace</t>
        </r>
      </text>
    </comment>
    <comment ref="N10" authorId="0">
      <text>
        <r>
          <rPr>
            <b/>
            <sz val="8"/>
            <rFont val="Tahoma"/>
            <family val="0"/>
          </rPr>
          <t>Hodges:</t>
        </r>
        <r>
          <rPr>
            <sz val="8"/>
            <rFont val="Tahoma"/>
            <family val="0"/>
          </rPr>
          <t xml:space="preserve">
Conveyors, stockyards, harbour</t>
        </r>
      </text>
    </comment>
  </commentList>
</comments>
</file>

<file path=xl/comments3.xml><?xml version="1.0" encoding="utf-8"?>
<comments xmlns="http://schemas.openxmlformats.org/spreadsheetml/2006/main">
  <authors>
    <author>Hodges</author>
  </authors>
  <commentList>
    <comment ref="K18" authorId="0">
      <text>
        <r>
          <rPr>
            <b/>
            <sz val="8"/>
            <rFont val="Tahoma"/>
            <family val="0"/>
          </rPr>
          <t>Hodges:</t>
        </r>
        <r>
          <rPr>
            <sz val="8"/>
            <rFont val="Tahoma"/>
            <family val="0"/>
          </rPr>
          <t xml:space="preserve">
Correct conditions - taken direct form MCERTS report
Do I need to correct for O2, moisture?
Applies to all MCERTS emissions data</t>
        </r>
      </text>
    </comment>
    <comment ref="G112" authorId="0">
      <text>
        <r>
          <rPr>
            <b/>
            <sz val="8"/>
            <rFont val="Tahoma"/>
            <family val="0"/>
          </rPr>
          <t>Hodges:</t>
        </r>
        <r>
          <rPr>
            <sz val="8"/>
            <rFont val="Tahoma"/>
            <family val="0"/>
          </rPr>
          <t xml:space="preserve">
3.1 in original file. This is because it says 3*1 in the emissions inventory. See comment on inventory - this means 3 pipes 1m in diameter, so I assumed a diameter of 1m</t>
        </r>
      </text>
    </comment>
    <comment ref="G113" authorId="0">
      <text>
        <r>
          <rPr>
            <b/>
            <sz val="8"/>
            <rFont val="Tahoma"/>
            <family val="0"/>
          </rPr>
          <t>Hodges:</t>
        </r>
        <r>
          <rPr>
            <sz val="8"/>
            <rFont val="Tahoma"/>
            <family val="0"/>
          </rPr>
          <t xml:space="preserve">
See comment for A33A</t>
        </r>
      </text>
    </comment>
    <comment ref="F72" authorId="0">
      <text>
        <r>
          <rPr>
            <b/>
            <sz val="8"/>
            <rFont val="Tahoma"/>
            <family val="0"/>
          </rPr>
          <t>Hodges:</t>
        </r>
        <r>
          <rPr>
            <sz val="8"/>
            <rFont val="Tahoma"/>
            <family val="0"/>
          </rPr>
          <t xml:space="preserve">
Height and diameter from NS report of coke quench emissions pub. 2011 (153826)</t>
        </r>
      </text>
    </comment>
    <comment ref="H72" authorId="0">
      <text>
        <r>
          <rPr>
            <b/>
            <sz val="8"/>
            <rFont val="Tahoma"/>
            <family val="0"/>
          </rPr>
          <t>Hodges:</t>
        </r>
        <r>
          <rPr>
            <sz val="8"/>
            <rFont val="Tahoma"/>
            <family val="0"/>
          </rPr>
          <t xml:space="preserve">
Assuming circular as ADMS does, but it is square</t>
        </r>
      </text>
    </comment>
    <comment ref="K61" authorId="0">
      <text>
        <r>
          <rPr>
            <b/>
            <sz val="8"/>
            <rFont val="Tahoma"/>
            <family val="0"/>
          </rPr>
          <t>Hodges:</t>
        </r>
        <r>
          <rPr>
            <sz val="8"/>
            <rFont val="Tahoma"/>
            <family val="0"/>
          </rPr>
          <t xml:space="preserve">
From discussion with NS</t>
        </r>
      </text>
    </comment>
    <comment ref="K72" authorId="0">
      <text>
        <r>
          <rPr>
            <b/>
            <sz val="8"/>
            <rFont val="Tahoma"/>
            <family val="0"/>
          </rPr>
          <t>Hodges:</t>
        </r>
        <r>
          <rPr>
            <sz val="8"/>
            <rFont val="Tahoma"/>
            <family val="0"/>
          </rPr>
          <t xml:space="preserve">
Based on flow rate through nozzles - see note written of discussion with Amanda and NS on 5th December, 2011</t>
        </r>
      </text>
    </comment>
    <comment ref="F39" authorId="0">
      <text>
        <r>
          <rPr>
            <b/>
            <sz val="8"/>
            <rFont val="Tahoma"/>
            <family val="0"/>
          </rPr>
          <t>Hodges:</t>
        </r>
        <r>
          <rPr>
            <sz val="8"/>
            <rFont val="Tahoma"/>
            <family val="0"/>
          </rPr>
          <t xml:space="preserve">
Assumed same as other two stacks</t>
        </r>
      </text>
    </comment>
    <comment ref="G39" authorId="0">
      <text>
        <r>
          <rPr>
            <b/>
            <sz val="8"/>
            <rFont val="Tahoma"/>
            <family val="0"/>
          </rPr>
          <t>Hodges:</t>
        </r>
        <r>
          <rPr>
            <sz val="8"/>
            <rFont val="Tahoma"/>
            <family val="0"/>
          </rPr>
          <t xml:space="preserve">
Assumed same as other two stacks</t>
        </r>
      </text>
    </comment>
    <comment ref="G59" authorId="0">
      <text>
        <r>
          <rPr>
            <b/>
            <sz val="8"/>
            <rFont val="Tahoma"/>
            <family val="0"/>
          </rPr>
          <t>Hodges:</t>
        </r>
        <r>
          <rPr>
            <sz val="8"/>
            <rFont val="Tahoma"/>
            <family val="0"/>
          </rPr>
          <t xml:space="preserve">
From phone call with Jason Heatman on 31/01/12</t>
        </r>
      </text>
    </comment>
    <comment ref="L18" authorId="0">
      <text>
        <r>
          <rPr>
            <b/>
            <sz val="8"/>
            <rFont val="Tahoma"/>
            <family val="0"/>
          </rPr>
          <t>Hodges:</t>
        </r>
        <r>
          <rPr>
            <sz val="8"/>
            <rFont val="Tahoma"/>
            <family val="0"/>
          </rPr>
          <t xml:space="preserve">
Correct conditions - taken direct form MCERTS report
Do I need to correct for O2, moisture?
Applies to all MCERTS emissions data</t>
        </r>
      </text>
    </comment>
    <comment ref="L61" authorId="0">
      <text>
        <r>
          <rPr>
            <b/>
            <sz val="8"/>
            <rFont val="Tahoma"/>
            <family val="0"/>
          </rPr>
          <t>Hodges:</t>
        </r>
        <r>
          <rPr>
            <sz val="8"/>
            <rFont val="Tahoma"/>
            <family val="0"/>
          </rPr>
          <t xml:space="preserve">
From discussion with NS</t>
        </r>
      </text>
    </comment>
    <comment ref="L72" authorId="0">
      <text>
        <r>
          <rPr>
            <b/>
            <sz val="8"/>
            <rFont val="Tahoma"/>
            <family val="0"/>
          </rPr>
          <t>Hodges:</t>
        </r>
        <r>
          <rPr>
            <sz val="8"/>
            <rFont val="Tahoma"/>
            <family val="0"/>
          </rPr>
          <t xml:space="preserve">
Based on flow rate through nozzles - see note written of discussion with Amanda and NS on 5th December, 2011</t>
        </r>
      </text>
    </comment>
    <comment ref="L103" authorId="0">
      <text>
        <r>
          <rPr>
            <b/>
            <sz val="8"/>
            <rFont val="Tahoma"/>
            <family val="0"/>
          </rPr>
          <t>Hodges:</t>
        </r>
        <r>
          <rPr>
            <sz val="8"/>
            <rFont val="Tahoma"/>
            <family val="0"/>
          </rPr>
          <t xml:space="preserve">
Flow rate based on gases burnt for this and rest of combustion sources</t>
        </r>
      </text>
    </comment>
    <comment ref="J28" authorId="0">
      <text>
        <r>
          <rPr>
            <b/>
            <sz val="8"/>
            <rFont val="Tahoma"/>
            <family val="0"/>
          </rPr>
          <t>Hodges:</t>
        </r>
        <r>
          <rPr>
            <sz val="8"/>
            <rFont val="Tahoma"/>
            <family val="0"/>
          </rPr>
          <t xml:space="preserve">
At NTP and actual O2, wet</t>
        </r>
      </text>
    </comment>
  </commentList>
</comments>
</file>

<file path=xl/comments4.xml><?xml version="1.0" encoding="utf-8"?>
<comments xmlns="http://schemas.openxmlformats.org/spreadsheetml/2006/main">
  <authors>
    <author>Hodges</author>
  </authors>
  <commentList>
    <comment ref="B11" authorId="0">
      <text>
        <r>
          <rPr>
            <b/>
            <sz val="8"/>
            <rFont val="Tahoma"/>
            <family val="0"/>
          </rPr>
          <t>Hodges:</t>
        </r>
        <r>
          <rPr>
            <sz val="8"/>
            <rFont val="Tahoma"/>
            <family val="0"/>
          </rPr>
          <t xml:space="preserve">
2011 operational factor</t>
        </r>
      </text>
    </comment>
  </commentList>
</comments>
</file>

<file path=xl/comments5.xml><?xml version="1.0" encoding="utf-8"?>
<comments xmlns="http://schemas.openxmlformats.org/spreadsheetml/2006/main">
  <authors>
    <author>Hodges</author>
  </authors>
  <commentList>
    <comment ref="H17" authorId="0">
      <text>
        <r>
          <rPr>
            <b/>
            <sz val="8"/>
            <rFont val="Tahoma"/>
            <family val="0"/>
          </rPr>
          <t>Hodges:</t>
        </r>
        <r>
          <rPr>
            <sz val="8"/>
            <rFont val="Tahoma"/>
            <family val="0"/>
          </rPr>
          <t xml:space="preserve">
Less than value - how to express?
ANH - OK to use less than value for calculation</t>
        </r>
      </text>
    </comment>
    <comment ref="E30" authorId="0">
      <text>
        <r>
          <rPr>
            <b/>
            <sz val="8"/>
            <rFont val="Tahoma"/>
            <family val="0"/>
          </rPr>
          <t>Hodges:</t>
        </r>
        <r>
          <rPr>
            <sz val="8"/>
            <rFont val="Tahoma"/>
            <family val="0"/>
          </rPr>
          <t xml:space="preserve">
Not sampled on safety grounds</t>
        </r>
      </text>
    </comment>
    <comment ref="E31" authorId="0">
      <text>
        <r>
          <rPr>
            <b/>
            <sz val="8"/>
            <rFont val="Tahoma"/>
            <family val="0"/>
          </rPr>
          <t>Hodges:</t>
        </r>
        <r>
          <rPr>
            <sz val="8"/>
            <rFont val="Tahoma"/>
            <family val="0"/>
          </rPr>
          <t xml:space="preserve">
Not sampled on safety grounds</t>
        </r>
      </text>
    </comment>
    <comment ref="E46" authorId="0">
      <text>
        <r>
          <rPr>
            <b/>
            <sz val="8"/>
            <rFont val="Tahoma"/>
            <family val="0"/>
          </rPr>
          <t>Hodges:</t>
        </r>
        <r>
          <rPr>
            <sz val="8"/>
            <rFont val="Tahoma"/>
            <family val="0"/>
          </rPr>
          <t xml:space="preserve">
Need to check this with ANH - COG plus operational factor?</t>
        </r>
      </text>
    </comment>
    <comment ref="E47" authorId="0">
      <text>
        <r>
          <rPr>
            <b/>
            <sz val="8"/>
            <rFont val="Tahoma"/>
            <family val="0"/>
          </rPr>
          <t>Hodges:</t>
        </r>
        <r>
          <rPr>
            <sz val="8"/>
            <rFont val="Tahoma"/>
            <family val="0"/>
          </rPr>
          <t xml:space="preserve">
Same comment as A34B
Also, why so different to A34A?</t>
        </r>
      </text>
    </comment>
    <comment ref="E37" authorId="0">
      <text>
        <r>
          <rPr>
            <b/>
            <sz val="8"/>
            <rFont val="Tahoma"/>
            <family val="0"/>
          </rPr>
          <t>Hodges:</t>
        </r>
        <r>
          <rPr>
            <sz val="8"/>
            <rFont val="Tahoma"/>
            <family val="0"/>
          </rPr>
          <t xml:space="preserve">
No data in 2007 record
2010 record
Sample Ports Stuck 09/12/2010, freed on the 14/12/2010, Arranged Sampling 16/12/2010 No flow in the stack (motor to fan operating), need some clarification on operations.
</t>
        </r>
      </text>
    </comment>
    <comment ref="E39" authorId="0">
      <text>
        <r>
          <rPr>
            <b/>
            <sz val="8"/>
            <rFont val="Tahoma"/>
            <family val="0"/>
          </rPr>
          <t>Hodges:</t>
        </r>
        <r>
          <rPr>
            <sz val="8"/>
            <rFont val="Tahoma"/>
            <family val="0"/>
          </rPr>
          <t xml:space="preserve">
Should total emission be doubled? (2 boilers)</t>
        </r>
      </text>
    </comment>
    <comment ref="L14" authorId="0">
      <text>
        <r>
          <rPr>
            <b/>
            <sz val="8"/>
            <rFont val="Tahoma"/>
            <family val="0"/>
          </rPr>
          <t>Hodges:</t>
        </r>
        <r>
          <rPr>
            <sz val="8"/>
            <rFont val="Tahoma"/>
            <family val="0"/>
          </rPr>
          <t xml:space="preserve">
Factor for combustion - is this valid?</t>
        </r>
      </text>
    </comment>
  </commentList>
</comments>
</file>

<file path=xl/comments6.xml><?xml version="1.0" encoding="utf-8"?>
<comments xmlns="http://schemas.openxmlformats.org/spreadsheetml/2006/main">
  <authors>
    <author>Hodges</author>
  </authors>
  <commentList>
    <comment ref="I45" authorId="0">
      <text>
        <r>
          <rPr>
            <b/>
            <sz val="8"/>
            <rFont val="Tahoma"/>
            <family val="0"/>
          </rPr>
          <t>Hodges:</t>
        </r>
        <r>
          <rPr>
            <sz val="8"/>
            <rFont val="Tahoma"/>
            <family val="0"/>
          </rPr>
          <t xml:space="preserve">
Temp from TM's file for BF4 reline</t>
        </r>
      </text>
    </comment>
  </commentList>
</comments>
</file>

<file path=xl/comments7.xml><?xml version="1.0" encoding="utf-8"?>
<comments xmlns="http://schemas.openxmlformats.org/spreadsheetml/2006/main">
  <authors>
    <author>Hodges</author>
    <author>b005651</author>
    <author>Corus User</author>
  </authors>
  <commentList>
    <comment ref="B10" authorId="0">
      <text>
        <r>
          <rPr>
            <b/>
            <sz val="8"/>
            <rFont val="Tahoma"/>
            <family val="0"/>
          </rPr>
          <t>Hodges:</t>
        </r>
        <r>
          <rPr>
            <sz val="8"/>
            <rFont val="Tahoma"/>
            <family val="0"/>
          </rPr>
          <t xml:space="preserve">
6.3.1 to 6.3.3 in ANH's report</t>
        </r>
      </text>
    </comment>
    <comment ref="B24" authorId="0">
      <text>
        <r>
          <rPr>
            <b/>
            <sz val="8"/>
            <rFont val="Tahoma"/>
            <family val="0"/>
          </rPr>
          <t>Hodges:</t>
        </r>
        <r>
          <rPr>
            <sz val="8"/>
            <rFont val="Tahoma"/>
            <family val="0"/>
          </rPr>
          <t xml:space="preserve">
6.3.4 in ANH's report</t>
        </r>
      </text>
    </comment>
    <comment ref="B30" authorId="0">
      <text>
        <r>
          <rPr>
            <b/>
            <sz val="8"/>
            <rFont val="Tahoma"/>
            <family val="0"/>
          </rPr>
          <t xml:space="preserve">Togwell:
From ANH assessment  -2004 data to genearte g/tls factor
</t>
        </r>
      </text>
    </comment>
    <comment ref="F32" authorId="0">
      <text>
        <r>
          <rPr>
            <b/>
            <sz val="8"/>
            <rFont val="Tahoma"/>
            <family val="0"/>
          </rPr>
          <t>Hodges:</t>
        </r>
        <r>
          <rPr>
            <sz val="8"/>
            <rFont val="Tahoma"/>
            <family val="0"/>
          </rPr>
          <t xml:space="preserve">
Including roads</t>
        </r>
      </text>
    </comment>
    <comment ref="E32" authorId="0">
      <text>
        <r>
          <rPr>
            <b/>
            <sz val="8"/>
            <rFont val="Tahoma"/>
            <family val="0"/>
          </rPr>
          <t>Hodges:</t>
        </r>
        <r>
          <rPr>
            <sz val="8"/>
            <rFont val="Tahoma"/>
            <family val="0"/>
          </rPr>
          <t xml:space="preserve">
Including roads</t>
        </r>
      </text>
    </comment>
    <comment ref="G32" authorId="0">
      <text>
        <r>
          <rPr>
            <b/>
            <sz val="8"/>
            <rFont val="Tahoma"/>
            <family val="0"/>
          </rPr>
          <t>Hodges:</t>
        </r>
        <r>
          <rPr>
            <sz val="8"/>
            <rFont val="Tahoma"/>
            <family val="0"/>
          </rPr>
          <t xml:space="preserve">
Including roads</t>
        </r>
      </text>
    </comment>
    <comment ref="J50" authorId="0">
      <text>
        <r>
          <rPr>
            <b/>
            <sz val="8"/>
            <rFont val="Tahoma"/>
            <family val="0"/>
          </rPr>
          <t>Hodges:</t>
        </r>
        <r>
          <rPr>
            <sz val="8"/>
            <rFont val="Tahoma"/>
            <family val="0"/>
          </rPr>
          <t xml:space="preserve">
6.3.1 to 6.3.3 in ANH's report</t>
        </r>
      </text>
    </comment>
    <comment ref="J51" authorId="0">
      <text>
        <r>
          <rPr>
            <b/>
            <sz val="8"/>
            <rFont val="Tahoma"/>
            <family val="0"/>
          </rPr>
          <t>Hodges:</t>
        </r>
        <r>
          <rPr>
            <sz val="8"/>
            <rFont val="Tahoma"/>
            <family val="0"/>
          </rPr>
          <t xml:space="preserve">
6.3.4 in ANH's report</t>
        </r>
      </text>
    </comment>
    <comment ref="J52" authorId="0">
      <text>
        <r>
          <rPr>
            <b/>
            <sz val="8"/>
            <rFont val="Tahoma"/>
            <family val="0"/>
          </rPr>
          <t>Hodges:</t>
        </r>
        <r>
          <rPr>
            <sz val="8"/>
            <rFont val="Tahoma"/>
            <family val="0"/>
          </rPr>
          <t xml:space="preserve">
Vrins report</t>
        </r>
      </text>
    </comment>
    <comment ref="D15" authorId="0">
      <text>
        <r>
          <rPr>
            <b/>
            <sz val="8"/>
            <rFont val="Tahoma"/>
            <family val="0"/>
          </rPr>
          <t>Hodges:</t>
        </r>
        <r>
          <rPr>
            <sz val="8"/>
            <rFont val="Tahoma"/>
            <family val="0"/>
          </rPr>
          <t xml:space="preserve">
Assumed that PM10 is 41.4% of TSP and PM2.5 is 10.6%
See p. 24 of ANH's report - is this only valid for the slag haul road?
</t>
        </r>
        <r>
          <rPr>
            <b/>
            <sz val="8"/>
            <rFont val="Tahoma"/>
            <family val="2"/>
          </rPr>
          <t>Togwell:</t>
        </r>
        <r>
          <rPr>
            <sz val="8"/>
            <rFont val="Tahoma"/>
            <family val="0"/>
          </rPr>
          <t xml:space="preserve">
EPA factors used by IJmuiden are PM10 = 20%of TSP and 5% is PM2.5.
</t>
        </r>
        <r>
          <rPr>
            <b/>
            <sz val="8"/>
            <rFont val="Tahoma"/>
            <family val="2"/>
          </rPr>
          <t>D Poole:</t>
        </r>
        <r>
          <rPr>
            <sz val="8"/>
            <rFont val="Tahoma"/>
            <family val="0"/>
          </rPr>
          <t xml:space="preserve"> data for silt samples taken from paved roads are PM10 = 19% of PM30 and PM2.5 = 2%.</t>
        </r>
      </text>
    </comment>
    <comment ref="C41" authorId="0">
      <text>
        <r>
          <rPr>
            <b/>
            <sz val="8"/>
            <rFont val="Tahoma"/>
            <family val="0"/>
          </rPr>
          <t>Hodges:</t>
        </r>
        <r>
          <rPr>
            <sz val="8"/>
            <rFont val="Tahoma"/>
            <family val="0"/>
          </rPr>
          <t xml:space="preserve">
From ANH's report p. 30</t>
        </r>
      </text>
    </comment>
    <comment ref="C49" authorId="0">
      <text>
        <r>
          <rPr>
            <b/>
            <sz val="8"/>
            <rFont val="Tahoma"/>
            <family val="0"/>
          </rPr>
          <t>Hodges:</t>
        </r>
        <r>
          <rPr>
            <sz val="8"/>
            <rFont val="Tahoma"/>
            <family val="0"/>
          </rPr>
          <t xml:space="preserve">
Adjusted for Port Talbot steel production
 This needs a review - believed to be underestimate.</t>
        </r>
      </text>
    </comment>
    <comment ref="C83" authorId="0">
      <text>
        <r>
          <rPr>
            <b/>
            <sz val="8"/>
            <rFont val="Tahoma"/>
            <family val="0"/>
          </rPr>
          <t>Hodges:</t>
        </r>
        <r>
          <rPr>
            <sz val="8"/>
            <rFont val="Tahoma"/>
            <family val="0"/>
          </rPr>
          <t xml:space="preserve">
Factored up to higher liquid steel production at Port Talbot - is this best measure or should I compare iron production rates? (Less at Port Talbot)</t>
        </r>
      </text>
    </comment>
    <comment ref="C84" authorId="0">
      <text>
        <r>
          <rPr>
            <b/>
            <sz val="8"/>
            <rFont val="Tahoma"/>
            <family val="0"/>
          </rPr>
          <t>Hodges:</t>
        </r>
        <r>
          <rPr>
            <sz val="8"/>
            <rFont val="Tahoma"/>
            <family val="0"/>
          </rPr>
          <t xml:space="preserve">
Factored up to higher liquid steel production at Port Talbot - is this best measure or should I compare iron production rates? (Less at Port Talbot)</t>
        </r>
      </text>
    </comment>
    <comment ref="C46" authorId="1">
      <text>
        <r>
          <rPr>
            <b/>
            <sz val="8"/>
            <rFont val="Tahoma"/>
            <family val="0"/>
          </rPr>
          <t>b005651:</t>
        </r>
        <r>
          <rPr>
            <sz val="8"/>
            <rFont val="Tahoma"/>
            <family val="0"/>
          </rPr>
          <t xml:space="preserve">
See section 7.1.12 of ANH's Scunthorpe report</t>
        </r>
      </text>
    </comment>
    <comment ref="B60" authorId="2">
      <text>
        <r>
          <rPr>
            <b/>
            <sz val="8"/>
            <rFont val="Tahoma"/>
            <family val="0"/>
          </rPr>
          <t xml:space="preserve">See section 7.1.8 of ANH's Scunthorpe report - based on reverse dispersion modelling in 2004.
There may be some double counting - needs reviewing.
</t>
        </r>
      </text>
    </comment>
    <comment ref="B107" authorId="2">
      <text>
        <r>
          <rPr>
            <b/>
            <sz val="8"/>
            <rFont val="Tahoma"/>
            <family val="0"/>
          </rPr>
          <t>Togwell:
Coke oven factors based on Port Talbot 2007 data - needs further refining but similar release rates to those in use at Scunthorpe before 2007</t>
        </r>
      </text>
    </comment>
    <comment ref="B89" authorId="2">
      <text>
        <r>
          <rPr>
            <b/>
            <sz val="8"/>
            <rFont val="Tahoma"/>
            <family val="0"/>
          </rPr>
          <t xml:space="preserve">Togwell:
Use BREF note average factor of 32g/thm TSP and ASEMIS TOSP/PM10/PM2.5 ratios
</t>
        </r>
      </text>
    </comment>
    <comment ref="C82" authorId="2">
      <text>
        <r>
          <rPr>
            <b/>
            <sz val="8"/>
            <rFont val="Tahoma"/>
            <family val="0"/>
          </rPr>
          <t>Togwell:
Use average factor from various Refsource reports.</t>
        </r>
      </text>
    </comment>
  </commentList>
</comments>
</file>

<file path=xl/comments8.xml><?xml version="1.0" encoding="utf-8"?>
<comments xmlns="http://schemas.openxmlformats.org/spreadsheetml/2006/main">
  <authors>
    <author>Hodges</author>
  </authors>
  <commentList>
    <comment ref="B31" authorId="0">
      <text>
        <r>
          <rPr>
            <b/>
            <sz val="8"/>
            <rFont val="Tahoma"/>
            <family val="0"/>
          </rPr>
          <t>Hodges:</t>
        </r>
        <r>
          <rPr>
            <sz val="8"/>
            <rFont val="Tahoma"/>
            <family val="0"/>
          </rPr>
          <t xml:space="preserve">
Exclude coke as it is delivered by train?</t>
        </r>
      </text>
    </comment>
  </commentList>
</comments>
</file>

<file path=xl/sharedStrings.xml><?xml version="1.0" encoding="utf-8"?>
<sst xmlns="http://schemas.openxmlformats.org/spreadsheetml/2006/main" count="3676" uniqueCount="1602">
  <si>
    <t>US EPA Chapter 12.5 Open dust sources - stock yards</t>
  </si>
  <si>
    <t>Lump Ore pile</t>
  </si>
  <si>
    <t>Coal pile</t>
  </si>
  <si>
    <t>Pellet/ore pile</t>
  </si>
  <si>
    <t>See Stockyards page</t>
  </si>
  <si>
    <t>05/07/13 - Updated Roads, Conveyors and stockpiles on new pages based on 2011 data and factors from reports.</t>
  </si>
  <si>
    <t xml:space="preserve">Currently very few references to conveyor losses from literature search. </t>
  </si>
  <si>
    <t>Ratio against annual throughput for each location?</t>
  </si>
  <si>
    <t>2003 Vrins report suggests a total of 196 t/annum for the site based on 2002 data.</t>
  </si>
  <si>
    <t>Can any data be used from Scunthorpe? CAJ data</t>
  </si>
  <si>
    <t>Other stock yards</t>
  </si>
  <si>
    <t>Slag pits</t>
  </si>
  <si>
    <t>g/t</t>
  </si>
  <si>
    <t>Port Talbot hot mill</t>
  </si>
  <si>
    <t>Port Talbot cold mill</t>
  </si>
  <si>
    <t>Thrybergh (hot mill)</t>
  </si>
  <si>
    <t>Data taken direct from Port Talbot Notes database (except operational factors, which come from files in X:\2011 12 project work\Post group env\93008 AQ theme\02 Inventory\Port Talbot\Background information\Info from Port Talbot\Operational factors from J Heatman)</t>
  </si>
  <si>
    <t>Rarely used, if ever (J. Heatman)</t>
  </si>
  <si>
    <t>Predicted annual mean emission rate (g/s)</t>
  </si>
  <si>
    <r>
      <t>Predicted annual mean emission concentration (mg/m</t>
    </r>
    <r>
      <rPr>
        <b/>
        <vertAlign val="superscript"/>
        <sz val="11"/>
        <rFont val="Arial"/>
        <family val="2"/>
      </rPr>
      <t>3</t>
    </r>
    <r>
      <rPr>
        <b/>
        <sz val="11"/>
        <rFont val="Arial"/>
        <family val="2"/>
      </rPr>
      <t>)</t>
    </r>
  </si>
  <si>
    <t>Predicted annual mass emissions (tonnes/year)</t>
  </si>
  <si>
    <t>Assumed 100% operation</t>
  </si>
  <si>
    <r>
      <t>Based on 2007 TSP monitoring data; Asssumed PM</t>
    </r>
    <r>
      <rPr>
        <vertAlign val="subscript"/>
        <sz val="11"/>
        <rFont val="Arial"/>
        <family val="2"/>
      </rPr>
      <t xml:space="preserve">10 </t>
    </r>
    <r>
      <rPr>
        <sz val="11"/>
        <rFont val="Arial"/>
        <family val="2"/>
      </rPr>
      <t>= TSP; only need to measure PM once a year if COG used</t>
    </r>
  </si>
  <si>
    <r>
      <t>4</t>
    </r>
    <r>
      <rPr>
        <b/>
        <sz val="9"/>
        <rFont val="Arial"/>
        <family val="2"/>
      </rPr>
      <t>Concentration is taken from design specification, not measured; emission rate is for during flaring</t>
    </r>
  </si>
  <si>
    <r>
      <t>Based on 2007 TSP monitoring data for "Service Boiler"; Asssumed PM</t>
    </r>
    <r>
      <rPr>
        <vertAlign val="subscript"/>
        <sz val="11"/>
        <rFont val="Arial"/>
        <family val="2"/>
      </rPr>
      <t>10</t>
    </r>
    <r>
      <rPr>
        <sz val="11"/>
        <rFont val="Arial"/>
        <family val="0"/>
      </rPr>
      <t xml:space="preserve"> = TSP</t>
    </r>
  </si>
  <si>
    <r>
      <t>Based on 2007 TSP monitoring data for "A5 boiler"; Asssumed PM</t>
    </r>
    <r>
      <rPr>
        <vertAlign val="subscript"/>
        <sz val="11"/>
        <rFont val="Arial"/>
        <family val="2"/>
      </rPr>
      <t>10</t>
    </r>
    <r>
      <rPr>
        <sz val="11"/>
        <rFont val="Arial"/>
        <family val="0"/>
      </rPr>
      <t xml:space="preserve"> = TSP</t>
    </r>
  </si>
  <si>
    <t>Boiler 5 (Margam A)</t>
  </si>
  <si>
    <t>Boiler 7 (Margam C)</t>
  </si>
  <si>
    <r>
      <t>Based on 2007 TSP monitoring data for "No. 6 boiler"; Asssumed PM</t>
    </r>
    <r>
      <rPr>
        <vertAlign val="subscript"/>
        <sz val="11"/>
        <rFont val="Arial"/>
        <family val="2"/>
      </rPr>
      <t>10</t>
    </r>
    <r>
      <rPr>
        <sz val="11"/>
        <rFont val="Arial"/>
        <family val="0"/>
      </rPr>
      <t xml:space="preserve"> = TSP</t>
    </r>
  </si>
  <si>
    <r>
      <t>Based on 2007 TSP monitoring data for "No. 7 boiler"; Asssumed PM</t>
    </r>
    <r>
      <rPr>
        <vertAlign val="subscript"/>
        <sz val="11"/>
        <rFont val="Arial"/>
        <family val="2"/>
      </rPr>
      <t>10</t>
    </r>
    <r>
      <rPr>
        <sz val="11"/>
        <rFont val="Arial"/>
        <family val="0"/>
      </rPr>
      <t xml:space="preserve"> = TSP</t>
    </r>
  </si>
  <si>
    <t>A53A</t>
  </si>
  <si>
    <r>
      <t>Based on 2007 TSP monitoring data for "Mitchell boiler"; Asssumed PM</t>
    </r>
    <r>
      <rPr>
        <vertAlign val="subscript"/>
        <sz val="11"/>
        <rFont val="Arial"/>
        <family val="2"/>
      </rPr>
      <t>10</t>
    </r>
    <r>
      <rPr>
        <sz val="11"/>
        <rFont val="Arial"/>
        <family val="0"/>
      </rPr>
      <t xml:space="preserve"> = TSP</t>
    </r>
  </si>
  <si>
    <t>Boiler house A5</t>
  </si>
  <si>
    <r>
      <t>Based on 2007 TSP monitoring data for "No. 3 boiler"; Asssumed PM</t>
    </r>
    <r>
      <rPr>
        <vertAlign val="subscript"/>
        <sz val="11"/>
        <rFont val="Arial"/>
        <family val="2"/>
      </rPr>
      <t>10</t>
    </r>
    <r>
      <rPr>
        <sz val="11"/>
        <rFont val="Arial"/>
        <family val="0"/>
      </rPr>
      <t xml:space="preserve"> = TSP</t>
    </r>
  </si>
  <si>
    <t>0? (in old model)</t>
  </si>
  <si>
    <t>Leakage control factor for lids (4 emission points - JH email 28/09: 4 chargeable lids per oven)</t>
  </si>
  <si>
    <t>No PM emissions from these sources</t>
  </si>
  <si>
    <t>At Scunthorpe, PM10 made up 75% of the PM</t>
  </si>
  <si>
    <t>Using this ratio gives a PM10 emission of</t>
  </si>
  <si>
    <t>Estimated from sampling work reported in ASEMIS report &amp; size fractionation for Scunthorpe sinter cooler</t>
  </si>
  <si>
    <t>Determinand</t>
  </si>
  <si>
    <t>Threshold</t>
  </si>
  <si>
    <r>
      <t xml:space="preserve">Method </t>
    </r>
    <r>
      <rPr>
        <b/>
        <sz val="8"/>
        <rFont val="Arial"/>
        <family val="2"/>
      </rPr>
      <t>(see note 1)</t>
    </r>
  </si>
  <si>
    <t>Emission Source</t>
  </si>
  <si>
    <t>Suggested Generic</t>
  </si>
  <si>
    <t>Other Notes</t>
  </si>
  <si>
    <t>Emission Factor</t>
  </si>
  <si>
    <r>
      <t>PM</t>
    </r>
    <r>
      <rPr>
        <b/>
        <vertAlign val="subscript"/>
        <sz val="8"/>
        <color indexed="10"/>
        <rFont val="Arial"/>
        <family val="2"/>
      </rPr>
      <t>10</t>
    </r>
  </si>
  <si>
    <t>1 t</t>
  </si>
  <si>
    <t>Combustion</t>
  </si>
  <si>
    <t>xPM</t>
  </si>
  <si>
    <t>Assumptions set out in EH memo of 19 February 1999</t>
  </si>
  <si>
    <t>Corus assumptions based upon database of particle size distribution exercise results</t>
  </si>
  <si>
    <t>Coke making charging</t>
  </si>
  <si>
    <t>Assumptions set out in EH memo of 17 March 1999</t>
  </si>
  <si>
    <t>Coke making doors/lids</t>
  </si>
  <si>
    <t>Coke making underfiring</t>
  </si>
  <si>
    <t>Coke making pushing (abated)</t>
  </si>
  <si>
    <t>Coke making pushing (unabated)</t>
  </si>
  <si>
    <t>Coke making quenching</t>
  </si>
  <si>
    <t>Sinter plant main</t>
  </si>
  <si>
    <t>Assumption revised from 0.67 factor to 0.96 factor at STC review on 22 Feb 2007, based on LECES work at Dunkerque and STC work at Scunthorpe with new generation cascade impactors</t>
  </si>
  <si>
    <t>Based on LECES work at Dunkerque and STC work at Scunthorpe with new generation cascade impactors</t>
  </si>
  <si>
    <t>Sinter plant dedust</t>
  </si>
  <si>
    <t>Sinter Transfer</t>
  </si>
  <si>
    <t>Sinter Cooler</t>
  </si>
  <si>
    <t>Sunthorpe</t>
  </si>
  <si>
    <t>1998-2011</t>
  </si>
  <si>
    <t>factors from base year g/ts rolled</t>
  </si>
  <si>
    <t xml:space="preserve">8) Rolling Mills </t>
  </si>
  <si>
    <t>2013 steel rolled</t>
  </si>
  <si>
    <t>8) Mill buildings</t>
  </si>
  <si>
    <t>No harbor at Scunthorpe, IBT permitted separately</t>
  </si>
  <si>
    <t>Diffuse emissions from materials movements and storage</t>
  </si>
  <si>
    <t xml:space="preserve">9) Blast Furnace cast house emissions </t>
  </si>
  <si>
    <t xml:space="preserve">10) BOS roof emissions </t>
  </si>
  <si>
    <t xml:space="preserve">11) Coke oven emissions </t>
  </si>
  <si>
    <t>Total Emissions</t>
  </si>
  <si>
    <t>Break down diffuse into materials handling and process diffuse.</t>
  </si>
  <si>
    <t xml:space="preserve">Coke Charging </t>
  </si>
  <si>
    <t>Particulates</t>
  </si>
  <si>
    <t>g/t coke</t>
  </si>
  <si>
    <t>X</t>
  </si>
  <si>
    <t>t particulates =</t>
  </si>
  <si>
    <t>t</t>
  </si>
  <si>
    <t>CO</t>
  </si>
  <si>
    <t>Coke Pushing</t>
  </si>
  <si>
    <t>Coke underfiring</t>
  </si>
  <si>
    <t>Coke Quenching DLCO</t>
  </si>
  <si>
    <t>Coke Quenching ACO</t>
  </si>
  <si>
    <t xml:space="preserve"> </t>
  </si>
  <si>
    <t>(Not in current PI calulations)</t>
  </si>
  <si>
    <t>Assumptions set out in EH memo of 10 March 1999</t>
  </si>
  <si>
    <t>Blast furnace casthouse fugitive</t>
  </si>
  <si>
    <t>Blast furnace casthouse extraction</t>
  </si>
  <si>
    <t>BOS steelmaking primary</t>
  </si>
  <si>
    <t>BOS steelmaking secondary</t>
  </si>
  <si>
    <t>BOS steelmaking fugitive</t>
  </si>
  <si>
    <t>tpa</t>
  </si>
  <si>
    <t>Other site emissions (windblown etc.)</t>
  </si>
  <si>
    <t>Used volume flux from 09 model; tonnes/annum from NS 10x higher than I used in 08 model?</t>
  </si>
  <si>
    <t>10% (from 2005 emissions inventory)</t>
  </si>
  <si>
    <r>
      <t>BOS convertor flares</t>
    </r>
    <r>
      <rPr>
        <vertAlign val="superscript"/>
        <sz val="11"/>
        <rFont val="Arial"/>
        <family val="2"/>
      </rPr>
      <t>4</t>
    </r>
  </si>
  <si>
    <r>
      <t>1</t>
    </r>
    <r>
      <rPr>
        <b/>
        <sz val="9"/>
        <rFont val="Arial"/>
        <family val="2"/>
      </rPr>
      <t>At 0°C &amp; 101kPa, without correction for moisture or oxygen content except for A60B, A12 and A13, which are for actual conditions</t>
    </r>
  </si>
  <si>
    <r>
      <t>PM release rate and flow rate data from 2005 inventory; assumed PM</t>
    </r>
    <r>
      <rPr>
        <vertAlign val="subscript"/>
        <sz val="11"/>
        <rFont val="Arial"/>
        <family val="2"/>
      </rPr>
      <t>10</t>
    </r>
    <r>
      <rPr>
        <sz val="11"/>
        <rFont val="Arial"/>
        <family val="0"/>
      </rPr>
      <t xml:space="preserve"> = 0.86xTSP; further info. from 2009 model</t>
    </r>
  </si>
  <si>
    <t>7) Sinter transfer and BF stock house roof and screens</t>
  </si>
  <si>
    <r>
      <t>PM release rate and flow rate data from 2005 inventory; assumed PM</t>
    </r>
    <r>
      <rPr>
        <vertAlign val="subscript"/>
        <sz val="11"/>
        <rFont val="Arial"/>
        <family val="2"/>
      </rPr>
      <t>10</t>
    </r>
    <r>
      <rPr>
        <sz val="11"/>
        <rFont val="Arial"/>
        <family val="0"/>
      </rPr>
      <t xml:space="preserve"> = 0.86xTSP</t>
    </r>
  </si>
  <si>
    <t>Not known ( and not needed for model)</t>
  </si>
  <si>
    <t>Based on 2010 measurements (NS) reported in ref. source 153826</t>
  </si>
  <si>
    <t>Operational factor (2010)</t>
  </si>
  <si>
    <t>Operational factor (2005 inventory)</t>
  </si>
  <si>
    <t>Reheat furnaces north</t>
  </si>
  <si>
    <t>Reheat furnaces south</t>
  </si>
  <si>
    <t>No. 6 boiler</t>
  </si>
  <si>
    <t>No. 7 boiler</t>
  </si>
  <si>
    <t>Release Point with MCERTS data</t>
  </si>
  <si>
    <t>Any improvements on site (wheel washes) need to be accounted for through measurement or estimations. None are currently included.</t>
  </si>
  <si>
    <t>The average PM10 content of the measured dust samples was 0.414, so PM10</t>
  </si>
  <si>
    <t>Factor to use (PM10 g/km)</t>
  </si>
  <si>
    <t>Factor to use (TPM g/km)</t>
  </si>
  <si>
    <t>was estimated by multiplying the total dust by this factor. This is then calculated in reverse on these pages for TPM.</t>
  </si>
  <si>
    <r>
      <t xml:space="preserve">Annual </t>
    </r>
    <r>
      <rPr>
        <b/>
        <sz val="11"/>
        <color indexed="10"/>
        <rFont val="Arial"/>
        <family val="2"/>
      </rPr>
      <t xml:space="preserve">TPM </t>
    </r>
    <r>
      <rPr>
        <b/>
        <sz val="11"/>
        <rFont val="Arial"/>
        <family val="2"/>
      </rPr>
      <t>mass 
emission 
estimate</t>
    </r>
  </si>
  <si>
    <r>
      <t xml:space="preserve">Annual </t>
    </r>
    <r>
      <rPr>
        <b/>
        <sz val="11"/>
        <color indexed="10"/>
        <rFont val="Arial"/>
        <family val="2"/>
      </rPr>
      <t>PM10</t>
    </r>
    <r>
      <rPr>
        <b/>
        <sz val="11"/>
        <rFont val="Arial"/>
        <family val="2"/>
      </rPr>
      <t xml:space="preserve"> mass 
emission 
estimate</t>
    </r>
  </si>
  <si>
    <t>See Roads page</t>
  </si>
  <si>
    <t>See Conyeyors page</t>
  </si>
  <si>
    <t>Table 9 from REFsource 149362</t>
  </si>
  <si>
    <t>Original tables</t>
  </si>
  <si>
    <t>If this contribution to total is significant, then this needs further revision.</t>
  </si>
  <si>
    <t>Number of Junction points.</t>
  </si>
  <si>
    <t>Tonnage transferred.</t>
  </si>
  <si>
    <t>2011 data ?? Possible calculation based on Scunthorpe ACO (15t/annum) / transfer points and / tonnage. Then multiply up…</t>
  </si>
  <si>
    <t>Material handling and transfer--all minerals except bauxite (SCC 3-03-024-04)g</t>
  </si>
  <si>
    <t>kg/Mg</t>
  </si>
  <si>
    <t>TPM</t>
  </si>
  <si>
    <t>From table 11-24.1</t>
  </si>
  <si>
    <t>E 172</t>
  </si>
  <si>
    <t>C</t>
  </si>
  <si>
    <t>From table 4-14</t>
  </si>
  <si>
    <t>US EPA Chapter 12.2</t>
  </si>
  <si>
    <t>US EPA Chapter 11.11</t>
  </si>
  <si>
    <t>Emissions By Particle Size Range (Aerodynamic Diameter)</t>
  </si>
  <si>
    <t>g/Mg</t>
  </si>
  <si>
    <t>Table 12.5-4 (Metric And English Units). UNCONTROLLED PARTICULATE EMISSION</t>
  </si>
  <si>
    <t>FACTORS FOR OPEN DUST SOURCES AT IRON AND STEEL MILLSa</t>
  </si>
  <si>
    <t>&lt;30 μm</t>
  </si>
  <si>
    <t>&lt;2.5 μm</t>
  </si>
  <si>
    <t xml:space="preserve">&lt;5 μm </t>
  </si>
  <si>
    <t xml:space="preserve">&lt;10 μm </t>
  </si>
  <si>
    <t xml:space="preserve"> &lt;15 μm </t>
  </si>
  <si>
    <t>US EPA Chapter 12.5</t>
  </si>
  <si>
    <t>Sinter conveyor transfer station</t>
  </si>
  <si>
    <t xml:space="preserve">Coke screening Filterable PM </t>
  </si>
  <si>
    <t>TPM total (t)</t>
  </si>
  <si>
    <t>PM10 total (t)</t>
  </si>
  <si>
    <t>Service boiler</t>
  </si>
  <si>
    <t>No info</t>
  </si>
  <si>
    <t>A5 boiler</t>
  </si>
  <si>
    <t>Boiler 6 (Margam B)</t>
  </si>
  <si>
    <t>Source</t>
  </si>
  <si>
    <t>Worst case not mean</t>
  </si>
  <si>
    <t>274992, 187777</t>
  </si>
  <si>
    <t>275679, 187676</t>
  </si>
  <si>
    <t>275660, 187548</t>
  </si>
  <si>
    <t>274974, 187657</t>
  </si>
  <si>
    <t>More typical</t>
  </si>
  <si>
    <t>Not known - initial modelling will be of mean annual emissions</t>
  </si>
  <si>
    <t>Not known - initial modelling will be of annual average emissions</t>
  </si>
  <si>
    <t>Fluidised bed dryer 3 bag plant stack</t>
  </si>
  <si>
    <t>Total emissions calculated on the basis of tonnes liquid steel produced - insufficient information to be modelled</t>
  </si>
  <si>
    <t>Based on tonnes of steel hot rolled  - are there vents, and if so, where? Insufficient information to be modelled</t>
  </si>
  <si>
    <t>Emissions based on reverse dispersion modelling of Osiris monitoring data - insufficient information to be modelled</t>
  </si>
  <si>
    <t>Other pollutants emitted from source</t>
  </si>
  <si>
    <t>PM only</t>
  </si>
  <si>
    <r>
      <t>PM, NO</t>
    </r>
    <r>
      <rPr>
        <vertAlign val="subscript"/>
        <sz val="11"/>
        <rFont val="Arial"/>
        <family val="2"/>
      </rPr>
      <t>x</t>
    </r>
    <r>
      <rPr>
        <sz val="11"/>
        <rFont val="Arial"/>
        <family val="0"/>
      </rPr>
      <t>, SO</t>
    </r>
    <r>
      <rPr>
        <vertAlign val="subscript"/>
        <sz val="11"/>
        <rFont val="Arial"/>
        <family val="2"/>
      </rPr>
      <t>2</t>
    </r>
    <r>
      <rPr>
        <sz val="11"/>
        <rFont val="Arial"/>
        <family val="0"/>
      </rPr>
      <t>, CO, CO</t>
    </r>
    <r>
      <rPr>
        <vertAlign val="subscript"/>
        <sz val="11"/>
        <rFont val="Arial"/>
        <family val="2"/>
      </rPr>
      <t>2</t>
    </r>
    <r>
      <rPr>
        <sz val="11"/>
        <rFont val="Arial"/>
        <family val="0"/>
      </rPr>
      <t>, dioxins, PAH, PCB, HCl, HF, CH</t>
    </r>
    <r>
      <rPr>
        <vertAlign val="subscript"/>
        <sz val="11"/>
        <rFont val="Arial"/>
        <family val="2"/>
      </rPr>
      <t>4</t>
    </r>
    <r>
      <rPr>
        <sz val="11"/>
        <rFont val="Arial"/>
        <family val="0"/>
      </rPr>
      <t>, VOC, BaP, As, Be, Cd, Cr, Cu, Hg, Mn, Ni, Pb, Sb, Se, V, Zn</t>
    </r>
  </si>
  <si>
    <r>
      <t>CO, CO</t>
    </r>
    <r>
      <rPr>
        <vertAlign val="subscript"/>
        <sz val="11"/>
        <rFont val="Arial"/>
        <family val="2"/>
      </rPr>
      <t>2</t>
    </r>
  </si>
  <si>
    <r>
      <t>PM, CO, CO</t>
    </r>
    <r>
      <rPr>
        <vertAlign val="subscript"/>
        <sz val="11"/>
        <rFont val="Arial"/>
        <family val="2"/>
      </rPr>
      <t>2</t>
    </r>
  </si>
  <si>
    <r>
      <t>PM, NO</t>
    </r>
    <r>
      <rPr>
        <vertAlign val="subscript"/>
        <sz val="11"/>
        <rFont val="Arial"/>
        <family val="2"/>
      </rPr>
      <t>x</t>
    </r>
    <r>
      <rPr>
        <sz val="11"/>
        <rFont val="Arial"/>
        <family val="0"/>
      </rPr>
      <t>, SO</t>
    </r>
    <r>
      <rPr>
        <vertAlign val="subscript"/>
        <sz val="11"/>
        <rFont val="Arial"/>
        <family val="2"/>
      </rPr>
      <t>2</t>
    </r>
    <r>
      <rPr>
        <sz val="11"/>
        <rFont val="Arial"/>
        <family val="0"/>
      </rPr>
      <t>, CO, CO</t>
    </r>
    <r>
      <rPr>
        <vertAlign val="subscript"/>
        <sz val="11"/>
        <rFont val="Arial"/>
        <family val="2"/>
      </rPr>
      <t>2</t>
    </r>
  </si>
  <si>
    <t>Billet internal</t>
  </si>
  <si>
    <t>Landfill</t>
  </si>
  <si>
    <t>Sinter</t>
  </si>
  <si>
    <t>Various</t>
  </si>
  <si>
    <t>SCUNTHORPE SITE ROAD ACTIVITY</t>
  </si>
  <si>
    <t>Product</t>
  </si>
  <si>
    <t>Route</t>
  </si>
  <si>
    <t xml:space="preserve">
Paved (P)
or
unpaved (U)</t>
  </si>
  <si>
    <t>Weekly volume (kt)</t>
  </si>
  <si>
    <t>Vehicle type</t>
  </si>
  <si>
    <t>No. of movements per week</t>
  </si>
  <si>
    <t>Estimated 
round
 trip distance</t>
  </si>
  <si>
    <t>Annual 
distance</t>
  </si>
  <si>
    <t>Emission 
Factor</t>
  </si>
  <si>
    <t>Internal</t>
  </si>
  <si>
    <t>km</t>
  </si>
  <si>
    <r>
      <t>g PM</t>
    </r>
    <r>
      <rPr>
        <b/>
        <vertAlign val="subscript"/>
        <sz val="11"/>
        <rFont val="Arial"/>
        <family val="2"/>
      </rPr>
      <t>10</t>
    </r>
    <r>
      <rPr>
        <b/>
        <sz val="11"/>
        <rFont val="Arial"/>
        <family val="2"/>
      </rPr>
      <t>/km</t>
    </r>
  </si>
  <si>
    <t>tonne/annum</t>
  </si>
  <si>
    <t>BOS Slag</t>
  </si>
  <si>
    <t>BOS to Yarborough</t>
  </si>
  <si>
    <t>U</t>
  </si>
  <si>
    <t>100t</t>
  </si>
  <si>
    <t>BOS Rubbish</t>
  </si>
  <si>
    <t>Granulated slag</t>
  </si>
  <si>
    <t>BF to Appleby Slag</t>
  </si>
  <si>
    <t>1/2 and 1/2</t>
  </si>
  <si>
    <t>80tgvw</t>
  </si>
  <si>
    <t>Foreign Ore</t>
  </si>
  <si>
    <t>Pellet Tower</t>
  </si>
  <si>
    <t>Coal</t>
  </si>
  <si>
    <t>CHP to CCP Stock</t>
  </si>
  <si>
    <t>44tgvw Tipper</t>
  </si>
  <si>
    <t>Limestone</t>
  </si>
  <si>
    <t>OBP bunker</t>
  </si>
  <si>
    <t>Slurry</t>
  </si>
  <si>
    <t>BF &amp; BOS to Crosby</t>
  </si>
  <si>
    <t>30t</t>
  </si>
  <si>
    <t>BBM to stockyards. Stockyards to SRM</t>
  </si>
  <si>
    <t>44tgvw flatbed</t>
  </si>
  <si>
    <t>Limestone to S/Plant</t>
  </si>
  <si>
    <t>SP Roadhopper</t>
  </si>
  <si>
    <t>Demetalling plant to Yarborough</t>
  </si>
  <si>
    <t>90/130t</t>
  </si>
  <si>
    <t>Rods</t>
  </si>
  <si>
    <t>Rod Mill</t>
  </si>
  <si>
    <t>Air cooled slag</t>
  </si>
  <si>
    <t>BF to 95a</t>
  </si>
  <si>
    <t>assumed 80t GVW</t>
  </si>
  <si>
    <t>BOS De-sulph</t>
  </si>
  <si>
    <t>Sections</t>
  </si>
  <si>
    <t>BF stocky'd to 95a stocky'd</t>
  </si>
  <si>
    <t>OPP to B.Fces</t>
  </si>
  <si>
    <t>Coke breeze purchased</t>
  </si>
  <si>
    <t>Brambles stockyard</t>
  </si>
  <si>
    <t>95a stocky'd to Hopper</t>
  </si>
  <si>
    <t>Plate</t>
  </si>
  <si>
    <t>Olivine sand</t>
  </si>
  <si>
    <t>OBP Stockyard</t>
  </si>
  <si>
    <t>Sections internal</t>
  </si>
  <si>
    <t>MSM to CDS and Redbourn</t>
  </si>
  <si>
    <t>Coke Breeze</t>
  </si>
  <si>
    <t>B/F, DLCO,AFCO to OPP Brambles</t>
  </si>
  <si>
    <t>Caparo</t>
  </si>
  <si>
    <t>Bulk Lime</t>
  </si>
  <si>
    <t>BOS</t>
  </si>
  <si>
    <t>B.Fces to OPP</t>
  </si>
  <si>
    <t>Scrap</t>
  </si>
  <si>
    <t>All mills to BOS</t>
  </si>
  <si>
    <t>80t</t>
  </si>
  <si>
    <t>Coke</t>
  </si>
  <si>
    <t>DLCO to PCW</t>
  </si>
  <si>
    <t>Filler Coal</t>
  </si>
  <si>
    <t>DLCO &amp; CHP</t>
  </si>
  <si>
    <t>assumed 44t tipper</t>
  </si>
  <si>
    <t>Plate internal</t>
  </si>
  <si>
    <t>SPM to Redbourn, Bays 3/4 &amp; SBP</t>
  </si>
  <si>
    <t>Tar</t>
  </si>
  <si>
    <t>DLCO &amp; AFCO</t>
  </si>
  <si>
    <t>44tgvw TANKER</t>
  </si>
  <si>
    <t>Coke Nuts</t>
  </si>
  <si>
    <t>B. Fces to OPP</t>
  </si>
  <si>
    <t>Scrap Bales</t>
  </si>
  <si>
    <t>Scrap Bay</t>
  </si>
  <si>
    <t>assumed 44tgvw</t>
  </si>
  <si>
    <t>Olivine</t>
  </si>
  <si>
    <t>Stockpile to Blending Plant bunkers</t>
  </si>
  <si>
    <t>CHP to ACO</t>
  </si>
  <si>
    <t>Billet</t>
  </si>
  <si>
    <t>BBM</t>
  </si>
  <si>
    <t>Kitchings/Hansons Oily Sludge</t>
  </si>
  <si>
    <t>BBM to Crosby</t>
  </si>
  <si>
    <t>Dolomet</t>
  </si>
  <si>
    <t>Sishen</t>
  </si>
  <si>
    <t>Pellet Tower to BOS</t>
  </si>
  <si>
    <t>Crushed Coal</t>
  </si>
  <si>
    <t>CHP to CPP</t>
  </si>
  <si>
    <t>GBL</t>
  </si>
  <si>
    <t xml:space="preserve">OPP </t>
  </si>
  <si>
    <t>Breeze</t>
  </si>
  <si>
    <t>DLCO to OPP</t>
  </si>
  <si>
    <t>Raw Dolomite</t>
  </si>
  <si>
    <t>General waste skips</t>
  </si>
  <si>
    <t xml:space="preserve">Various </t>
  </si>
  <si>
    <t>12t</t>
  </si>
  <si>
    <t>DLCO</t>
  </si>
  <si>
    <t>Bulk Alloys</t>
  </si>
  <si>
    <t>Alloy Stores</t>
  </si>
  <si>
    <t>Bloom</t>
  </si>
  <si>
    <t>Redbourn</t>
  </si>
  <si>
    <t>Wobs</t>
  </si>
  <si>
    <t>BOS mould bay to scrap bay</t>
  </si>
  <si>
    <t>35t</t>
  </si>
  <si>
    <t>Sulphuric Acid etc</t>
  </si>
  <si>
    <t>AFCO</t>
  </si>
  <si>
    <t>Benzole</t>
  </si>
  <si>
    <t>Sulphate of Ammonia</t>
  </si>
  <si>
    <t>Maguires tippers</t>
  </si>
  <si>
    <t>Redbourn lagoons to Crosby</t>
  </si>
  <si>
    <t>RR skips</t>
  </si>
  <si>
    <t>various</t>
  </si>
  <si>
    <t>25t</t>
  </si>
  <si>
    <t>Mill scale</t>
  </si>
  <si>
    <t>OBP R95a stockyard</t>
  </si>
  <si>
    <t>Coke spillage  ( ram track)</t>
  </si>
  <si>
    <t>Flue Dust</t>
  </si>
  <si>
    <t>NPW to R95a</t>
  </si>
  <si>
    <t>Propane, Oxygen etc</t>
  </si>
  <si>
    <t>CO stores</t>
  </si>
  <si>
    <t>Cylinder gases on 44tgvw</t>
  </si>
  <si>
    <t>Slab</t>
  </si>
  <si>
    <t>Gas oil/Derv</t>
  </si>
  <si>
    <t>Traffic, Power Station, Blast Furnaces</t>
  </si>
  <si>
    <t>Lubricants/Oils</t>
  </si>
  <si>
    <t>Test - DP For ANN  CFD</t>
  </si>
  <si>
    <t>Dawes lane to dawes lane (HGVs)</t>
  </si>
  <si>
    <t>Dawes lane to dawes lane (light vehicles</t>
  </si>
  <si>
    <t>cars</t>
  </si>
  <si>
    <t>Tarmac unpaved crossing dawes lane - number of movements a complete guess</t>
  </si>
  <si>
    <t>Tarmac unpaved crossing dawes lane</t>
  </si>
  <si>
    <t>Journey/Vehicle type</t>
  </si>
  <si>
    <t>EPA estimated PM10 emisions (g/km)</t>
  </si>
  <si>
    <t>STC measured PM10 emissions (g/km)</t>
  </si>
  <si>
    <t>Van on slag road (2008)</t>
  </si>
  <si>
    <t>Van on slag road (2009)</t>
  </si>
  <si>
    <t>Heavy tipper on slag road</t>
  </si>
  <si>
    <t>HGV on paved road</t>
  </si>
  <si>
    <t>Van on Paved road</t>
  </si>
  <si>
    <t>230 to 370</t>
  </si>
  <si>
    <t>1000 to 1600</t>
  </si>
  <si>
    <t>340 to 1100</t>
  </si>
  <si>
    <t>3 to 11</t>
  </si>
  <si>
    <t>43 to 455</t>
  </si>
  <si>
    <t>6.2 to 108</t>
  </si>
  <si>
    <t>860 to 1160</t>
  </si>
  <si>
    <t>17 to 67</t>
  </si>
  <si>
    <t>2.2 to 5.8</t>
  </si>
  <si>
    <t>Good</t>
  </si>
  <si>
    <t>Comment on correlation</t>
  </si>
  <si>
    <t>Fair</t>
  </si>
  <si>
    <t>Poor</t>
  </si>
  <si>
    <t>Heavy tipper on Paved road</t>
  </si>
  <si>
    <t>N/A</t>
  </si>
  <si>
    <t>Car on paved road</t>
  </si>
  <si>
    <r>
      <t>PM, NO</t>
    </r>
    <r>
      <rPr>
        <vertAlign val="subscript"/>
        <sz val="11"/>
        <rFont val="Arial"/>
        <family val="2"/>
      </rPr>
      <t>x</t>
    </r>
  </si>
  <si>
    <t>A44</t>
  </si>
  <si>
    <r>
      <t>PM, SO</t>
    </r>
    <r>
      <rPr>
        <vertAlign val="subscript"/>
        <sz val="11"/>
        <rFont val="Arial"/>
        <family val="2"/>
      </rPr>
      <t>2</t>
    </r>
  </si>
  <si>
    <r>
      <t>PM, CO</t>
    </r>
    <r>
      <rPr>
        <vertAlign val="subscript"/>
        <sz val="11"/>
        <rFont val="Arial"/>
        <family val="2"/>
      </rPr>
      <t>2</t>
    </r>
    <r>
      <rPr>
        <sz val="11"/>
        <rFont val="Arial"/>
        <family val="0"/>
      </rPr>
      <t>, BaP, PAH, Cr, Cu, Pb, Mn</t>
    </r>
  </si>
  <si>
    <r>
      <t>PM, CO</t>
    </r>
    <r>
      <rPr>
        <vertAlign val="subscript"/>
        <sz val="11"/>
        <rFont val="Arial"/>
        <family val="2"/>
      </rPr>
      <t>2</t>
    </r>
  </si>
  <si>
    <t>PM and CO</t>
  </si>
  <si>
    <t>PM, VOCs, CO, benzene</t>
  </si>
  <si>
    <r>
      <t>PM, NO</t>
    </r>
    <r>
      <rPr>
        <vertAlign val="subscript"/>
        <sz val="11"/>
        <rFont val="Arial"/>
        <family val="2"/>
      </rPr>
      <t>x</t>
    </r>
    <r>
      <rPr>
        <sz val="11"/>
        <rFont val="Arial"/>
        <family val="2"/>
      </rPr>
      <t>, SO</t>
    </r>
    <r>
      <rPr>
        <vertAlign val="subscript"/>
        <sz val="11"/>
        <rFont val="Arial"/>
        <family val="2"/>
      </rPr>
      <t>2</t>
    </r>
    <r>
      <rPr>
        <sz val="11"/>
        <rFont val="Arial"/>
        <family val="2"/>
      </rPr>
      <t>, CO, CO</t>
    </r>
    <r>
      <rPr>
        <vertAlign val="subscript"/>
        <sz val="11"/>
        <rFont val="Arial"/>
        <family val="2"/>
      </rPr>
      <t>2</t>
    </r>
    <r>
      <rPr>
        <sz val="11"/>
        <rFont val="Arial"/>
        <family val="2"/>
      </rPr>
      <t>, N</t>
    </r>
    <r>
      <rPr>
        <vertAlign val="subscript"/>
        <sz val="11"/>
        <rFont val="Arial"/>
        <family val="2"/>
      </rPr>
      <t>2</t>
    </r>
    <r>
      <rPr>
        <sz val="11"/>
        <rFont val="Arial"/>
        <family val="2"/>
      </rPr>
      <t>O, dioxins, PCB, BaP</t>
    </r>
  </si>
  <si>
    <r>
      <t>NO</t>
    </r>
    <r>
      <rPr>
        <vertAlign val="subscript"/>
        <sz val="11"/>
        <rFont val="Arial"/>
        <family val="2"/>
      </rPr>
      <t>x</t>
    </r>
    <r>
      <rPr>
        <sz val="11"/>
        <rFont val="Arial"/>
        <family val="0"/>
      </rPr>
      <t>, N</t>
    </r>
    <r>
      <rPr>
        <vertAlign val="subscript"/>
        <sz val="11"/>
        <rFont val="Arial"/>
        <family val="2"/>
      </rPr>
      <t>2</t>
    </r>
    <r>
      <rPr>
        <sz val="11"/>
        <rFont val="Arial"/>
        <family val="0"/>
      </rPr>
      <t>O, SO</t>
    </r>
    <r>
      <rPr>
        <vertAlign val="subscript"/>
        <sz val="11"/>
        <rFont val="Arial"/>
        <family val="2"/>
      </rPr>
      <t>2</t>
    </r>
    <r>
      <rPr>
        <sz val="11"/>
        <rFont val="Arial"/>
        <family val="0"/>
      </rPr>
      <t>, CO, NH</t>
    </r>
    <r>
      <rPr>
        <vertAlign val="subscript"/>
        <sz val="11"/>
        <rFont val="Arial"/>
        <family val="2"/>
      </rPr>
      <t>3</t>
    </r>
    <r>
      <rPr>
        <sz val="11"/>
        <rFont val="Arial"/>
        <family val="0"/>
      </rPr>
      <t>, CO</t>
    </r>
    <r>
      <rPr>
        <vertAlign val="subscript"/>
        <sz val="11"/>
        <rFont val="Arial"/>
        <family val="2"/>
      </rPr>
      <t>2</t>
    </r>
  </si>
  <si>
    <r>
      <t>NO</t>
    </r>
    <r>
      <rPr>
        <vertAlign val="subscript"/>
        <sz val="11"/>
        <rFont val="Arial"/>
        <family val="2"/>
      </rPr>
      <t>x</t>
    </r>
    <r>
      <rPr>
        <sz val="11"/>
        <rFont val="Arial"/>
        <family val="0"/>
      </rPr>
      <t>, SO</t>
    </r>
    <r>
      <rPr>
        <vertAlign val="subscript"/>
        <sz val="11"/>
        <rFont val="Arial"/>
        <family val="2"/>
      </rPr>
      <t>2</t>
    </r>
    <r>
      <rPr>
        <sz val="11"/>
        <rFont val="Arial"/>
        <family val="0"/>
      </rPr>
      <t>, CO</t>
    </r>
    <r>
      <rPr>
        <vertAlign val="subscript"/>
        <sz val="11"/>
        <rFont val="Arial"/>
        <family val="2"/>
      </rPr>
      <t>2</t>
    </r>
  </si>
  <si>
    <t>A60 (&amp; A60A)</t>
  </si>
  <si>
    <r>
      <t>PM, CO, NH</t>
    </r>
    <r>
      <rPr>
        <vertAlign val="subscript"/>
        <sz val="11"/>
        <rFont val="Arial"/>
        <family val="2"/>
      </rPr>
      <t>3</t>
    </r>
    <r>
      <rPr>
        <sz val="11"/>
        <rFont val="Arial"/>
        <family val="0"/>
      </rPr>
      <t>, H</t>
    </r>
    <r>
      <rPr>
        <vertAlign val="subscript"/>
        <sz val="11"/>
        <rFont val="Arial"/>
        <family val="2"/>
      </rPr>
      <t>2</t>
    </r>
    <r>
      <rPr>
        <sz val="11"/>
        <rFont val="Arial"/>
        <family val="0"/>
      </rPr>
      <t>S</t>
    </r>
  </si>
  <si>
    <r>
      <t>PM, NO</t>
    </r>
    <r>
      <rPr>
        <vertAlign val="subscript"/>
        <sz val="11"/>
        <rFont val="Arial"/>
        <family val="2"/>
      </rPr>
      <t>x</t>
    </r>
    <r>
      <rPr>
        <sz val="11"/>
        <rFont val="Arial"/>
        <family val="0"/>
      </rPr>
      <t>, SO</t>
    </r>
    <r>
      <rPr>
        <vertAlign val="subscript"/>
        <sz val="11"/>
        <rFont val="Arial"/>
        <family val="2"/>
      </rPr>
      <t>2</t>
    </r>
    <r>
      <rPr>
        <sz val="11"/>
        <rFont val="Arial"/>
        <family val="0"/>
      </rPr>
      <t>, CO, CO</t>
    </r>
    <r>
      <rPr>
        <vertAlign val="subscript"/>
        <sz val="11"/>
        <rFont val="Arial"/>
        <family val="2"/>
      </rPr>
      <t>2</t>
    </r>
  </si>
  <si>
    <r>
      <t>NO</t>
    </r>
    <r>
      <rPr>
        <vertAlign val="subscript"/>
        <sz val="11"/>
        <rFont val="Arial"/>
        <family val="2"/>
      </rPr>
      <t>x</t>
    </r>
    <r>
      <rPr>
        <sz val="11"/>
        <rFont val="Arial"/>
        <family val="0"/>
      </rPr>
      <t>, CO, CO</t>
    </r>
    <r>
      <rPr>
        <vertAlign val="subscript"/>
        <sz val="11"/>
        <rFont val="Arial"/>
        <family val="2"/>
      </rPr>
      <t>2</t>
    </r>
  </si>
  <si>
    <t>Prince Street</t>
  </si>
  <si>
    <r>
      <t>PM, NO</t>
    </r>
    <r>
      <rPr>
        <vertAlign val="subscript"/>
        <sz val="11"/>
        <rFont val="Arial"/>
        <family val="2"/>
      </rPr>
      <t>x</t>
    </r>
    <r>
      <rPr>
        <sz val="11"/>
        <rFont val="Arial"/>
        <family val="0"/>
      </rPr>
      <t>, N</t>
    </r>
    <r>
      <rPr>
        <vertAlign val="subscript"/>
        <sz val="11"/>
        <rFont val="Arial"/>
        <family val="2"/>
      </rPr>
      <t>2</t>
    </r>
    <r>
      <rPr>
        <sz val="11"/>
        <rFont val="Arial"/>
        <family val="0"/>
      </rPr>
      <t>O, SO</t>
    </r>
    <r>
      <rPr>
        <vertAlign val="subscript"/>
        <sz val="11"/>
        <rFont val="Arial"/>
        <family val="2"/>
      </rPr>
      <t>2</t>
    </r>
    <r>
      <rPr>
        <sz val="11"/>
        <rFont val="Arial"/>
        <family val="0"/>
      </rPr>
      <t>, CO, CO</t>
    </r>
    <r>
      <rPr>
        <vertAlign val="subscript"/>
        <sz val="11"/>
        <rFont val="Arial"/>
        <family val="2"/>
      </rPr>
      <t>2</t>
    </r>
    <r>
      <rPr>
        <sz val="11"/>
        <rFont val="Arial"/>
        <family val="0"/>
      </rPr>
      <t>, VOCs</t>
    </r>
  </si>
  <si>
    <r>
      <t>PM, NO</t>
    </r>
    <r>
      <rPr>
        <vertAlign val="subscript"/>
        <sz val="11"/>
        <rFont val="Arial"/>
        <family val="2"/>
      </rPr>
      <t>x</t>
    </r>
    <r>
      <rPr>
        <sz val="11"/>
        <rFont val="Arial"/>
        <family val="0"/>
      </rPr>
      <t xml:space="preserve">, </t>
    </r>
    <r>
      <rPr>
        <sz val="11"/>
        <rFont val="Arial"/>
        <family val="0"/>
      </rPr>
      <t>SO</t>
    </r>
    <r>
      <rPr>
        <vertAlign val="subscript"/>
        <sz val="11"/>
        <rFont val="Arial"/>
        <family val="2"/>
      </rPr>
      <t>2</t>
    </r>
    <r>
      <rPr>
        <sz val="11"/>
        <rFont val="Arial"/>
        <family val="0"/>
      </rPr>
      <t>, CO, CO</t>
    </r>
    <r>
      <rPr>
        <vertAlign val="subscript"/>
        <sz val="11"/>
        <rFont val="Arial"/>
        <family val="2"/>
      </rPr>
      <t>2</t>
    </r>
  </si>
  <si>
    <r>
      <t>NO</t>
    </r>
    <r>
      <rPr>
        <vertAlign val="subscript"/>
        <sz val="11"/>
        <rFont val="Arial"/>
        <family val="2"/>
      </rPr>
      <t>x</t>
    </r>
    <r>
      <rPr>
        <sz val="11"/>
        <rFont val="Arial"/>
        <family val="2"/>
      </rPr>
      <t>, SO</t>
    </r>
    <r>
      <rPr>
        <vertAlign val="subscript"/>
        <sz val="11"/>
        <rFont val="Arial"/>
        <family val="2"/>
      </rPr>
      <t>2</t>
    </r>
    <r>
      <rPr>
        <sz val="11"/>
        <rFont val="Arial"/>
        <family val="2"/>
      </rPr>
      <t>, CO</t>
    </r>
    <r>
      <rPr>
        <vertAlign val="subscript"/>
        <sz val="11"/>
        <rFont val="Arial"/>
        <family val="2"/>
      </rPr>
      <t>2</t>
    </r>
  </si>
  <si>
    <r>
      <t>PM, H</t>
    </r>
    <r>
      <rPr>
        <vertAlign val="subscript"/>
        <sz val="11"/>
        <rFont val="Arial"/>
        <family val="2"/>
      </rPr>
      <t>2</t>
    </r>
    <r>
      <rPr>
        <sz val="11"/>
        <rFont val="Arial"/>
        <family val="0"/>
      </rPr>
      <t>S, SO</t>
    </r>
    <r>
      <rPr>
        <vertAlign val="subscript"/>
        <sz val="11"/>
        <rFont val="Arial"/>
        <family val="2"/>
      </rPr>
      <t>2</t>
    </r>
  </si>
  <si>
    <t>No info.</t>
  </si>
  <si>
    <t>A35/A36 (combined emission)</t>
  </si>
  <si>
    <t>C1 fluidised bed dryers 1,2 &amp; 3</t>
  </si>
  <si>
    <t>Secondary fume extraction stacks</t>
  </si>
  <si>
    <t>A14/A15/A16 (combined emissions)</t>
  </si>
  <si>
    <t>A14/A15/A16</t>
  </si>
  <si>
    <t>A12/A13</t>
  </si>
  <si>
    <t>A34A/A34B</t>
  </si>
  <si>
    <r>
      <t>PM, NO</t>
    </r>
    <r>
      <rPr>
        <vertAlign val="subscript"/>
        <sz val="11"/>
        <rFont val="Arial"/>
        <family val="2"/>
      </rPr>
      <t>x</t>
    </r>
    <r>
      <rPr>
        <sz val="11"/>
        <rFont val="Arial"/>
        <family val="2"/>
      </rPr>
      <t>, SO</t>
    </r>
    <r>
      <rPr>
        <vertAlign val="subscript"/>
        <sz val="11"/>
        <rFont val="Arial"/>
        <family val="2"/>
      </rPr>
      <t>2</t>
    </r>
    <r>
      <rPr>
        <sz val="11"/>
        <rFont val="Arial"/>
        <family val="2"/>
      </rPr>
      <t>, CO, CO</t>
    </r>
    <r>
      <rPr>
        <vertAlign val="subscript"/>
        <sz val="11"/>
        <rFont val="Arial"/>
        <family val="2"/>
      </rPr>
      <t>2</t>
    </r>
  </si>
  <si>
    <t>A34A /34B (combined emissions)</t>
  </si>
  <si>
    <t>Total mills</t>
  </si>
  <si>
    <r>
      <t>1.10 x 10</t>
    </r>
    <r>
      <rPr>
        <vertAlign val="superscript"/>
        <sz val="11"/>
        <rFont val="Arial"/>
        <family val="2"/>
      </rPr>
      <t>-5</t>
    </r>
  </si>
  <si>
    <t>Emission calculated on basis of hot metal production (assumed 100% operation to estimate emission concentration)</t>
  </si>
  <si>
    <t>Emission calculated on basis of liquid steel production (assumed 100% operation to estimate emission concentration)</t>
  </si>
  <si>
    <r>
      <t>Predicted annual mean volume flux (m</t>
    </r>
    <r>
      <rPr>
        <b/>
        <vertAlign val="superscript"/>
        <sz val="11"/>
        <rFont val="Arial"/>
        <family val="2"/>
      </rPr>
      <t>3</t>
    </r>
    <r>
      <rPr>
        <b/>
        <sz val="11"/>
        <rFont val="Arial"/>
        <family val="2"/>
      </rPr>
      <t>/s)*</t>
    </r>
  </si>
  <si>
    <r>
      <t>Volume flux during operation (m</t>
    </r>
    <r>
      <rPr>
        <b/>
        <vertAlign val="superscript"/>
        <sz val="11"/>
        <rFont val="Arial"/>
        <family val="2"/>
      </rPr>
      <t>3</t>
    </r>
    <r>
      <rPr>
        <b/>
        <sz val="11"/>
        <rFont val="Arial"/>
        <family val="2"/>
      </rPr>
      <t>/s)*</t>
    </r>
  </si>
  <si>
    <t>*Flow rates are at 0°C &amp; 101kPa, except for A60B and process diffuse sources, which are for actual conditions</t>
  </si>
  <si>
    <r>
      <t>1</t>
    </r>
    <r>
      <rPr>
        <sz val="9"/>
        <rFont val="Arial"/>
        <family val="2"/>
      </rPr>
      <t>Flow rates are for actual conditions</t>
    </r>
  </si>
  <si>
    <r>
      <t>A54</t>
    </r>
    <r>
      <rPr>
        <vertAlign val="superscript"/>
        <sz val="11"/>
        <rFont val="Arial"/>
        <family val="2"/>
      </rPr>
      <t>2</t>
    </r>
  </si>
  <si>
    <r>
      <t>2</t>
    </r>
    <r>
      <rPr>
        <sz val="9"/>
        <rFont val="Arial"/>
        <family val="2"/>
      </rPr>
      <t>A54 modelled as an area source with an emission rate of 3.3 x 10</t>
    </r>
    <r>
      <rPr>
        <vertAlign val="superscript"/>
        <sz val="9"/>
        <rFont val="Arial"/>
        <family val="2"/>
      </rPr>
      <t>-4</t>
    </r>
    <r>
      <rPr>
        <sz val="9"/>
        <rFont val="Arial"/>
        <family val="2"/>
      </rPr>
      <t xml:space="preserve"> g/m</t>
    </r>
    <r>
      <rPr>
        <vertAlign val="superscript"/>
        <sz val="9"/>
        <rFont val="Arial"/>
        <family val="2"/>
      </rPr>
      <t>2</t>
    </r>
    <r>
      <rPr>
        <sz val="9"/>
        <rFont val="Arial"/>
        <family val="2"/>
      </rPr>
      <t>/s</t>
    </r>
  </si>
  <si>
    <r>
      <t>C1 fluidised bed dryer 3</t>
    </r>
    <r>
      <rPr>
        <vertAlign val="superscript"/>
        <sz val="11"/>
        <rFont val="Arial"/>
        <family val="2"/>
      </rPr>
      <t>3</t>
    </r>
  </si>
  <si>
    <t>26/01/12 - Added combined emissions for the following sources:</t>
  </si>
  <si>
    <t>Margam boilers 6 &amp; 7</t>
  </si>
  <si>
    <t>A52A/A52B (combined emissions)</t>
  </si>
  <si>
    <t>02/02/2012 - changed PM emissions for combustion sources to 2011 figures to point sources raw data</t>
  </si>
  <si>
    <t>19/10/2011  11:10 - 13:00</t>
  </si>
  <si>
    <t>4.6 (+/-1.1)</t>
  </si>
  <si>
    <t xml:space="preserve">13/10/2011  12:20 - 14:20  </t>
  </si>
  <si>
    <t>3.9 (+/-0.6)</t>
  </si>
  <si>
    <t>12/10/2011  10:37 - 11:55</t>
  </si>
  <si>
    <t>8.3 (+/-2.2)</t>
  </si>
  <si>
    <t>22/09/2011  11:27 - 13:35</t>
  </si>
  <si>
    <t>9.4 (+/-2.8)</t>
  </si>
  <si>
    <t>08/12/2011  14:11 - 15:20</t>
  </si>
  <si>
    <t>2.6 (+/-1.3)</t>
  </si>
  <si>
    <t>21/12/2011  10:57 - 12:33</t>
  </si>
  <si>
    <t>6.8 (+/-1.9)</t>
  </si>
  <si>
    <t>02/12/2011 10:33 - 11:35</t>
  </si>
  <si>
    <t>5.4 (+/-0.9)</t>
  </si>
  <si>
    <t>19/12/2011  11:31 - 12:42</t>
  </si>
  <si>
    <t>06/12/2011  13:45 - 14:48</t>
  </si>
  <si>
    <t>06/12/2011  12:07 - 13:09</t>
  </si>
  <si>
    <t>Mean emission rate (g/s)</t>
  </si>
  <si>
    <t>Appendix 1</t>
  </si>
  <si>
    <t>Source number</t>
  </si>
  <si>
    <t>BF 4 (N) casthouse fume extraction</t>
  </si>
  <si>
    <t>BF 4 (S) casthouse fume extraction</t>
  </si>
  <si>
    <t>BF 5 casthouse fume extraction</t>
  </si>
  <si>
    <t>BOS convertor 1 &amp; 2 flares</t>
  </si>
  <si>
    <t>BOS secondary fume extraction (N, S &amp; centre)</t>
  </si>
  <si>
    <t>Margam B Mitchell boiler</t>
  </si>
  <si>
    <t>Reheat furnaces north and south</t>
  </si>
  <si>
    <t>Boilers 6 &amp; 7 (Margam B &amp; C)</t>
  </si>
  <si>
    <t>A52A/A52B</t>
  </si>
  <si>
    <t>Appendix 2</t>
  </si>
  <si>
    <r>
      <t>Factor used to convert TSP to PM</t>
    </r>
    <r>
      <rPr>
        <b/>
        <vertAlign val="subscript"/>
        <sz val="11"/>
        <rFont val="Arial"/>
        <family val="2"/>
      </rPr>
      <t>10</t>
    </r>
    <r>
      <rPr>
        <b/>
        <sz val="11"/>
        <rFont val="Arial"/>
        <family val="2"/>
      </rPr>
      <t xml:space="preserve"> emissions</t>
    </r>
  </si>
  <si>
    <t>Appendix 3</t>
  </si>
  <si>
    <t>Operational factor (%)</t>
  </si>
  <si>
    <t>Check</t>
  </si>
  <si>
    <t>C1 fluidised bed dryer 1</t>
  </si>
  <si>
    <t>C1 fluidised bed dryers 2</t>
  </si>
  <si>
    <t>C1 fluidised bed dryers 3</t>
  </si>
  <si>
    <t>To be completed</t>
  </si>
  <si>
    <t>100 for all</t>
  </si>
  <si>
    <r>
      <t>See note</t>
    </r>
    <r>
      <rPr>
        <vertAlign val="superscript"/>
        <sz val="11"/>
        <rFont val="Arial"/>
        <family val="2"/>
      </rPr>
      <t>2</t>
    </r>
  </si>
  <si>
    <r>
      <t>See note</t>
    </r>
    <r>
      <rPr>
        <vertAlign val="superscript"/>
        <sz val="11"/>
        <rFont val="Arial"/>
        <family val="2"/>
      </rPr>
      <t>3</t>
    </r>
  </si>
  <si>
    <r>
      <t>10</t>
    </r>
    <r>
      <rPr>
        <vertAlign val="superscript"/>
        <sz val="11"/>
        <rFont val="Arial"/>
        <family val="2"/>
      </rPr>
      <t>1</t>
    </r>
  </si>
  <si>
    <r>
      <t>1</t>
    </r>
    <r>
      <rPr>
        <b/>
        <sz val="9"/>
        <rFont val="Arial"/>
        <family val="2"/>
      </rPr>
      <t>Operational factor taken from PPC emissions inventory</t>
    </r>
  </si>
  <si>
    <r>
      <t>2</t>
    </r>
    <r>
      <rPr>
        <b/>
        <sz val="9"/>
        <rFont val="Arial"/>
        <family val="2"/>
      </rPr>
      <t>PM</t>
    </r>
    <r>
      <rPr>
        <b/>
        <vertAlign val="subscript"/>
        <sz val="9"/>
        <rFont val="Arial"/>
        <family val="2"/>
      </rPr>
      <t>10</t>
    </r>
    <r>
      <rPr>
        <b/>
        <sz val="9"/>
        <rFont val="Arial"/>
        <family val="2"/>
      </rPr>
      <t xml:space="preserve"> emission calculated using emissions factor and 2007 coke production</t>
    </r>
  </si>
  <si>
    <r>
      <t>3</t>
    </r>
    <r>
      <rPr>
        <b/>
        <sz val="9"/>
        <rFont val="Arial"/>
        <family val="2"/>
      </rPr>
      <t>PM</t>
    </r>
    <r>
      <rPr>
        <b/>
        <vertAlign val="subscript"/>
        <sz val="9"/>
        <rFont val="Arial"/>
        <family val="2"/>
      </rPr>
      <t>10</t>
    </r>
    <r>
      <rPr>
        <b/>
        <sz val="9"/>
        <rFont val="Arial"/>
        <family val="2"/>
      </rPr>
      <t xml:space="preserve"> emission rate calculated using waste gas flow calculated from gases burnt in 2011</t>
    </r>
  </si>
  <si>
    <t>Blast furnace gas</t>
  </si>
  <si>
    <t>Coke oven gas</t>
  </si>
  <si>
    <t>Natural gas</t>
  </si>
  <si>
    <t>BOS gas</t>
  </si>
  <si>
    <t>Gas consumption in 2011 (GJ)</t>
  </si>
  <si>
    <t>Appendix 6</t>
  </si>
  <si>
    <t>No. 4 blast furnace roof</t>
  </si>
  <si>
    <t>No. 5 blast furnace roof</t>
  </si>
  <si>
    <t>Not known</t>
  </si>
  <si>
    <t>Insufficient information to evaluate</t>
  </si>
  <si>
    <t>Appendix 7</t>
  </si>
  <si>
    <t>Appendix 8</t>
  </si>
  <si>
    <t>Appendix 9</t>
  </si>
  <si>
    <r>
      <t>Emission rate (g/m</t>
    </r>
    <r>
      <rPr>
        <b/>
        <vertAlign val="superscript"/>
        <sz val="11"/>
        <rFont val="Arial"/>
        <family val="2"/>
      </rPr>
      <t>2</t>
    </r>
    <r>
      <rPr>
        <b/>
        <sz val="11"/>
        <rFont val="Arial"/>
        <family val="2"/>
      </rPr>
      <t>/s)</t>
    </r>
  </si>
  <si>
    <t>Materials storage and handling</t>
  </si>
  <si>
    <t>Others</t>
  </si>
  <si>
    <t>Insufficient information to model</t>
  </si>
  <si>
    <t>Iron plating</t>
  </si>
  <si>
    <t>Darlow Lloyds</t>
  </si>
  <si>
    <r>
      <t>Coke quench tower</t>
    </r>
    <r>
      <rPr>
        <vertAlign val="superscript"/>
        <sz val="11"/>
        <rFont val="Arial"/>
        <family val="2"/>
      </rPr>
      <t>2</t>
    </r>
  </si>
  <si>
    <r>
      <t>2</t>
    </r>
    <r>
      <rPr>
        <b/>
        <sz val="9"/>
        <rFont val="Arial"/>
        <family val="2"/>
      </rPr>
      <t>Based on measurements made in 2010[5]</t>
    </r>
  </si>
  <si>
    <r>
      <t>3</t>
    </r>
    <r>
      <rPr>
        <b/>
        <sz val="9"/>
        <rFont val="Arial"/>
        <family val="2"/>
      </rPr>
      <t>Based on 2001 site PPC emissions inventory[2]</t>
    </r>
  </si>
  <si>
    <r>
      <t>Sinter mixing &amp; rolling drum</t>
    </r>
    <r>
      <rPr>
        <vertAlign val="superscript"/>
        <sz val="11"/>
        <rFont val="Arial"/>
        <family val="2"/>
      </rPr>
      <t>3</t>
    </r>
  </si>
  <si>
    <r>
      <t>Blast furnace 4 bell-less top</t>
    </r>
    <r>
      <rPr>
        <vertAlign val="superscript"/>
        <sz val="11"/>
        <rFont val="Arial"/>
        <family val="2"/>
      </rPr>
      <t>3</t>
    </r>
  </si>
  <si>
    <r>
      <t>Blast furnace 5 bell-less top</t>
    </r>
    <r>
      <rPr>
        <vertAlign val="superscript"/>
        <sz val="11"/>
        <rFont val="Arial"/>
        <family val="2"/>
      </rPr>
      <t>3</t>
    </r>
  </si>
  <si>
    <r>
      <t>C1 fluidised bed dryers 1 &amp; 2</t>
    </r>
    <r>
      <rPr>
        <vertAlign val="superscript"/>
        <sz val="11"/>
        <rFont val="Arial"/>
        <family val="2"/>
      </rPr>
      <t>3</t>
    </r>
  </si>
  <si>
    <r>
      <t>BOS RD Degasser</t>
    </r>
    <r>
      <rPr>
        <vertAlign val="superscript"/>
        <sz val="11"/>
        <rFont val="Arial"/>
        <family val="2"/>
      </rPr>
      <t>3</t>
    </r>
  </si>
  <si>
    <r>
      <t>BOS RH-KTB degasser</t>
    </r>
    <r>
      <rPr>
        <vertAlign val="superscript"/>
        <sz val="11"/>
        <rFont val="Arial"/>
        <family val="2"/>
      </rPr>
      <t>3</t>
    </r>
  </si>
  <si>
    <r>
      <t>Waste gas flow rate (m</t>
    </r>
    <r>
      <rPr>
        <b/>
        <vertAlign val="superscript"/>
        <sz val="11"/>
        <rFont val="Arial"/>
        <family val="2"/>
      </rPr>
      <t>3</t>
    </r>
    <r>
      <rPr>
        <b/>
        <sz val="11"/>
        <rFont val="Arial"/>
        <family val="2"/>
      </rPr>
      <t>/s)</t>
    </r>
    <r>
      <rPr>
        <b/>
        <vertAlign val="superscript"/>
        <sz val="11"/>
        <rFont val="Arial"/>
        <family val="2"/>
      </rPr>
      <t>1</t>
    </r>
  </si>
  <si>
    <r>
      <t>Annual mean concentration (mg/m</t>
    </r>
    <r>
      <rPr>
        <b/>
        <vertAlign val="superscript"/>
        <sz val="11"/>
        <rFont val="Arial"/>
        <family val="2"/>
      </rPr>
      <t>3</t>
    </r>
    <r>
      <rPr>
        <b/>
        <sz val="11"/>
        <rFont val="Arial"/>
        <family val="2"/>
      </rPr>
      <t>)</t>
    </r>
    <r>
      <rPr>
        <b/>
        <vertAlign val="superscript"/>
        <sz val="11"/>
        <rFont val="Arial"/>
        <family val="2"/>
      </rPr>
      <t>1</t>
    </r>
  </si>
  <si>
    <t>Annual mean emission rate (g/s)</t>
  </si>
  <si>
    <t>No.</t>
  </si>
  <si>
    <t>Description</t>
  </si>
  <si>
    <t>OS grid Reference</t>
  </si>
  <si>
    <t>X(metres)</t>
  </si>
  <si>
    <t>Y(meters)</t>
  </si>
  <si>
    <t>Defined as an area source</t>
  </si>
  <si>
    <t>Margam Fire station</t>
  </si>
  <si>
    <t>Port Talbot Docks</t>
  </si>
  <si>
    <t>Talbot Road</t>
  </si>
  <si>
    <t>Theodore Road</t>
  </si>
  <si>
    <t>Twll-yn-y-Wal Park</t>
  </si>
  <si>
    <t>Dyffryn School</t>
  </si>
  <si>
    <t>Appendix 12</t>
  </si>
  <si>
    <t>Coke oven pushing - abated (not caught by MS)</t>
  </si>
  <si>
    <t>Coke oven pushing - unabated (not caught by MS)</t>
  </si>
  <si>
    <t>Morfa coke oven batteries (charging, leakage and pushing)</t>
  </si>
  <si>
    <t>Emission rate &gt; 2 x 06 model; flow rate based on measurement of efflux velocity and area of roof vents</t>
  </si>
  <si>
    <t>Nm3/s</t>
  </si>
  <si>
    <r>
      <t>Mean concentration (mg/m</t>
    </r>
    <r>
      <rPr>
        <b/>
        <vertAlign val="superscript"/>
        <sz val="11"/>
        <rFont val="Arial"/>
        <family val="2"/>
      </rPr>
      <t>3</t>
    </r>
    <r>
      <rPr>
        <b/>
        <sz val="11"/>
        <rFont val="Arial"/>
        <family val="2"/>
      </rPr>
      <t>)</t>
    </r>
    <r>
      <rPr>
        <b/>
        <vertAlign val="superscript"/>
        <sz val="11"/>
        <rFont val="Arial"/>
        <family val="2"/>
      </rPr>
      <t>1</t>
    </r>
  </si>
  <si>
    <r>
      <t>Data from 2006 model; assumed PM</t>
    </r>
    <r>
      <rPr>
        <vertAlign val="subscript"/>
        <sz val="11"/>
        <rFont val="Arial"/>
        <family val="2"/>
      </rPr>
      <t>10</t>
    </r>
    <r>
      <rPr>
        <sz val="11"/>
        <rFont val="Arial"/>
        <family val="0"/>
      </rPr>
      <t xml:space="preserve">  = TSP</t>
    </r>
  </si>
  <si>
    <t>2010 operational factor used (7.4%)</t>
  </si>
  <si>
    <t>A37/A38 (combined emission)</t>
  </si>
  <si>
    <t>m3/min</t>
  </si>
  <si>
    <t>m3/s</t>
  </si>
  <si>
    <t>If temperature 100 degrees then flow rate would be:</t>
  </si>
  <si>
    <t>Annual TSP emission is</t>
  </si>
  <si>
    <t>Annual TSP emission</t>
  </si>
  <si>
    <r>
      <t>Concentration of TSP in 2011 (mg/Nm</t>
    </r>
    <r>
      <rPr>
        <vertAlign val="superscript"/>
        <sz val="11"/>
        <rFont val="Arial"/>
        <family val="2"/>
      </rPr>
      <t>3</t>
    </r>
    <r>
      <rPr>
        <sz val="11"/>
        <rFont val="Arial"/>
        <family val="0"/>
      </rPr>
      <t>, dry, actual O</t>
    </r>
    <r>
      <rPr>
        <vertAlign val="subscript"/>
        <sz val="11"/>
        <rFont val="Arial"/>
        <family val="2"/>
      </rPr>
      <t>2</t>
    </r>
    <r>
      <rPr>
        <sz val="11"/>
        <rFont val="Arial"/>
        <family val="0"/>
      </rPr>
      <t>)</t>
    </r>
  </si>
  <si>
    <t>Annual PM10 emission</t>
  </si>
  <si>
    <t>Annual average TSP emission</t>
  </si>
  <si>
    <t>Annual average PM10 emission</t>
  </si>
  <si>
    <t>TSP Emission rate in g/s therefore</t>
  </si>
  <si>
    <t>PM10 emission rate during operation</t>
  </si>
  <si>
    <t>Blast furnace charging emissions</t>
  </si>
  <si>
    <t>Sinter mixing and rolling drum</t>
  </si>
  <si>
    <r>
      <t>98.1</t>
    </r>
    <r>
      <rPr>
        <vertAlign val="superscript"/>
        <sz val="11"/>
        <rFont val="Arial"/>
        <family val="2"/>
      </rPr>
      <t>4</t>
    </r>
  </si>
  <si>
    <r>
      <t>4</t>
    </r>
    <r>
      <rPr>
        <b/>
        <sz val="9"/>
        <rFont val="Arial"/>
        <family val="2"/>
      </rPr>
      <t>Operational factor for the year 2011, judged to be more representative of emissions from these sources</t>
    </r>
  </si>
  <si>
    <r>
      <t>89.4</t>
    </r>
    <r>
      <rPr>
        <vertAlign val="superscript"/>
        <sz val="11"/>
        <rFont val="Arial"/>
        <family val="2"/>
      </rPr>
      <t>4</t>
    </r>
  </si>
  <si>
    <r>
      <t>95.2</t>
    </r>
    <r>
      <rPr>
        <vertAlign val="superscript"/>
        <sz val="11"/>
        <rFont val="Arial"/>
        <family val="2"/>
      </rPr>
      <t>4</t>
    </r>
  </si>
  <si>
    <r>
      <t>43.7</t>
    </r>
    <r>
      <rPr>
        <vertAlign val="superscript"/>
        <sz val="11"/>
        <rFont val="Arial"/>
        <family val="2"/>
      </rPr>
      <t>4</t>
    </r>
  </si>
  <si>
    <r>
      <t>41.3</t>
    </r>
    <r>
      <rPr>
        <vertAlign val="superscript"/>
        <sz val="11"/>
        <rFont val="Arial"/>
        <family val="2"/>
      </rPr>
      <t>4</t>
    </r>
  </si>
  <si>
    <r>
      <t>100</t>
    </r>
    <r>
      <rPr>
        <vertAlign val="superscript"/>
        <sz val="11"/>
        <rFont val="Arial"/>
        <family val="2"/>
      </rPr>
      <t>4</t>
    </r>
  </si>
  <si>
    <r>
      <t>85.4</t>
    </r>
    <r>
      <rPr>
        <vertAlign val="superscript"/>
        <sz val="11"/>
        <rFont val="Arial"/>
        <family val="2"/>
      </rPr>
      <t>4</t>
    </r>
  </si>
  <si>
    <r>
      <t>7.4</t>
    </r>
    <r>
      <rPr>
        <vertAlign val="superscript"/>
        <sz val="11"/>
        <rFont val="Arial"/>
        <family val="2"/>
      </rPr>
      <t>1</t>
    </r>
  </si>
  <si>
    <t>Charging emissions</t>
  </si>
  <si>
    <t>Total battery emissions</t>
  </si>
  <si>
    <t>Pushing emissions (abated)</t>
  </si>
  <si>
    <t>Pushing emissions (unabated)</t>
  </si>
  <si>
    <t>Leakage during carbonisation</t>
  </si>
  <si>
    <r>
      <t>1.40 x 10</t>
    </r>
    <r>
      <rPr>
        <vertAlign val="superscript"/>
        <sz val="11"/>
        <rFont val="Arial"/>
        <family val="2"/>
      </rPr>
      <t>-6</t>
    </r>
  </si>
  <si>
    <r>
      <t>7.0 x 10</t>
    </r>
    <r>
      <rPr>
        <vertAlign val="superscript"/>
        <sz val="11"/>
        <rFont val="Arial"/>
        <family val="2"/>
      </rPr>
      <t>-7</t>
    </r>
  </si>
  <si>
    <t>Location</t>
  </si>
  <si>
    <t>Emission type</t>
  </si>
  <si>
    <t>Stack emission sources</t>
  </si>
  <si>
    <t>BOS RD Degasser</t>
  </si>
  <si>
    <t>BOS RH-KTB degasser</t>
  </si>
  <si>
    <t>Process diffuse emissions sources</t>
  </si>
  <si>
    <t>Coke oven battery</t>
  </si>
  <si>
    <r>
      <t>Temperature (</t>
    </r>
    <r>
      <rPr>
        <b/>
        <sz val="11"/>
        <rFont val="Arial"/>
        <family val="0"/>
      </rPr>
      <t>°</t>
    </r>
    <r>
      <rPr>
        <b/>
        <sz val="11"/>
        <rFont val="Arial"/>
        <family val="2"/>
      </rPr>
      <t>C)</t>
    </r>
  </si>
  <si>
    <t>277068, 185883</t>
  </si>
  <si>
    <t>277086, 185891</t>
  </si>
  <si>
    <t>277147, 185749</t>
  </si>
  <si>
    <t>277128, 185741</t>
  </si>
  <si>
    <t>277073, 185478</t>
  </si>
  <si>
    <t>277428, 185594</t>
  </si>
  <si>
    <t>277353, 184737</t>
  </si>
  <si>
    <t>275767, 188525</t>
  </si>
  <si>
    <t>276499, 188420</t>
  </si>
  <si>
    <t>276402, 187739</t>
  </si>
  <si>
    <t>275665, 187831</t>
  </si>
  <si>
    <t>277688, 184843</t>
  </si>
  <si>
    <t>CAPL Scrubber</t>
  </si>
  <si>
    <r>
      <t>2</t>
    </r>
    <r>
      <rPr>
        <sz val="9"/>
        <rFont val="Arial"/>
        <family val="2"/>
      </rPr>
      <t>Assumed height, diameter and temperature of A39 the same as A37 and A38</t>
    </r>
  </si>
  <si>
    <t>HFO</t>
  </si>
  <si>
    <t>Net calorific value (MJ/Nm³)</t>
  </si>
  <si>
    <t>Mitch</t>
  </si>
  <si>
    <t>6</t>
  </si>
  <si>
    <t>7</t>
  </si>
  <si>
    <t>SB4</t>
  </si>
  <si>
    <t>SB5</t>
  </si>
  <si>
    <t>No.3</t>
  </si>
  <si>
    <t>Reheat furnace B</t>
  </si>
  <si>
    <t>Reheat furnace A</t>
  </si>
  <si>
    <t>MORFA</t>
  </si>
  <si>
    <t>BF No. 5 stoves</t>
  </si>
  <si>
    <t>BF No. 4 stoves</t>
  </si>
  <si>
    <t>GJ</t>
  </si>
  <si>
    <t>COG</t>
  </si>
  <si>
    <t>BFG</t>
  </si>
  <si>
    <t>NATURAL GAS</t>
  </si>
  <si>
    <t>BOS GAS</t>
  </si>
  <si>
    <t>Waste gas</t>
  </si>
  <si>
    <t>Waste gas flow (m³/s)</t>
  </si>
  <si>
    <t>Mean fuel flow (Nm³/h) - gaseous fuels only</t>
  </si>
  <si>
    <t>Temp</t>
  </si>
  <si>
    <t>Stoichiometric</t>
  </si>
  <si>
    <t>(%, dry)</t>
  </si>
  <si>
    <t>(°C)</t>
  </si>
  <si>
    <t>(dry, 0°C)</t>
  </si>
  <si>
    <t>(wet, 0°C)</t>
  </si>
  <si>
    <t>(wet, actual temp)</t>
  </si>
  <si>
    <r>
      <t>O</t>
    </r>
    <r>
      <rPr>
        <vertAlign val="subscript"/>
        <sz val="11"/>
        <rFont val="Arial"/>
        <family val="0"/>
      </rPr>
      <t>2</t>
    </r>
  </si>
  <si>
    <r>
      <t>@ 3% O</t>
    </r>
    <r>
      <rPr>
        <vertAlign val="subscript"/>
        <sz val="11"/>
        <rFont val="Arial"/>
        <family val="0"/>
      </rPr>
      <t>2</t>
    </r>
  </si>
  <si>
    <r>
      <t>@actual O</t>
    </r>
    <r>
      <rPr>
        <vertAlign val="subscript"/>
        <sz val="11"/>
        <rFont val="Arial"/>
        <family val="0"/>
      </rPr>
      <t>2</t>
    </r>
  </si>
  <si>
    <t>QA: This sheet taken from ANH's updated version of Boiler gas usage 2011.XLS</t>
  </si>
  <si>
    <t>TSP emission rate during operation in 2011 (g/s)</t>
  </si>
  <si>
    <t>Annual TSP emission (tonnes/year)</t>
  </si>
  <si>
    <t>Other diffuse emissions sources</t>
  </si>
  <si>
    <t>Vertices for area source where relevant</t>
  </si>
  <si>
    <t>Height of release (m)</t>
  </si>
  <si>
    <t>C1 fluidised bed dryer 3</t>
  </si>
  <si>
    <r>
      <t>A37/A38</t>
    </r>
    <r>
      <rPr>
        <vertAlign val="superscript"/>
        <sz val="11"/>
        <rFont val="Arial"/>
        <family val="2"/>
      </rPr>
      <t>1</t>
    </r>
  </si>
  <si>
    <r>
      <t>A39</t>
    </r>
    <r>
      <rPr>
        <vertAlign val="superscript"/>
        <sz val="11"/>
        <rFont val="Arial"/>
        <family val="2"/>
      </rPr>
      <t>2</t>
    </r>
  </si>
  <si>
    <r>
      <t>A14/A15/A16</t>
    </r>
    <r>
      <rPr>
        <vertAlign val="superscript"/>
        <sz val="11"/>
        <rFont val="Arial"/>
        <family val="2"/>
      </rPr>
      <t>1</t>
    </r>
  </si>
  <si>
    <r>
      <t>A52A/A52B</t>
    </r>
    <r>
      <rPr>
        <vertAlign val="superscript"/>
        <sz val="11"/>
        <rFont val="Arial"/>
        <family val="2"/>
      </rPr>
      <t>1</t>
    </r>
  </si>
  <si>
    <t>Used Port Talbot inventory to create a fugitive dust inventory for Scunthorpe.</t>
  </si>
  <si>
    <t>Where data is not available use 2013 as the base year for production and create factor</t>
  </si>
  <si>
    <t>2004 steel</t>
  </si>
  <si>
    <t>From RDM - may be double counting</t>
  </si>
  <si>
    <t>D. Poole 2009 memo gives two PM concentrations for 'normal operation' of the sinter cooler</t>
  </si>
  <si>
    <t>2009 iron</t>
  </si>
  <si>
    <r>
      <t>1</t>
    </r>
    <r>
      <rPr>
        <sz val="9"/>
        <rFont val="Arial"/>
        <family val="0"/>
      </rPr>
      <t>Diameter is effective diameter calculated from cross sectional area over which emission occurs</t>
    </r>
  </si>
  <si>
    <r>
      <t>A34A/A34B</t>
    </r>
    <r>
      <rPr>
        <vertAlign val="superscript"/>
        <sz val="11"/>
        <rFont val="Arial"/>
        <family val="2"/>
      </rPr>
      <t>1</t>
    </r>
  </si>
  <si>
    <t>No information available</t>
  </si>
  <si>
    <t>Door and top leakage</t>
  </si>
  <si>
    <r>
      <t>Sinter cooler</t>
    </r>
    <r>
      <rPr>
        <vertAlign val="superscript"/>
        <sz val="11"/>
        <rFont val="Arial"/>
        <family val="2"/>
      </rPr>
      <t>1</t>
    </r>
  </si>
  <si>
    <r>
      <t>Coke oven pushing (abated)</t>
    </r>
    <r>
      <rPr>
        <vertAlign val="superscript"/>
        <sz val="11"/>
        <rFont val="Arial"/>
        <family val="2"/>
      </rPr>
      <t>2</t>
    </r>
  </si>
  <si>
    <r>
      <t>Coke oven pushing (unabated)</t>
    </r>
    <r>
      <rPr>
        <vertAlign val="superscript"/>
        <sz val="11"/>
        <rFont val="Arial"/>
        <family val="2"/>
      </rPr>
      <t>2</t>
    </r>
  </si>
  <si>
    <r>
      <t>Not applicable</t>
    </r>
    <r>
      <rPr>
        <vertAlign val="superscript"/>
        <sz val="11"/>
        <rFont val="Arial"/>
        <family val="2"/>
      </rPr>
      <t>3</t>
    </r>
  </si>
  <si>
    <r>
      <t>1</t>
    </r>
    <r>
      <rPr>
        <b/>
        <sz val="9"/>
        <rFont val="Arial"/>
        <family val="2"/>
      </rPr>
      <t>Calculated on the basis of the sinter plant operational factor of 0.85</t>
    </r>
  </si>
  <si>
    <r>
      <t>3</t>
    </r>
    <r>
      <rPr>
        <b/>
        <sz val="9"/>
        <rFont val="Arial"/>
        <family val="2"/>
      </rPr>
      <t>Estimated using door and top leakage factor reports</t>
    </r>
  </si>
  <si>
    <t>2007 production (tonnes)</t>
  </si>
  <si>
    <t>Coke production</t>
  </si>
  <si>
    <t>Hot metal production</t>
  </si>
  <si>
    <t>Liquid steel production</t>
  </si>
  <si>
    <t>Process</t>
  </si>
  <si>
    <t>Activity</t>
  </si>
  <si>
    <t>Scunthorpe</t>
  </si>
  <si>
    <t>Port Talbot</t>
  </si>
  <si>
    <t>Coke ovens</t>
  </si>
  <si>
    <t>Coke production (tonnes/year)</t>
  </si>
  <si>
    <t>??</t>
  </si>
  <si>
    <t>Sinter plant</t>
  </si>
  <si>
    <t>Sinter production (tonnes/year)</t>
  </si>
  <si>
    <t>Annual operating hours</t>
  </si>
  <si>
    <t>Blast Furnaces</t>
  </si>
  <si>
    <t>Hot metal production (tonnes/year)</t>
  </si>
  <si>
    <t>BOS plant</t>
  </si>
  <si>
    <t>Liquid steel production (tonnes/year)</t>
  </si>
  <si>
    <t>Sinter plant building</t>
  </si>
  <si>
    <t>Sinter cooler</t>
  </si>
  <si>
    <t>Emission factor</t>
  </si>
  <si>
    <t>Annual emissions (tonnes)</t>
  </si>
  <si>
    <t>Units</t>
  </si>
  <si>
    <t>?</t>
  </si>
  <si>
    <t>g/tonne coke</t>
  </si>
  <si>
    <t>2011 operational factor used (89.4%)</t>
  </si>
  <si>
    <t>Operational factor (for A8A)</t>
  </si>
  <si>
    <t>Operational factor (for A8B)</t>
  </si>
  <si>
    <t>Blast Furnace 5 Casthouse Fume Extraction Sample Results 2011 (mg/Nm³)</t>
  </si>
  <si>
    <t>Fluidised Bed Dryer Bag Filter Plant Sample Results 2011 (mg/Nm³)</t>
  </si>
  <si>
    <t>2011 operational factor used (43.7%)</t>
  </si>
  <si>
    <t>2011 operational factor used (41.3%)</t>
  </si>
  <si>
    <t>2011 operational factor used (100%)</t>
  </si>
  <si>
    <t>BOS Secondary Fume Extraction Sample Results 2011 (mg/Nm³)</t>
  </si>
  <si>
    <t>2011 operational factor used (85.4%)</t>
  </si>
  <si>
    <r>
      <t>PM release rate and flow rate data from Port Talbot (TG); assumed PM</t>
    </r>
    <r>
      <rPr>
        <vertAlign val="subscript"/>
        <sz val="11"/>
        <rFont val="Arial"/>
        <family val="2"/>
      </rPr>
      <t>10</t>
    </r>
    <r>
      <rPr>
        <sz val="11"/>
        <rFont val="Arial"/>
        <family val="0"/>
      </rPr>
      <t xml:space="preserve"> = 0.1xTSP; further info. from 2009 model</t>
    </r>
  </si>
  <si>
    <t>2011 operational factor used (95.2%)</t>
  </si>
  <si>
    <r>
      <t>PM release rate and flow rate data from Port Talbot (TG); assumed PM</t>
    </r>
    <r>
      <rPr>
        <vertAlign val="subscript"/>
        <sz val="11"/>
        <rFont val="Arial"/>
        <family val="2"/>
      </rPr>
      <t>10</t>
    </r>
    <r>
      <rPr>
        <sz val="11"/>
        <rFont val="Arial"/>
        <family val="0"/>
      </rPr>
      <t xml:space="preserve"> =0.96xTSP; further info. from 2009 model</t>
    </r>
  </si>
  <si>
    <t>g/tonne sinter</t>
  </si>
  <si>
    <t>Emission rate (g/s)</t>
  </si>
  <si>
    <t>Size fraction</t>
  </si>
  <si>
    <t>TSP</t>
  </si>
  <si>
    <t>PM10</t>
  </si>
  <si>
    <t>PM2.5</t>
  </si>
  <si>
    <t>g/tonne iron</t>
  </si>
  <si>
    <t>Roads</t>
  </si>
  <si>
    <t>Paved roads</t>
  </si>
  <si>
    <t>Conveyors</t>
  </si>
  <si>
    <t>Total coke ovens</t>
  </si>
  <si>
    <r>
      <t>PM</t>
    </r>
    <r>
      <rPr>
        <b/>
        <vertAlign val="subscript"/>
        <sz val="11"/>
        <rFont val="Arial"/>
        <family val="2"/>
      </rPr>
      <t>10</t>
    </r>
  </si>
  <si>
    <r>
      <t>PM</t>
    </r>
    <r>
      <rPr>
        <b/>
        <vertAlign val="subscript"/>
        <sz val="11"/>
        <rFont val="Arial"/>
        <family val="2"/>
      </rPr>
      <t>2.5</t>
    </r>
  </si>
  <si>
    <t>Total sinter plant</t>
  </si>
  <si>
    <t>Total blast furnaces</t>
  </si>
  <si>
    <t>Blast furnaces</t>
  </si>
  <si>
    <t>Total BOS plant</t>
  </si>
  <si>
    <t>Power plants</t>
  </si>
  <si>
    <t>Total power plants</t>
  </si>
  <si>
    <t>Source name</t>
  </si>
  <si>
    <t>Source code</t>
  </si>
  <si>
    <t>Sinter plant strand</t>
  </si>
  <si>
    <t>A1</t>
  </si>
  <si>
    <t>Sinter deduster</t>
  </si>
  <si>
    <t>A2</t>
  </si>
  <si>
    <t>Sinter mixing &amp; rolling drum</t>
  </si>
  <si>
    <t>A3</t>
  </si>
  <si>
    <t>Blast furnace 4 bell-less top</t>
  </si>
  <si>
    <t>A4</t>
  </si>
  <si>
    <t>Blast furnace 5 bell-less top</t>
  </si>
  <si>
    <t>A5</t>
  </si>
  <si>
    <t>Blast furnace 4 stoves</t>
  </si>
  <si>
    <t>A6</t>
  </si>
  <si>
    <t>Blast furnace 5 stoves</t>
  </si>
  <si>
    <t>A7</t>
  </si>
  <si>
    <t>BF4 (N) casthouse fume extraction</t>
  </si>
  <si>
    <t>A8A</t>
  </si>
  <si>
    <t>BF4 (S) casthouse fume extraction</t>
  </si>
  <si>
    <t>A8B</t>
  </si>
  <si>
    <t>BF5 C/H fume extraction</t>
  </si>
  <si>
    <t>A9</t>
  </si>
  <si>
    <t>Blast furnace gas flare 1</t>
  </si>
  <si>
    <t>A33</t>
  </si>
  <si>
    <t>Blast furnace 4 bleeder</t>
  </si>
  <si>
    <t>A33A</t>
  </si>
  <si>
    <t>Blast furnace 5 bleeder</t>
  </si>
  <si>
    <t>A33B</t>
  </si>
  <si>
    <t>C1 fluid bed dryers 1 &amp; 2</t>
  </si>
  <si>
    <t>A37, A38</t>
  </si>
  <si>
    <t>Blast furnace gas flare 2</t>
  </si>
  <si>
    <t>A33C</t>
  </si>
  <si>
    <t>Margam B mitchell boiler</t>
  </si>
  <si>
    <t>A53</t>
  </si>
  <si>
    <t>Hot metal pouring fume extraction</t>
  </si>
  <si>
    <t>A10</t>
  </si>
  <si>
    <t>Hot metal pouring fume Ex2</t>
  </si>
  <si>
    <t>A10A</t>
  </si>
  <si>
    <t>Lime plant fume ex</t>
  </si>
  <si>
    <t>A11</t>
  </si>
  <si>
    <t>A12 &amp; A13</t>
  </si>
  <si>
    <t>BOS (N, C &amp; S) secondary fume ext</t>
  </si>
  <si>
    <t>A14, A15, A16</t>
  </si>
  <si>
    <t>BOS RH-KTB Degasser</t>
  </si>
  <si>
    <t>A18</t>
  </si>
  <si>
    <t>BOS RD degasser</t>
  </si>
  <si>
    <t>A17</t>
  </si>
  <si>
    <t>CAS-OB desulph</t>
  </si>
  <si>
    <t>A63</t>
  </si>
  <si>
    <t>A54</t>
  </si>
  <si>
    <t>Morfa main battery underfiring</t>
  </si>
  <si>
    <t>A55</t>
  </si>
  <si>
    <t>Minister stein</t>
  </si>
  <si>
    <t>A56</t>
  </si>
  <si>
    <t>Coke oven gas flare</t>
  </si>
  <si>
    <t>A59</t>
  </si>
  <si>
    <t>Coke quench tower</t>
  </si>
  <si>
    <t>A60</t>
  </si>
  <si>
    <t>Service boilers 4 &amp; 5</t>
  </si>
  <si>
    <t>A50</t>
  </si>
  <si>
    <t>Margam A boiler 5</t>
  </si>
  <si>
    <t>A51</t>
  </si>
  <si>
    <t>Margam C boiler 6</t>
  </si>
  <si>
    <t>A52A</t>
  </si>
  <si>
    <t>Margam C boiler 7</t>
  </si>
  <si>
    <t>A52B</t>
  </si>
  <si>
    <t>No. 3 boiler</t>
  </si>
  <si>
    <t>A62</t>
  </si>
  <si>
    <t>Other combustion sources</t>
  </si>
  <si>
    <t>Reheat furnaces north &amp; south</t>
  </si>
  <si>
    <t>A34A, A34B</t>
  </si>
  <si>
    <t>CAPL furnace</t>
  </si>
  <si>
    <t>A46</t>
  </si>
  <si>
    <t>Other sources</t>
  </si>
  <si>
    <t>CAPL scrubber</t>
  </si>
  <si>
    <t>A47</t>
  </si>
  <si>
    <t>Stretch leveller fume extraction</t>
  </si>
  <si>
    <t>A23</t>
  </si>
  <si>
    <t>A12</t>
  </si>
  <si>
    <t>A13</t>
  </si>
  <si>
    <t>A14</t>
  </si>
  <si>
    <t>A15</t>
  </si>
  <si>
    <t>A16</t>
  </si>
  <si>
    <t>A37</t>
  </si>
  <si>
    <t>A38</t>
  </si>
  <si>
    <t>Total</t>
  </si>
  <si>
    <t>-</t>
  </si>
  <si>
    <t>A39</t>
  </si>
  <si>
    <t>HCl</t>
  </si>
  <si>
    <t>Coke oven charging</t>
  </si>
  <si>
    <t>Coke oven leakage during carbonisation</t>
  </si>
  <si>
    <t>Minister Stein emission in g/tonne coke</t>
  </si>
  <si>
    <t>g/tonne LS</t>
  </si>
  <si>
    <t>Hot mill</t>
  </si>
  <si>
    <t>Cold mill</t>
  </si>
  <si>
    <t>Total mass emissions</t>
  </si>
  <si>
    <t>Road transport</t>
  </si>
  <si>
    <t>Unpaved roads</t>
  </si>
  <si>
    <t>Slag haul road</t>
  </si>
  <si>
    <t>Other unpaved roads</t>
  </si>
  <si>
    <t>Total unpaved roads</t>
  </si>
  <si>
    <t>tonnes/annum</t>
  </si>
  <si>
    <t>Port Talbot/Scunthorpe</t>
  </si>
  <si>
    <t>Stockyards</t>
  </si>
  <si>
    <t>Coal stockyards</t>
  </si>
  <si>
    <t>Ore stockyards</t>
  </si>
  <si>
    <t>Coke quenching</t>
  </si>
  <si>
    <t>Blast furnace casthouse (BF5)</t>
  </si>
  <si>
    <t>Blast furnace casthouse (BF4)</t>
  </si>
  <si>
    <t>2007 Quarter</t>
  </si>
  <si>
    <t>DLCF</t>
  </si>
  <si>
    <t>TLCF</t>
  </si>
  <si>
    <t>Number of coke ovens</t>
  </si>
  <si>
    <t>Leakage control factor for doors (leveller, ram-side and coke side)</t>
  </si>
  <si>
    <t>Mean</t>
  </si>
  <si>
    <t>1-x/12 = 99.29</t>
  </si>
  <si>
    <t>x = (1-0.9929) x 12</t>
  </si>
  <si>
    <t>No. of doors at 1</t>
  </si>
  <si>
    <t>No. of doors at 0</t>
  </si>
  <si>
    <t>No. of lids at 1</t>
  </si>
  <si>
    <t>Blast furnace cast house emissions</t>
  </si>
  <si>
    <t>Trials were undertaken at AME steelworks blast furnace in order to characterise fugitive emissions</t>
  </si>
  <si>
    <t>from the cast house. From the gravimetric analysis similar PM size distribution for the two different</t>
  </si>
  <si>
    <t>positions of sampling (emissions from two different tap holes of the blast furnace) were derived.</t>
  </si>
  <si>
    <t>Particles between 10 and 2.5 Mm diameter make up between 40-50% of the total PM10. Particles</t>
  </si>
  <si>
    <t>between 2.5 and 1 Mm make up about 20-30% and particles under 1 micron have a high range of</t>
  </si>
  <si>
    <t>variation depending on the sampling point from 20 to 34%. Regarding the PAHs, measured with a realtime</t>
  </si>
  <si>
    <t>monitor PAS 2000, average levels under 300 ng/m3 where found in the sampling points in the cast</t>
  </si>
  <si>
    <t>house. However, no uniform values were observed.</t>
  </si>
  <si>
    <t>From ASEMIS Refsource 156779 - 30/03/13</t>
  </si>
  <si>
    <t>Overall it is estimated that fugitive cast</t>
  </si>
  <si>
    <t>house emissions at the site are equivalent to 0.23 g/t of pig iron.</t>
  </si>
  <si>
    <t>metal with an average of 32 g dust/t hot metal</t>
  </si>
  <si>
    <t>In general for abated cast houses the dust emission factors vary between 0.5 and 45 g/t hot</t>
  </si>
  <si>
    <t>g/thm</t>
  </si>
  <si>
    <t>Best Available Techniques (BAT) Reference</t>
  </si>
  <si>
    <t>Document for Iron and Steel Production</t>
  </si>
  <si>
    <t>Chapter 6 - Blast furnace cast house emissions.</t>
  </si>
  <si>
    <t>Flow rate calculation for Port Talbot no 4 Blast furnace</t>
  </si>
  <si>
    <t>This factor of 0.23g/t is very low and lower than the BREF</t>
  </si>
  <si>
    <t>This would indicate fume capture from 400-1500g/thm generation of of &gt;99.9% - do not use.</t>
  </si>
  <si>
    <t>Port Talbot BF4</t>
  </si>
  <si>
    <t>Port Talbot BF5</t>
  </si>
  <si>
    <t>Split</t>
  </si>
  <si>
    <t>Factor</t>
  </si>
  <si>
    <t>BF Cast house</t>
  </si>
  <si>
    <t>Initial data</t>
  </si>
  <si>
    <t>Diffuse emissions from processes and buildings - notr currently in pollution inventory calculations</t>
  </si>
  <si>
    <t>Still require additional factors for some stockayards - coke, Redbourn and other.</t>
  </si>
  <si>
    <t>The Port Talbot version of the inventory was updated after speaking to ANH on 4 August, 2011</t>
  </si>
  <si>
    <t>Use data from base year of report and production to create factors that are updated annually using prodcution figures.</t>
  </si>
  <si>
    <t>No. of lids at 0</t>
  </si>
  <si>
    <t>Grade</t>
  </si>
  <si>
    <t>Doors</t>
  </si>
  <si>
    <t>Lids</t>
  </si>
  <si>
    <t>Weekly mass emission (kg)</t>
  </si>
  <si>
    <t>Grade 1 or higher</t>
  </si>
  <si>
    <t>Door emissions (t/annum)</t>
  </si>
  <si>
    <t>Lid emissions (t/annum)</t>
  </si>
  <si>
    <t>Total emissions (t/annum)</t>
  </si>
  <si>
    <t>n/a</t>
  </si>
  <si>
    <t>LIMIT: 50 mg/Nm³ (as measured)</t>
  </si>
  <si>
    <t>(Minimum 1 hour sample taken quarterly)</t>
  </si>
  <si>
    <t>Q1</t>
  </si>
  <si>
    <t>Q2</t>
  </si>
  <si>
    <t>Q3</t>
  </si>
  <si>
    <t>Q4</t>
  </si>
  <si>
    <t>Sample Date/Time</t>
  </si>
  <si>
    <t>Measured Particulates</t>
  </si>
  <si>
    <t>Measured Flow (Nm3/hr)</t>
  </si>
  <si>
    <t>g/s</t>
  </si>
  <si>
    <t>LIMITS: Lean Gas firing - NOx 1600 mg/Nm³, SO2 250 mg/Nm3 , Particulates 100 mg/Nm³ (all at 3% O2)</t>
  </si>
  <si>
    <t xml:space="preserve"> (Gas minimum 1 hour sample taken half yearly, Particulates minimum 1 hour sample taken annually)</t>
  </si>
  <si>
    <t>HY1</t>
  </si>
  <si>
    <t>HY2</t>
  </si>
  <si>
    <t>Blast furnace 4</t>
  </si>
  <si>
    <t>Blast furnace 5</t>
  </si>
  <si>
    <t>Blast furnace production rates following reline (see GL email on 19/03/12)</t>
  </si>
  <si>
    <t>Current plant configuration</t>
  </si>
  <si>
    <t>Information taken from report SL/ENV/R/S2875/9/97/R</t>
  </si>
  <si>
    <t>Velocity of emission</t>
  </si>
  <si>
    <t>Average velocity from sampling locations (m/s)</t>
  </si>
  <si>
    <t>SW Gable</t>
  </si>
  <si>
    <t>EE Gable</t>
  </si>
  <si>
    <t>SE Gable</t>
  </si>
  <si>
    <t>BF Stack</t>
  </si>
  <si>
    <t>Overall average</t>
  </si>
  <si>
    <t>Area of apertures in roof</t>
  </si>
  <si>
    <t>From roof</t>
  </si>
  <si>
    <t>Current peak extraction rate</t>
  </si>
  <si>
    <t>Total flow rate from casthouse</t>
  </si>
  <si>
    <t>Post rebuild</t>
  </si>
  <si>
    <t>Capacity post rebuild for 2 taphole operation (peak?)</t>
  </si>
  <si>
    <t>Estimated flow rate from roof (assuming same amount of waste gases as before reline - just that more is extracted)</t>
  </si>
  <si>
    <t>Use of this flow rate with the reduced roof apertures will lead to a emission velocity of:</t>
  </si>
  <si>
    <t>m/s</t>
  </si>
  <si>
    <t>This is not reasonable</t>
  </si>
  <si>
    <t>It would be more reasonable to assume the same total flow rate, and the same velocity (i.e. 2.74 m/s)</t>
  </si>
  <si>
    <t>So, I now need to calculate what area of roof vents would give the same velocity as before the reline</t>
  </si>
  <si>
    <t>So:</t>
  </si>
  <si>
    <t>Belt Weigher 727 Total Tonnage per shift</t>
  </si>
  <si>
    <t>Belt Weigher 735 Total Tonnage per shift</t>
  </si>
  <si>
    <t>Belt Weigher 716 Total Tonage per shift</t>
  </si>
  <si>
    <t>Belt Weigher 711 Total Tonage per shift</t>
  </si>
  <si>
    <t>Annual</t>
  </si>
  <si>
    <t>IH_BW727TOTAL</t>
  </si>
  <si>
    <t>IH_BW735TOTAL</t>
  </si>
  <si>
    <t>IH_BW716TOTAL</t>
  </si>
  <si>
    <t>IH_BW711TOTAL</t>
  </si>
  <si>
    <t>Belt Weigher 740</t>
  </si>
  <si>
    <t>Belt Weigher 745 Week Total</t>
  </si>
  <si>
    <t xml:space="preserve">TOTAL </t>
  </si>
  <si>
    <t>Total loss (g)</t>
  </si>
  <si>
    <t>TPM g/t conveyor loss.</t>
  </si>
  <si>
    <t>g/s loss</t>
  </si>
  <si>
    <t>Conveyor</t>
  </si>
  <si>
    <t>Additional options for future calculations</t>
  </si>
  <si>
    <t>Total loss</t>
  </si>
  <si>
    <t>And the diameter is therefore:</t>
  </si>
  <si>
    <t>m</t>
  </si>
  <si>
    <r>
      <t>Area (m</t>
    </r>
    <r>
      <rPr>
        <vertAlign val="superscript"/>
        <sz val="11"/>
        <rFont val="Arial"/>
        <family val="2"/>
      </rPr>
      <t>2</t>
    </r>
    <r>
      <rPr>
        <sz val="11"/>
        <rFont val="Arial"/>
        <family val="0"/>
      </rPr>
      <t>)</t>
    </r>
  </si>
  <si>
    <r>
      <t>Flow rate (m</t>
    </r>
    <r>
      <rPr>
        <b/>
        <i/>
        <vertAlign val="superscript"/>
        <sz val="11"/>
        <rFont val="Arial"/>
        <family val="2"/>
      </rPr>
      <t>3</t>
    </r>
    <r>
      <rPr>
        <b/>
        <i/>
        <sz val="11"/>
        <rFont val="Arial"/>
        <family val="2"/>
      </rPr>
      <t>/s)</t>
    </r>
  </si>
  <si>
    <r>
      <t>m</t>
    </r>
    <r>
      <rPr>
        <b/>
        <vertAlign val="superscript"/>
        <sz val="11"/>
        <color indexed="10"/>
        <rFont val="Arial"/>
        <family val="2"/>
      </rPr>
      <t>3</t>
    </r>
    <r>
      <rPr>
        <b/>
        <sz val="11"/>
        <color indexed="10"/>
        <rFont val="Arial"/>
        <family val="2"/>
      </rPr>
      <t>/s</t>
    </r>
  </si>
  <si>
    <r>
      <t>m</t>
    </r>
    <r>
      <rPr>
        <b/>
        <vertAlign val="superscript"/>
        <sz val="11"/>
        <color indexed="12"/>
        <rFont val="Arial"/>
        <family val="2"/>
      </rPr>
      <t>3</t>
    </r>
    <r>
      <rPr>
        <b/>
        <sz val="11"/>
        <color indexed="12"/>
        <rFont val="Arial"/>
        <family val="2"/>
      </rPr>
      <t>/s</t>
    </r>
  </si>
  <si>
    <r>
      <t>m</t>
    </r>
    <r>
      <rPr>
        <b/>
        <vertAlign val="superscript"/>
        <sz val="11"/>
        <rFont val="Arial"/>
        <family val="2"/>
      </rPr>
      <t>3</t>
    </r>
    <r>
      <rPr>
        <b/>
        <sz val="11"/>
        <rFont val="Arial"/>
        <family val="2"/>
      </rPr>
      <t>/s</t>
    </r>
  </si>
  <si>
    <r>
      <t>m</t>
    </r>
    <r>
      <rPr>
        <vertAlign val="superscript"/>
        <sz val="11"/>
        <rFont val="Arial"/>
        <family val="2"/>
      </rPr>
      <t>2</t>
    </r>
  </si>
  <si>
    <t>Measured NOx</t>
  </si>
  <si>
    <t>Measured SO2</t>
  </si>
  <si>
    <t>Measured CO</t>
  </si>
  <si>
    <t>O2 (%)</t>
  </si>
  <si>
    <t>NOx @ 3% O2</t>
  </si>
  <si>
    <t>SO2 @ 3% O2</t>
  </si>
  <si>
    <t>Rich or lean gas firing</t>
  </si>
  <si>
    <t xml:space="preserve">Measured Particulate </t>
  </si>
  <si>
    <t>Particulate @ 3% O2</t>
  </si>
  <si>
    <r>
      <t>Mean % PM</t>
    </r>
    <r>
      <rPr>
        <b/>
        <vertAlign val="subscript"/>
        <sz val="11"/>
        <rFont val="Arial"/>
        <family val="2"/>
      </rPr>
      <t>10</t>
    </r>
  </si>
  <si>
    <r>
      <t>Mean % PM</t>
    </r>
    <r>
      <rPr>
        <b/>
        <vertAlign val="subscript"/>
        <sz val="11"/>
        <rFont val="Arial"/>
        <family val="2"/>
      </rPr>
      <t>2.5</t>
    </r>
  </si>
  <si>
    <t>Annual release (tonnes)</t>
  </si>
  <si>
    <t>Particulate concentration (mg/Nm3)</t>
  </si>
  <si>
    <t>Annual emission (tonnes)</t>
  </si>
  <si>
    <t>Total other combustion sources</t>
  </si>
  <si>
    <t>Total other sources</t>
  </si>
  <si>
    <t>Total Port Talbot Works</t>
  </si>
  <si>
    <t>LIMITS: NOx 275 mg/Nm³, SO2 300 mg/Nm3 , Particulates 115 mg/Nm3, Dioxins 2 ng/Nm3 (all as measured)</t>
  </si>
  <si>
    <t>Monitor Average</t>
  </si>
  <si>
    <t>A35/A36 (from 2001 emissions inventory - combination of the two stacks)</t>
  </si>
  <si>
    <t>A37/A38 (from 2001 emissions inventory for each dryer)</t>
  </si>
  <si>
    <t>Operational factor of 38% from 2001 inventory</t>
  </si>
  <si>
    <t>According to 2001 emissions inventory, not measured and no significant emission during normal operation from A42, A43 and A44</t>
  </si>
  <si>
    <t>According to 2001 PM emissions inventory, not measured &amp; no significant emission during normal production</t>
  </si>
  <si>
    <r>
      <t>Based on 2011 TSP monitoring data; Asssumed PM</t>
    </r>
    <r>
      <rPr>
        <vertAlign val="subscript"/>
        <sz val="11"/>
        <rFont val="Arial"/>
        <family val="2"/>
      </rPr>
      <t xml:space="preserve">10 </t>
    </r>
    <r>
      <rPr>
        <sz val="11"/>
        <rFont val="Arial"/>
        <family val="2"/>
      </rPr>
      <t>= 0.95xTSP</t>
    </r>
  </si>
  <si>
    <t>According to 2001 emissions inventory, operational factor of 0 so no emission; this emission point has been out of use for a number of years</t>
  </si>
  <si>
    <t>According to 2001 emissions inventory, no significant emission during normal operation</t>
  </si>
  <si>
    <t>Based on PI emission factor for unabated pushing emissions and unavailability of Minister Stein</t>
  </si>
  <si>
    <t>Emission estimated on the basis of the door and top leakage control factors; also includes charging an pushing emissions (abated and unabated)</t>
  </si>
  <si>
    <t>Not in 2001 emissions inventory; no data available</t>
  </si>
  <si>
    <r>
      <t>According to 2001 emissions inventory, no PM</t>
    </r>
    <r>
      <rPr>
        <vertAlign val="subscript"/>
        <sz val="11"/>
        <rFont val="Arial"/>
        <family val="2"/>
      </rPr>
      <t>10</t>
    </r>
    <r>
      <rPr>
        <sz val="11"/>
        <rFont val="Arial"/>
        <family val="0"/>
      </rPr>
      <t xml:space="preserve"> emissions</t>
    </r>
  </si>
  <si>
    <t>According to 2001 emissions inventory, use of these furnaces has been permanently discontinued, so they are not relevant to site operations</t>
  </si>
  <si>
    <t>According to 2001 emissions inventory, A30 now operational but at low fuel flows so emissions are minor and would have negligible effect</t>
  </si>
  <si>
    <t>According to 2001 emissions inventory, not measured</t>
  </si>
  <si>
    <t>According to 2001 emissions inventory, hydrogen emissions only</t>
  </si>
  <si>
    <t xml:space="preserve">Typed in manually from paper printouts </t>
  </si>
  <si>
    <t>Dioxins (ng/Nm3)</t>
  </si>
  <si>
    <t xml:space="preserve">PAH's (ug/Nm3) as B[a]P </t>
  </si>
  <si>
    <t>VOC's</t>
  </si>
  <si>
    <t xml:space="preserve">Lead </t>
  </si>
  <si>
    <t xml:space="preserve">HF </t>
  </si>
  <si>
    <t>mg/Nm3</t>
  </si>
  <si>
    <t>No data for Q3</t>
  </si>
  <si>
    <t>LIMIT: Particulates 100 mg/Nm³</t>
  </si>
  <si>
    <t>(Minimum 1 hour sample taken half yearly)</t>
  </si>
  <si>
    <t>LIMITS: NOx 145 mg/Nm³, SO2 370 mg/Nm3 , Particulates 50 mg/Nm3 (all at 3% O2)</t>
  </si>
  <si>
    <t>(Gas minimum 1 hour sample taken quarterly, Particulates minimum 1 hour sample taken annually)</t>
  </si>
  <si>
    <t>Particulates @ 3% O2</t>
  </si>
  <si>
    <t>Factor to convert from mg/hr to g/s</t>
  </si>
  <si>
    <t>Factor to convert from g/s to tonnes/annum</t>
  </si>
  <si>
    <t>Emission rate (tonnes/annum)</t>
  </si>
  <si>
    <t>LIMITS: NOx 105 mg/Nm³, SO2 260 mg/Nm3 , Particulates 50 mg/Nm3 (all at 3% O2)</t>
  </si>
  <si>
    <r>
      <t>Mean concentration TSP (mg/Nm</t>
    </r>
    <r>
      <rPr>
        <b/>
        <vertAlign val="superscript"/>
        <sz val="11"/>
        <rFont val="Arial"/>
        <family val="2"/>
      </rPr>
      <t>3</t>
    </r>
    <r>
      <rPr>
        <b/>
        <sz val="11"/>
        <rFont val="Arial"/>
        <family val="2"/>
      </rPr>
      <t>)</t>
    </r>
    <r>
      <rPr>
        <b/>
        <vertAlign val="superscript"/>
        <sz val="11"/>
        <rFont val="Arial"/>
        <family val="2"/>
      </rPr>
      <t>1</t>
    </r>
  </si>
  <si>
    <r>
      <t>1</t>
    </r>
    <r>
      <rPr>
        <b/>
        <sz val="9"/>
        <rFont val="Arial"/>
        <family val="2"/>
      </rPr>
      <t>Concentrations are quoted in dry gas at 0°C, without correction for oxygen content</t>
    </r>
  </si>
  <si>
    <t>LIMIT: Particulates 25 mg/Nm³ (as measured)</t>
  </si>
  <si>
    <t>(Minimum 1 hour sample taken annually)</t>
  </si>
  <si>
    <t>North Plant (A8A)</t>
  </si>
  <si>
    <t>South Plant (A8B)</t>
  </si>
  <si>
    <t>Mean PM concentration (mg/Nm3)</t>
  </si>
  <si>
    <t xml:space="preserve">A39 only: NOx 115 mg/Nm³, SO2 260 mg/Nm3 </t>
  </si>
  <si>
    <t>Appendix 4</t>
  </si>
  <si>
    <t>Appendix 5 (copied from file X:\2011 12 project work\Post group env\93008 AQ theme\02 Inventory\Port Talbot\Background information\Boiler gas usage 2011.XLS)</t>
  </si>
  <si>
    <r>
      <t>2</t>
    </r>
    <r>
      <rPr>
        <b/>
        <sz val="9"/>
        <rFont val="Arial"/>
        <family val="2"/>
      </rPr>
      <t>Calculated on the basis of an operational factor (i.e. availability) of 0.981 for the Minister Stein in 2011</t>
    </r>
  </si>
  <si>
    <t>No longer operational</t>
  </si>
  <si>
    <t>North Plant (A38)</t>
  </si>
  <si>
    <t>South Plant (A37)</t>
  </si>
  <si>
    <t>New Plant (A39)</t>
  </si>
  <si>
    <t>Fluid bed - new plant</t>
  </si>
  <si>
    <t>LIMIT: Particulates 50 mg/Nm³ (as measured)</t>
  </si>
  <si>
    <t>Plant 1 (A10)</t>
  </si>
  <si>
    <t>Plant 2 (A10A)</t>
  </si>
  <si>
    <t>North Plant 1 (A14)</t>
  </si>
  <si>
    <t>Centre Plant (A15)</t>
  </si>
  <si>
    <t>South Plant (A16)</t>
  </si>
  <si>
    <t>A35</t>
  </si>
  <si>
    <t>A58</t>
  </si>
  <si>
    <t>Info. from Jason Heatman on 29 July, 2011</t>
  </si>
  <si>
    <t>Operational factor</t>
  </si>
  <si>
    <t>(need to also include operational factor)</t>
  </si>
  <si>
    <t>Rich Gas firing - NOx 4000 mg/Nm³, SO2 1000 mg/Nm3 , Particulates 100 mg/Nm³ (all at 3% O2)</t>
  </si>
  <si>
    <t>LIMITS: NOx 1800 mg/Nm³@  3%O2, SO2 800 mg/Nm3 @  3%O2</t>
  </si>
  <si>
    <t>Date</t>
  </si>
  <si>
    <t>Measured Particulate *</t>
  </si>
  <si>
    <t>* Only required (annually) if Coke Oven Gas is fired.</t>
  </si>
  <si>
    <t>A34A</t>
  </si>
  <si>
    <t>A34A?</t>
  </si>
  <si>
    <t>LIMITS: NOx 1800 mg/Nm³@  3%O2,  SO2 800 mg/Nm3 @  3%O2</t>
  </si>
  <si>
    <t xml:space="preserve">Q1 </t>
  </si>
  <si>
    <t>A34B</t>
  </si>
  <si>
    <t>A34B?</t>
  </si>
  <si>
    <t>LIMITS: NOx 300 mg/Nm³@  3%O2, SO2 800 mg/Nm3 @  3%O2, Particulates 50 mg/Nm3 (all at 3% O2)</t>
  </si>
  <si>
    <t>LIMITS: NOx 300  mg/Nm³@  3%O2, SO2  800 mg/Nm3 @  3%O2, Particulates 50 mg/Nm3 (all at 3% O2)</t>
  </si>
  <si>
    <t>30/03/2011  11:25 - 12:30</t>
  </si>
  <si>
    <t>30/06/2011  10:43 - 12:25</t>
  </si>
  <si>
    <t>23/08/2011  11:36 - 13:36</t>
  </si>
  <si>
    <t>06/10/2011  09:34 - 11:30</t>
  </si>
  <si>
    <t>Minister Stein Sample Results 2011 (mg/Nm³)  (used 2011 as more representative; agreed with GL on 15th March, 2012)</t>
  </si>
  <si>
    <t>Operational factor of 98.1% (2011)</t>
  </si>
  <si>
    <t>(This is for A56, A10)</t>
  </si>
  <si>
    <t>18/08/2011  10:32 - 13:02</t>
  </si>
  <si>
    <t>Plant 1 (A10) (2011 data as the more conservative number following GL's approach - need to check whether to use CEMS number)</t>
  </si>
  <si>
    <t>LIMITS: NOx300  mg/Nm³@  3%O2, SO2  800 mg/Nm3 @  3%O2, Particulates 50 mg/Nm3 (all at 3% O2)</t>
  </si>
  <si>
    <t>No.4 HY1</t>
  </si>
  <si>
    <t>No.5 HY1</t>
  </si>
  <si>
    <t>No.4 HY2</t>
  </si>
  <si>
    <t>No.5 HY2</t>
  </si>
  <si>
    <t>LIMITS: NOx 200 mg/Nm³@  3%O2, SO2 200 mg/Nm3 @  3%O2, Particulates 10 mg/Nm3 (all at 3% O2)</t>
  </si>
  <si>
    <t>Annual Sample</t>
  </si>
  <si>
    <t>PT 2010</t>
  </si>
  <si>
    <t>BOS primary vessel 1 gas cleaning</t>
  </si>
  <si>
    <t>BOS primary vessel 2 gas cleaning</t>
  </si>
  <si>
    <t>na</t>
  </si>
  <si>
    <t>Mills</t>
  </si>
  <si>
    <t>g/t conveyor loss.</t>
  </si>
  <si>
    <t>Estimate from 15t/annum from ACO conveyors in 2009 for 537,213t, then estimated for Scunthorpe site as 100t/annum.</t>
  </si>
  <si>
    <t>Calculate based on ACO tonnage losses against transfer tonnes in 2009. Then multiply as a per tonne factor with Port Talbot 'Conveyor tonnages' spreadsheet.</t>
  </si>
  <si>
    <t>06/01/2011  11:50 - 12:50</t>
  </si>
  <si>
    <t>(N) 06/07/2011 10:47 - 11:47 &amp;  (S) 07/07/2011 10:27 - 11:27</t>
  </si>
  <si>
    <t xml:space="preserve">(N) 775.9, (S) 868.6, (Combined) 820.2 </t>
  </si>
  <si>
    <t>(N) 96.7, (S) 92.5, (Combined) 94.7</t>
  </si>
  <si>
    <t>(N) -, (S ) -, (Combined) - 4138.0</t>
  </si>
  <si>
    <t>(N) 6.3, (S) 6.1, (Combined) 6.2</t>
  </si>
  <si>
    <t>1195.9 (+/-42.0)</t>
  </si>
  <si>
    <t>(N) 948.5, (S) 1045.4, (Combined) 994.8 (+/-28.8)</t>
  </si>
  <si>
    <t>1.0 (+/- 3.3)</t>
  </si>
  <si>
    <t>(N) 120.3, (S) 111.8, (Combined) 116.2 (+/-4.4)</t>
  </si>
  <si>
    <t xml:space="preserve"> - </t>
  </si>
  <si>
    <t>(N) Lean, (S) Lean, (Combined) Lean</t>
  </si>
  <si>
    <t>06/07/2011 11:14 - 14:00 &amp;  07/07/2011 10:40 - 12:58</t>
  </si>
  <si>
    <t>6.3 (+/-1.0)</t>
  </si>
  <si>
    <t>135,183 (Combined)</t>
  </si>
  <si>
    <t>24/01/2011  11:16 - 12:16</t>
  </si>
  <si>
    <t>31/05/2011  10:47 - 11:47</t>
  </si>
  <si>
    <t>16/08/2011  11:10 - 12:10</t>
  </si>
  <si>
    <t>01/11/2011  09:17 - 10:17</t>
  </si>
  <si>
    <t>274.0 (+/- 7.5)</t>
  </si>
  <si>
    <t>265.2 (+/-10.2)</t>
  </si>
  <si>
    <t>291.6 (+/-5.1)</t>
  </si>
  <si>
    <t>247.8 (+/-6.2)</t>
  </si>
  <si>
    <t>342.5 (+/- 16.2)</t>
  </si>
  <si>
    <t>413.0 (+/-22.2)</t>
  </si>
  <si>
    <t>443.6 (+/-33.5)</t>
  </si>
  <si>
    <t>305.0 (+/-23.3)</t>
  </si>
  <si>
    <t>15/02/2011  09:14 - 11:05</t>
  </si>
  <si>
    <t>29/06/2011  10:04 - 11:41</t>
  </si>
  <si>
    <t>16/08/2011  11:00 - 12:42</t>
  </si>
  <si>
    <t>01/11/2011  09:55 - 11:51</t>
  </si>
  <si>
    <t>30/03/2011  13:20 - 15:27</t>
  </si>
  <si>
    <t>02/06/2011  10:55 - 11:55  45.3 mg/Nm3 (+/-8.9)</t>
  </si>
  <si>
    <t>30/09/2011  11:44 - 12:44  56.9 mg/Nm3 (+/-11.2)</t>
  </si>
  <si>
    <t>02/06/2011  11:50 - 12:20  1.2 mg/Nm3</t>
  </si>
  <si>
    <t>01/11/2011  10:41 - 11:11  1.1 mg/Nm3</t>
  </si>
  <si>
    <t>Continue with Vrins data</t>
  </si>
  <si>
    <t>ANH data</t>
  </si>
  <si>
    <t xml:space="preserve">Needs reviewing </t>
  </si>
  <si>
    <t>DP data</t>
  </si>
  <si>
    <t>Port Talbot Conveyor loss calculation for 2011 based on the main 6 conveyors and ACO g/t loss - Release point as the main transfer building. (see conveyor loss.xls)</t>
  </si>
  <si>
    <t>From RDM - may be double counting?</t>
  </si>
  <si>
    <t>Sinter transfer</t>
  </si>
  <si>
    <t>BF stock houses</t>
  </si>
  <si>
    <t>Scunthorpe mills</t>
  </si>
  <si>
    <t>Steel rolled (tonnes/year)</t>
  </si>
  <si>
    <t>factors from base year g/tls</t>
  </si>
  <si>
    <t>Annual plant outputs</t>
  </si>
  <si>
    <t>SRSM</t>
  </si>
  <si>
    <t>Rod mill</t>
  </si>
  <si>
    <t>Plate mill</t>
  </si>
  <si>
    <t>TSP g/tls</t>
  </si>
  <si>
    <t>PM10 g/tls</t>
  </si>
  <si>
    <t>PM2.5 g/tls</t>
  </si>
  <si>
    <t>2013 steel production</t>
  </si>
  <si>
    <t>2013 iron production</t>
  </si>
  <si>
    <t>tonnes steel + iron</t>
  </si>
  <si>
    <t>Total from slag processing</t>
  </si>
  <si>
    <t>28/06/2011  10:50 - 12:05  2.9mg/Nm3 (+/-0.3)</t>
  </si>
  <si>
    <t>02/11/2011  10:58 - 11:58  0.7mg/Nm3 (+/-0.1)</t>
  </si>
  <si>
    <t>28/06/2011  13:55 - 14:55  0.6mg/Nm3 (+/-0.1)</t>
  </si>
  <si>
    <t>02/11/2011  12:07 - 13:07  0.7mg/Nm3 (+/-0.1)</t>
  </si>
  <si>
    <t>Data in black is for 2007 and blue for 2011. [except for combustion sources for which the data is from 2011 (ignore this and see new combustion sources sheet)]</t>
  </si>
  <si>
    <t>03/06/2011  09:55 - 12:32</t>
  </si>
  <si>
    <t>08/11/2011  10:40 - 14:03</t>
  </si>
  <si>
    <t xml:space="preserve">22/03/2011 10:26 - 11:26  </t>
  </si>
  <si>
    <t>18/05/2011  13:22 - 14:22</t>
  </si>
  <si>
    <t>31/08/2011  10:14 - 11:14</t>
  </si>
  <si>
    <t>19/10/2011  09:58 - 10:58</t>
  </si>
  <si>
    <t>42.9 (+/- 0.6)</t>
  </si>
  <si>
    <t>21.0 (+/-0.8)</t>
  </si>
  <si>
    <t>59.6 (+/-0.8)</t>
  </si>
  <si>
    <t>13.5 (+/-0.2)</t>
  </si>
  <si>
    <t>32.6 (+/-1.1)</t>
  </si>
  <si>
    <t>34.7 (+/-1.6)</t>
  </si>
  <si>
    <t>55.7 (+/-1.9)</t>
  </si>
  <si>
    <t>42.7 (+/-5.4)</t>
  </si>
  <si>
    <t>See Below *</t>
  </si>
  <si>
    <t>19/05/2011  11:05 - 12:05</t>
  </si>
  <si>
    <t>13/09/2011  11:01 - 12:01</t>
  </si>
  <si>
    <t>41.1 (+/-0.7)</t>
  </si>
  <si>
    <t>79.5 (+/-1.5)</t>
  </si>
  <si>
    <t>24.6 (+/-2.6)</t>
  </si>
  <si>
    <t>71.5(+/-2.4)</t>
  </si>
  <si>
    <t>86.5 (+/-4.3)</t>
  </si>
  <si>
    <t>0.0 (+/-0.0)</t>
  </si>
  <si>
    <t>29/11/2011  11:20 - 13:27</t>
  </si>
  <si>
    <t>3.1 (fault)</t>
  </si>
  <si>
    <t>09/03/2011  10:30 - 12:47</t>
  </si>
  <si>
    <t>2.6 (Calibration factor changed)</t>
  </si>
  <si>
    <t>10/11/2011  10:20 - 12:49</t>
  </si>
  <si>
    <t>0.8 (Calibration factor changed)</t>
  </si>
  <si>
    <t>23/11/2011  12:32 - 14:42</t>
  </si>
  <si>
    <t>19/09/2011  11:13 - 13:22</t>
  </si>
  <si>
    <t>08/06/2011  10:56 - 11:56</t>
  </si>
  <si>
    <t>25/11/2011 11:16 - 12:16</t>
  </si>
  <si>
    <t>15.1 (+/-0.2)</t>
  </si>
  <si>
    <t>45.9 (+/- 0.6)</t>
  </si>
  <si>
    <t>0.0 (+/- 0.0)</t>
  </si>
  <si>
    <t>101.2 (+/-1.8)</t>
  </si>
  <si>
    <t>69.1 (+/- 1.1)</t>
  </si>
  <si>
    <t>08/06/2011  11:20 - 13:10</t>
  </si>
  <si>
    <t>Blast Furnace 4 Casthouse Fume Extraction Sample Results 2011 for A8A and 2011 for A8B (mg/Nm³)</t>
  </si>
  <si>
    <t>Blast Furnace 5 Stoves Sample Results 2011 (mg/Nm³)</t>
  </si>
  <si>
    <t>Blast Furnace 4 Stoves Sample Results 2011 (mg/Nm³)</t>
  </si>
  <si>
    <t>Sinter Plant Deduster Sample Results 2011 (mg/Nm³)</t>
  </si>
  <si>
    <t>Sinter Plant Main Stack Sample Results 2011 (mg/Nm³)</t>
  </si>
  <si>
    <t xml:space="preserve">Morfa Main Stack Sample Results 2011 (mg/Nm³) </t>
  </si>
  <si>
    <t>15/11/2011  10:45 - 15:00</t>
  </si>
  <si>
    <t>0.9 (Reading off Pi)</t>
  </si>
  <si>
    <t>BOS Hot Metal/Desulph Fume Extraction Sample Results 2011 (mg/Nm³)</t>
  </si>
  <si>
    <t>04/05/2011  10:05 - 12:28</t>
  </si>
  <si>
    <t>2.5 (Reading taken off the monitor)</t>
  </si>
  <si>
    <t>14/04/2011  10:16 - 11:47</t>
  </si>
  <si>
    <t>1.5 (Readimg taken off monitor)</t>
  </si>
  <si>
    <t>12/04/2011  11:20 - 13:54</t>
  </si>
  <si>
    <t>19.7 (Reading taken off monitor)</t>
  </si>
  <si>
    <t>21/07/2011  10:21 - 12:16</t>
  </si>
  <si>
    <t>Lime Plant Fume Extraction Sample Results 2011 (mg/Nm³)</t>
  </si>
  <si>
    <t>RD Degasser (A18) Sample Results 2011 (mg/Nm³)</t>
  </si>
  <si>
    <t>Rescheduled Re-Test 18/01/2012 10:40 - 11:40</t>
  </si>
  <si>
    <t>02/03/2011  14:30 - 15:30</t>
  </si>
  <si>
    <t>22/06/2011  10:09 - 11:09</t>
  </si>
  <si>
    <t>31/08/2011  12:04 - 13:04</t>
  </si>
  <si>
    <t>12/10/2011 10:04 - 11:04</t>
  </si>
  <si>
    <t>448.8 (+/- 17.1)</t>
  </si>
  <si>
    <t>795.8 (+/-65.9)</t>
  </si>
  <si>
    <t>614.8 (+/-11.5)</t>
  </si>
  <si>
    <t>427.6 (+/-28.4)</t>
  </si>
  <si>
    <t>141.1 (+/- 5.5)</t>
  </si>
  <si>
    <t>324.4 (+/-12.3)</t>
  </si>
  <si>
    <t>319.8 (+/-13.8)</t>
  </si>
  <si>
    <t>5.6 (+/-9.0)</t>
  </si>
  <si>
    <t>02/03/2011  10:40 - 11:40</t>
  </si>
  <si>
    <t>18/05/2011  09:21 - 10:21</t>
  </si>
  <si>
    <t>20/07/2011  11:14 - 12:14</t>
  </si>
  <si>
    <t>11/10/2011 10:26 - 11:26</t>
  </si>
  <si>
    <t>450.4 (+/-16.4)</t>
  </si>
  <si>
    <t>441.4 (+/-27.3)</t>
  </si>
  <si>
    <t>797.2 (+/-21.0)</t>
  </si>
  <si>
    <t>1187.8 (+/-99.2)</t>
  </si>
  <si>
    <t>220.8 (+/-8.9)</t>
  </si>
  <si>
    <t>227.2 (+/-16.0)</t>
  </si>
  <si>
    <t>770.1 (+/-44.4)</t>
  </si>
  <si>
    <t>204.6 (+/-26.0)</t>
  </si>
  <si>
    <t>RHF A Sample Results 2011 (mg/Nm³)</t>
  </si>
  <si>
    <t>RHF B Sample Results 2011 (mg/Nm³)</t>
  </si>
  <si>
    <t>16/03/2011  14:16 - 15:16</t>
  </si>
  <si>
    <t>14/06/2011  13:30 - 14:30</t>
  </si>
  <si>
    <t>01/09/2011  10:38 - 11:38</t>
  </si>
  <si>
    <t>08/12/2011 13:56 - 14:56</t>
  </si>
  <si>
    <t>44.5 (+/- 0.8)</t>
  </si>
  <si>
    <t>27.1 (+/-0.4)</t>
  </si>
  <si>
    <t>18.8 (+/-0.3)</t>
  </si>
  <si>
    <t>23.5 (+/-0.3)</t>
  </si>
  <si>
    <t>98.4 (+/- 3.8)</t>
  </si>
  <si>
    <t>64.4 (+/-2.4)</t>
  </si>
  <si>
    <t>33.5 (+/- 1.3)</t>
  </si>
  <si>
    <t>33.3 (+/-6.1)</t>
  </si>
  <si>
    <t xml:space="preserve"> (Monitor 5.9)</t>
  </si>
  <si>
    <t xml:space="preserve"> A5 Boiler Sample Results 2011 (mg/Nm³)</t>
  </si>
  <si>
    <t>16/03/2011  10:27 - 11:27</t>
  </si>
  <si>
    <t>22/06/2011  11:34 - 12:34</t>
  </si>
  <si>
    <t>16/09/2011  10:47 - 11:47</t>
  </si>
  <si>
    <t>21/12/2011  10:34 - 11:32</t>
  </si>
  <si>
    <t>39.5 (+/- 0.7)</t>
  </si>
  <si>
    <t>26.5 (+/-0.4)</t>
  </si>
  <si>
    <t>29.8 (+/-0.5)</t>
  </si>
  <si>
    <t>28.3 (+/-0.7)</t>
  </si>
  <si>
    <t>52.7 (+/- 2.0)</t>
  </si>
  <si>
    <t>84.7 (+/-3.2)</t>
  </si>
  <si>
    <t>61.3 (+/-10.5)</t>
  </si>
  <si>
    <t>91.5 (+/-21.4)</t>
  </si>
  <si>
    <t xml:space="preserve"> (Monitor 16.0)</t>
  </si>
  <si>
    <t xml:space="preserve"> (Combined)</t>
  </si>
  <si>
    <t xml:space="preserve"> Mitchell Boiler Sample Results 2011 (mg/Nm³)</t>
  </si>
  <si>
    <t>17/05/2011  09:46 - 10:56</t>
  </si>
  <si>
    <t>197.5 (+/- 4.6)</t>
  </si>
  <si>
    <t>31.9 (+/-1.2)</t>
  </si>
  <si>
    <t>476.3 (+/- 24.9)</t>
  </si>
  <si>
    <t>114.6 (+/-6.5)</t>
  </si>
  <si>
    <t>3.3 (Monitor 0.9)</t>
  </si>
  <si>
    <t>Service Boiler Sample Results 2011 (mg/Nm³)</t>
  </si>
  <si>
    <t>19/12/2011  11:42 - 12:42</t>
  </si>
  <si>
    <t>13.2 (+/-0.3)</t>
  </si>
  <si>
    <t>43.3 (+/-5.2)</t>
  </si>
  <si>
    <t>2.3 (+/-1.0)</t>
  </si>
  <si>
    <t xml:space="preserve"> (Monitor 0.1)</t>
  </si>
  <si>
    <t xml:space="preserve"> No.3 Boiler Sample Results 2011 (mg/Nm³)</t>
  </si>
  <si>
    <t>06/12/2011 12:50 - 13:50</t>
  </si>
  <si>
    <t>51.7 (+/-0.9)</t>
  </si>
  <si>
    <t>88.4 (+/-7.2)</t>
  </si>
  <si>
    <t>4.1 (+/-0.7)</t>
  </si>
  <si>
    <t xml:space="preserve"> (Monitor 0.8)</t>
  </si>
  <si>
    <t xml:space="preserve"> No.6 Boiler Sample Results 2011 (mg/Nm³)</t>
  </si>
  <si>
    <t>06/12/2011  11:22 - 12:15</t>
  </si>
  <si>
    <t>50.9 (+/-0.8)</t>
  </si>
  <si>
    <t>116.6 (+/-8.8)</t>
  </si>
  <si>
    <t>3.0 (+/-0.8)</t>
  </si>
  <si>
    <t xml:space="preserve"> (Monitor 1.8)</t>
  </si>
  <si>
    <t xml:space="preserve"> No.7 Boiler Sample Results 2011 (mg/Nm³)</t>
  </si>
  <si>
    <t>PT- PI- Figures we have reported or based calcs. on for 2011 Pollution Inventory.</t>
  </si>
  <si>
    <t>STC- Figures from Jenny's report.</t>
  </si>
  <si>
    <t>Operational Availability (%)</t>
  </si>
  <si>
    <t>STC</t>
  </si>
  <si>
    <t>PT- PI</t>
  </si>
  <si>
    <t>This table is taken from the file:</t>
  </si>
  <si>
    <t>STC PM10.xls</t>
  </si>
  <si>
    <t>(Provided by Port Talbot)</t>
  </si>
  <si>
    <t>In the folder:</t>
  </si>
  <si>
    <t>X:\2012 13 project work\93008 AQ theme\02 Inventory\Port Talbot\Total site PM10 model\Phase 1\Background information\Info from Port Talbot\Site EI sense check</t>
  </si>
  <si>
    <t>*</t>
  </si>
  <si>
    <t>74 (?)</t>
  </si>
  <si>
    <t>**</t>
  </si>
  <si>
    <t xml:space="preserve">*calcs. used CEM annual mean conc. </t>
  </si>
  <si>
    <t xml:space="preserve">**We report nothing on this emission point. </t>
  </si>
  <si>
    <t>Sinter plant main stack</t>
  </si>
  <si>
    <t>Sinter plant deduster stack</t>
  </si>
  <si>
    <t>Mixing and rolling drum stack</t>
  </si>
  <si>
    <t>For item 1, the dust collection system tonnages have been reviewed against calculated roof emissions based on roof emission research work carried out in 2005.</t>
  </si>
  <si>
    <t>A roof sampling exercise in 2006 concluded that the BOS plant emitted from the roof 140g of dust per tonne of liquid steel produced. Liquid steel production in 2011 was 3,396,364tonnes and this equates to an annual release of 475t/annum.</t>
  </si>
  <si>
    <t xml:space="preserve">During 2011, 43,356 tonnes of dust was collected in the wet scrubbing system with 9,974 tonnes collected in additional abatement and 174 tonnes released through the permitted stacks. This equates to 53,980 tonnes removed from the BOS building. </t>
  </si>
  <si>
    <t>The capture efficiency of the BOS plant dedusting at Port Talbot is 99.1% and is in compliance with BAT 78.</t>
  </si>
  <si>
    <t xml:space="preserve">There are two key objectives from the BAT conclusions:- </t>
  </si>
  <si>
    <t xml:space="preserve">1.The overall average dust collection efficiency associated with BAT is &gt;90 % as a daily mean value. </t>
  </si>
  <si>
    <t>2.The BAT-associated emission level for dust, as a daily mean value, for all dedusted off-gases is  &lt;1 – 15 mg/Nm3 in the case of bag filters.</t>
  </si>
  <si>
    <t>BOS BAT review in 2013 using existing data for Scunthorpe (05/09/13)</t>
  </si>
  <si>
    <t>g/tls</t>
  </si>
  <si>
    <t>Roof emissions</t>
  </si>
  <si>
    <t>Port Talbot.</t>
  </si>
  <si>
    <t>For item 1, the dust collection system tonnages have been reviewed against calculated roof emissions based on roof emission research work carried out in 2000.</t>
  </si>
  <si>
    <t>Report SUENV/TN/F7262/1/00/D concluded that the BOS plant emitted from the roof 60g of dust per tonne of liquid steel produced. Liquid steel production in 2011 was 3,718,824 tonnes and this equates to an annual release of 223t/annum.</t>
  </si>
  <si>
    <t xml:space="preserve">During 2011, 68,655 tonnes of dust collected in the wet scrubbing system with 3101 tonnes collected in bag filters and 176 tonnes released through the permitted stacks. This equates to 71,932 tonnes removed from the BOS building. </t>
  </si>
  <si>
    <t>The capture efficiency of the BOS plant dedusting at Port Talbot is 99.7% and is in compliance with BAT 78.</t>
  </si>
  <si>
    <t>Roof emissions g/tls</t>
  </si>
  <si>
    <t>Harbor</t>
  </si>
  <si>
    <t>Rolling mills</t>
  </si>
  <si>
    <t>BOS roof</t>
  </si>
  <si>
    <t>Coke Ovens</t>
  </si>
  <si>
    <t xml:space="preserve">The Scunthorpe pollution inventory spreadsheet was reviewed and these calculations cover the missing diffuse data. </t>
  </si>
  <si>
    <t>% split</t>
  </si>
  <si>
    <t>g/t coke factors</t>
  </si>
  <si>
    <t>Coke oven factors based on Port Talbot 2007 data - needs further refining but similar release rates to those in use at Scunthorpe before 2007</t>
  </si>
  <si>
    <t>2013 coke</t>
  </si>
  <si>
    <t>Port Talbot Morfa</t>
  </si>
  <si>
    <t>Scunthorpe DLCO+ACO</t>
  </si>
  <si>
    <t>Blast furnace 4 hot blast stoves stack</t>
  </si>
  <si>
    <t>Blast furnace 5 hot blast stoves stack</t>
  </si>
  <si>
    <t>BF4 casthouse fume extraction North</t>
  </si>
  <si>
    <t>BF4 casthouse fume extraction South</t>
  </si>
  <si>
    <t>Iron desuphurisation/hot metal pouring fume extraction plant stack</t>
  </si>
  <si>
    <t>RD degasser stack</t>
  </si>
  <si>
    <t>KTB degasser stack</t>
  </si>
  <si>
    <t>Stretch leveller fume extraction stack</t>
  </si>
  <si>
    <t>Fluidised bed dryer 1 bag filter plant stack</t>
  </si>
  <si>
    <t>Fluidised bed dryer 2 bag filter plant stack</t>
  </si>
  <si>
    <t>Service boilers 4&amp;5 stack</t>
  </si>
  <si>
    <t>Boiler 5 (Margam A) stack</t>
  </si>
  <si>
    <t>Mitchell boiler (Margam B ) stack</t>
  </si>
  <si>
    <t>Morfa main stack</t>
  </si>
  <si>
    <t>Ministerstein (3 flues)</t>
  </si>
  <si>
    <t>Quench tower</t>
  </si>
  <si>
    <t>Boiler 3</t>
  </si>
  <si>
    <t>BOS converter 1+2 primary gas cleaning stack</t>
  </si>
  <si>
    <t>Boiler 6 (Margam) stack</t>
  </si>
  <si>
    <t>Reheat furnace duct</t>
  </si>
  <si>
    <t>Fluidised bed dryer new bag filter plant stack</t>
  </si>
  <si>
    <t>Point sources</t>
  </si>
  <si>
    <t>% of total</t>
  </si>
  <si>
    <t>Process diffuse</t>
  </si>
  <si>
    <t>Other diffuse</t>
  </si>
  <si>
    <t>%</t>
  </si>
  <si>
    <t>Harbour</t>
  </si>
  <si>
    <t>Slag handling</t>
  </si>
  <si>
    <t>Ironmaking</t>
  </si>
  <si>
    <t>Materials storage and transport</t>
  </si>
  <si>
    <t>Ratio</t>
  </si>
  <si>
    <t>Harsco</t>
  </si>
  <si>
    <t>Total slag processing</t>
  </si>
  <si>
    <t>Slag processsing</t>
  </si>
  <si>
    <t>Iron ore (tonnes/year)</t>
  </si>
  <si>
    <t>Coal (tonnes/year)</t>
  </si>
  <si>
    <t>Coke (tonnes/year)</t>
  </si>
  <si>
    <t>Materials through dock</t>
  </si>
  <si>
    <t>1) Roads</t>
  </si>
  <si>
    <t>2) Conveyors</t>
  </si>
  <si>
    <t>3) Stockyards</t>
  </si>
  <si>
    <t>4) BOS slag handling</t>
  </si>
  <si>
    <t>5) Harbour</t>
  </si>
  <si>
    <t>PM10 = 1xTSP</t>
  </si>
  <si>
    <t>Factors from 2007 PI emission factors</t>
  </si>
  <si>
    <t>Included in point sources</t>
  </si>
  <si>
    <t>&gt;pm10</t>
  </si>
  <si>
    <t>g/tonne steel hot rolled</t>
  </si>
  <si>
    <t>g/tonne steel cold rolled</t>
  </si>
  <si>
    <t>Assumed 25% of the coarse dust reaches the boundary (ANH report p.10 assumed 50%)</t>
  </si>
  <si>
    <t>Steel hot rolled (tonnes/year)</t>
  </si>
  <si>
    <t>Steel cold rolled (tonnes/year)</t>
  </si>
  <si>
    <t>mg/m3</t>
  </si>
  <si>
    <t>Bruijn report gives design rate for fans and leakage</t>
  </si>
  <si>
    <t>There are 5 fans with a design rate of 6000 Nm3/min</t>
  </si>
  <si>
    <t>Leakage is at 50 % to 70-80 %</t>
  </si>
  <si>
    <t>ANH said to assume 60 % leakage</t>
  </si>
  <si>
    <t xml:space="preserve">Total flow rate is then </t>
  </si>
  <si>
    <t>Nm3/min</t>
  </si>
  <si>
    <t>Average</t>
  </si>
  <si>
    <t>Emission rate in g/s is therefore</t>
  </si>
  <si>
    <t>tonnes</t>
  </si>
  <si>
    <t>Corr to NTP</t>
  </si>
  <si>
    <t>!!!!!!!!!!</t>
  </si>
  <si>
    <t>of TSP</t>
  </si>
  <si>
    <t>But don't know what temperature to use</t>
  </si>
  <si>
    <t>Unloader 3</t>
  </si>
  <si>
    <t>Unloader 4</t>
  </si>
  <si>
    <t>Unloader 5</t>
  </si>
  <si>
    <t>Conveyor 801</t>
  </si>
  <si>
    <t>Conveyor 802</t>
  </si>
  <si>
    <t>Conveyor 803</t>
  </si>
  <si>
    <t>Conveyor 804</t>
  </si>
  <si>
    <t>Conveyor 806</t>
  </si>
  <si>
    <t>Conveyor 808</t>
  </si>
  <si>
    <t>Rubble ore stockyard</t>
  </si>
  <si>
    <t>Reference</t>
  </si>
  <si>
    <t>A57</t>
  </si>
  <si>
    <t>Number of observations in a year - doors</t>
  </si>
  <si>
    <t>Number of observations in a year - lids</t>
  </si>
  <si>
    <t>Cambrian stone (Tarmac at Scun)</t>
  </si>
  <si>
    <t>Coke oven pushing (not caught by MS)</t>
  </si>
  <si>
    <t>All conveyors</t>
  </si>
  <si>
    <t>14/03/2012 - updated stack emissions to take account of information from Port Talbot sense check of my inventory</t>
  </si>
  <si>
    <t>Sinter production</t>
  </si>
  <si>
    <t>Steelmaking</t>
  </si>
  <si>
    <t>Slag processing</t>
  </si>
  <si>
    <t>PM2.5:PM10</t>
  </si>
  <si>
    <t>And to take account of further information from Jason Heatman</t>
  </si>
  <si>
    <t>P</t>
  </si>
  <si>
    <t>Gas efflux velocity of releases (m/s)</t>
  </si>
  <si>
    <t>Diameter (m)</t>
  </si>
  <si>
    <t>No. 5 BF</t>
  </si>
  <si>
    <t>No. 4 BF</t>
  </si>
  <si>
    <t>Annealing bay</t>
  </si>
  <si>
    <t>None</t>
  </si>
  <si>
    <t>Mill</t>
  </si>
  <si>
    <t>Boiler house 6 &amp; 7</t>
  </si>
  <si>
    <t>ASEMIS data 2011</t>
  </si>
  <si>
    <t>Scun Plate mill (hot mill)</t>
  </si>
  <si>
    <t>STC Memo MEMO500/AM 1998</t>
  </si>
  <si>
    <t>STC memo MEMO709/BN 1999</t>
  </si>
  <si>
    <t>Lackenby coil mill (hot mill)</t>
  </si>
  <si>
    <t>Average from reports for hot mills</t>
  </si>
  <si>
    <t>E = k (sL)0.91 x (W)1.02 (1)</t>
  </si>
  <si>
    <t>EPA41  h13.2.1.3  final januari 2011</t>
  </si>
  <si>
    <t>where: E = particulate emission factor (having units matching the units of k),</t>
  </si>
  <si>
    <t>k = particle size multiplier for particle size range and units of interest (see below),</t>
  </si>
  <si>
    <t>sL = road surface silt loading (grams per square meter) (g/m2), and</t>
  </si>
  <si>
    <t>W = average weight (tons) of the vehicles traveling the road.</t>
  </si>
  <si>
    <t>k=</t>
  </si>
  <si>
    <t>PM2,5</t>
  </si>
  <si>
    <t>g/km</t>
  </si>
  <si>
    <t>PM30</t>
  </si>
  <si>
    <t>W=</t>
  </si>
  <si>
    <t>S=</t>
  </si>
  <si>
    <t>Lb naar kg</t>
  </si>
  <si>
    <t>Mile naar km</t>
  </si>
  <si>
    <t>A</t>
  </si>
  <si>
    <t>B</t>
  </si>
  <si>
    <t>SL g/m2</t>
  </si>
  <si>
    <t>0-2</t>
  </si>
  <si>
    <t>2-4</t>
  </si>
  <si>
    <t>4-10</t>
  </si>
  <si>
    <t>10-30</t>
  </si>
  <si>
    <t>SL gem</t>
  </si>
  <si>
    <t>Oud</t>
  </si>
  <si>
    <t>wordt vlgns EPA</t>
  </si>
  <si>
    <t>D Poole data</t>
  </si>
  <si>
    <t>PM10 (g/km)</t>
  </si>
  <si>
    <r>
      <t xml:space="preserve">TSP </t>
    </r>
    <r>
      <rPr>
        <sz val="8"/>
        <rFont val="Arial"/>
        <family val="2"/>
      </rPr>
      <t>=PM30</t>
    </r>
    <r>
      <rPr>
        <sz val="11"/>
        <rFont val="Arial"/>
        <family val="0"/>
      </rPr>
      <t xml:space="preserve"> (g/km)</t>
    </r>
  </si>
  <si>
    <t>Cleanliness Grade</t>
  </si>
  <si>
    <t>Added hot mill fugitive due to large contributions when compared to other sources.</t>
  </si>
  <si>
    <t xml:space="preserve">For UK, the current plan is to use established 'average' road emissions rather than graded. </t>
  </si>
  <si>
    <t>Used for hardsurfaced roads and to check Scunthorpe data.</t>
  </si>
  <si>
    <t xml:space="preserve">Table from IJmuiden Wegen-emissie spreadsheet. </t>
  </si>
  <si>
    <t xml:space="preserve"> and this correponds well to the B grading in IJmuiden.</t>
  </si>
  <si>
    <t>Use D Poole data due to it being actual measurement with 'some' wetted roads</t>
  </si>
  <si>
    <t>Coke battery</t>
  </si>
  <si>
    <t>Ammonia incinerators</t>
  </si>
  <si>
    <t>No. 4 BF roof</t>
  </si>
  <si>
    <t>No. 5 BF roof</t>
  </si>
  <si>
    <t>BOS roof vents</t>
  </si>
  <si>
    <t>Hot mill roof vents</t>
  </si>
  <si>
    <t>Cold mill roof vents</t>
  </si>
  <si>
    <t>Point or diffuse source?</t>
  </si>
  <si>
    <t>Location on map</t>
  </si>
  <si>
    <t>Actual height of release point (m)</t>
  </si>
  <si>
    <t>Plant loads at which data are applicable</t>
  </si>
  <si>
    <t>D</t>
  </si>
  <si>
    <t>Diffuse</t>
  </si>
  <si>
    <r>
      <t>Location or potential source of PM</t>
    </r>
    <r>
      <rPr>
        <b/>
        <vertAlign val="subscript"/>
        <sz val="11"/>
        <rFont val="Arial"/>
        <family val="2"/>
      </rPr>
      <t>10</t>
    </r>
  </si>
  <si>
    <t>Primary ore stockyard</t>
  </si>
  <si>
    <t>Fine ore stockyard</t>
  </si>
  <si>
    <t>Slag tip</t>
  </si>
  <si>
    <t>Not known (and not needed for model)</t>
  </si>
  <si>
    <t>Emissions based on reverse dispersion modelling of Osiris monitoring data</t>
  </si>
  <si>
    <t>Blast furnace</t>
  </si>
  <si>
    <t>Operational factor of 100%</t>
  </si>
  <si>
    <t>Main stack flue 1</t>
  </si>
  <si>
    <t>Dedust stack</t>
  </si>
  <si>
    <t>Mixing &amp; rolling drum stack</t>
  </si>
  <si>
    <t>BF4 bleeders</t>
  </si>
  <si>
    <t>BF 4 bell-less top</t>
  </si>
  <si>
    <t>BF 5 bell-less top</t>
  </si>
  <si>
    <t>A4A</t>
  </si>
  <si>
    <t>BF5 bleeders</t>
  </si>
  <si>
    <t>A5A</t>
  </si>
  <si>
    <t>BF4 hot gas stoves stack</t>
  </si>
  <si>
    <t>BF5 hot gas stoves stack</t>
  </si>
  <si>
    <t>BF5 casthouse fume extraction</t>
  </si>
  <si>
    <t>Coal injection screenhouse bag filter 1 stack</t>
  </si>
  <si>
    <t>Coal injection screenhouse bag filter 2 stack</t>
  </si>
  <si>
    <t>Fluidised bed dryer 1 bag plant stack</t>
  </si>
  <si>
    <t>Fluidised bed dryer 2 bag plant stack</t>
  </si>
  <si>
    <t>Silo 4 filter vent A</t>
  </si>
  <si>
    <t>A42</t>
  </si>
  <si>
    <t>Silo 4 filter vent B</t>
  </si>
  <si>
    <t>A43</t>
  </si>
  <si>
    <t>Betsi lagoon de-sludging</t>
  </si>
  <si>
    <t>Plating pits</t>
  </si>
  <si>
    <t>Lime plant dust extraction stack</t>
  </si>
  <si>
    <t>Secondary fume extraction stack north</t>
  </si>
  <si>
    <t>Secondary fume extraction stack south</t>
  </si>
  <si>
    <t>Secondary fume extraction stack centre</t>
  </si>
  <si>
    <t>BOS Convertor 1 flare</t>
  </si>
  <si>
    <t>A12 (relocated)</t>
  </si>
  <si>
    <t>BOS Convertor 2 flare</t>
  </si>
  <si>
    <t>A13 (relocated)</t>
  </si>
  <si>
    <t>Morfa coke oven batteries</t>
  </si>
  <si>
    <t>Minister stein (3 flues)</t>
  </si>
  <si>
    <t>Secondary coal crusher stack</t>
  </si>
  <si>
    <t>Coke oven triple gas flare stack</t>
  </si>
  <si>
    <t>Collecting main bleeders</t>
  </si>
  <si>
    <t>A61</t>
  </si>
  <si>
    <t>A60B</t>
  </si>
  <si>
    <t>Quench tower (new)</t>
  </si>
  <si>
    <t>Door leakage</t>
  </si>
  <si>
    <t>Top leakage</t>
  </si>
  <si>
    <t>Misc. coal stockpile</t>
  </si>
  <si>
    <t>Included in A54</t>
  </si>
  <si>
    <t>Cold Mill</t>
  </si>
  <si>
    <t>Cold Mill oil mist vent</t>
  </si>
  <si>
    <t>A19</t>
  </si>
  <si>
    <t>Pickle line scrubber fume extraction north</t>
  </si>
  <si>
    <t>A21</t>
  </si>
  <si>
    <t>Pickle line scrubber fume extraction south</t>
  </si>
  <si>
    <t>A22</t>
  </si>
  <si>
    <t>Annealing furnace stack</t>
  </si>
  <si>
    <t>A24</t>
  </si>
  <si>
    <t>A25</t>
  </si>
  <si>
    <t>A26</t>
  </si>
  <si>
    <t>A27</t>
  </si>
  <si>
    <t>A28</t>
  </si>
  <si>
    <t>Ebner furnace stack north</t>
  </si>
  <si>
    <t>Ebner furnace stack east</t>
  </si>
  <si>
    <t>Ebner furnace stack south</t>
  </si>
  <si>
    <t>A30</t>
  </si>
  <si>
    <t>A31</t>
  </si>
  <si>
    <t>A32</t>
  </si>
  <si>
    <t>Reheat furnace duct south</t>
  </si>
  <si>
    <t>Reheat furnace duct north</t>
  </si>
  <si>
    <t>CAPL</t>
  </si>
  <si>
    <t>CAPL temper mill fume extraction stack</t>
  </si>
  <si>
    <t>A48</t>
  </si>
  <si>
    <t>CAPL HNX vents</t>
  </si>
  <si>
    <t>A49</t>
  </si>
  <si>
    <t>Energy generation</t>
  </si>
  <si>
    <t>Energy distribution</t>
  </si>
  <si>
    <t>A number of columns have been removed for the following reasons:</t>
  </si>
  <si>
    <t>Blast furnace gas main no. 4 bleeder</t>
  </si>
  <si>
    <t>Blast furnace gas main no. 5 bleeder</t>
  </si>
  <si>
    <t>Blast furnace gas flare stack 2</t>
  </si>
  <si>
    <t>Cambrian Stone</t>
  </si>
  <si>
    <t>Darlow Lloyd</t>
  </si>
  <si>
    <t>Slab yards</t>
  </si>
  <si>
    <t>Fumes and brake dust for vehicles on industrial site roads</t>
  </si>
  <si>
    <t>Granulation Plant 4</t>
  </si>
  <si>
    <t>Granulation Plant 5</t>
  </si>
  <si>
    <t>BF Slag Crusher 1</t>
  </si>
  <si>
    <t>BF Slag Crusher 2</t>
  </si>
  <si>
    <t>BOS Slag Crusher 1</t>
  </si>
  <si>
    <t>BOS Slag Crusher 2</t>
  </si>
  <si>
    <t>BF 4 East Pool</t>
  </si>
  <si>
    <t>BF 4 South Pool</t>
  </si>
  <si>
    <t>BF 5 East Pool</t>
  </si>
  <si>
    <t>BF 5 North Pool</t>
  </si>
  <si>
    <t>Granulate Movements</t>
  </si>
  <si>
    <t>BF Slag Movements</t>
  </si>
  <si>
    <t>BOS Slag Movements</t>
  </si>
  <si>
    <t>Ship loading of granulate</t>
  </si>
  <si>
    <t>Rail loading of slag/granulate</t>
  </si>
  <si>
    <t xml:space="preserve">Briquetting Plant </t>
  </si>
  <si>
    <t xml:space="preserve">Briquetting plant material storage area </t>
  </si>
  <si>
    <t>BOS Slag Pit 1</t>
  </si>
  <si>
    <t>BOS Slag Pit 2</t>
  </si>
  <si>
    <t>BOS Slag Pit 3</t>
  </si>
  <si>
    <t>BOS Slag Pit 4</t>
  </si>
  <si>
    <t>Desulph Slag Pit 1</t>
  </si>
  <si>
    <t>Desulph Slag Pit 2</t>
  </si>
  <si>
    <t>Desulph Slag Pit 3</t>
  </si>
  <si>
    <t>Desulph Slag Pit 4</t>
  </si>
  <si>
    <t>Desulph Slag Pit 5</t>
  </si>
  <si>
    <t xml:space="preserve">Drop Balling </t>
  </si>
  <si>
    <t xml:space="preserve">Lance Cutting </t>
  </si>
  <si>
    <t xml:space="preserve">Molten Iron Plating </t>
  </si>
  <si>
    <t>MR Plant</t>
  </si>
  <si>
    <t>Scarfing operations</t>
  </si>
  <si>
    <t>HAA slag screening</t>
  </si>
  <si>
    <t>Possible fugitive from road sweeping</t>
  </si>
  <si>
    <t>Coast road</t>
  </si>
  <si>
    <t>Harbour Road</t>
  </si>
  <si>
    <t>Jetty Road</t>
  </si>
  <si>
    <t>Wharf Road</t>
  </si>
  <si>
    <t>Pheonix Wharf Road</t>
  </si>
  <si>
    <t>802 Road</t>
  </si>
  <si>
    <t>Dual Carriageway</t>
  </si>
  <si>
    <t>Sinter plant road</t>
  </si>
  <si>
    <t>North Road</t>
  </si>
  <si>
    <t>South Curve</t>
  </si>
  <si>
    <t>Piccadilly Road</t>
  </si>
  <si>
    <t>East Road</t>
  </si>
  <si>
    <t>CES Curve</t>
  </si>
  <si>
    <t>BOS Plant North Road</t>
  </si>
  <si>
    <t>BOS Plant South Road</t>
  </si>
  <si>
    <t>Morfa Bank Road</t>
  </si>
  <si>
    <t>Haul Road</t>
  </si>
  <si>
    <t>Morfa Coke Road</t>
  </si>
  <si>
    <t>Memorial Road</t>
  </si>
  <si>
    <t>Scrap Road</t>
  </si>
  <si>
    <t>South Road</t>
  </si>
  <si>
    <t>Knuckle Road</t>
  </si>
  <si>
    <t>Grange Road</t>
  </si>
  <si>
    <t>Cefn Cwrgan Road</t>
  </si>
  <si>
    <t>Coke Wharf</t>
  </si>
  <si>
    <t>Lime Road</t>
  </si>
  <si>
    <t>Unmade roads</t>
  </si>
  <si>
    <t>BOS Plant kress route (converters to slag tip)</t>
  </si>
  <si>
    <t>BOS Plant kress route (concast to tip)</t>
  </si>
  <si>
    <t>STC has performed measurements on 3 occasions. Suggested at STC review of 22 Feb 2007 that only the 2006 results are used as the emissions have become progressively better with improved process control. (Philip to provide figures to PQ)</t>
  </si>
  <si>
    <t>Based upon IJmuiden work. Assumes 10% of total PM is PM10 fraction.</t>
  </si>
  <si>
    <t>Annual Coke Production</t>
  </si>
  <si>
    <t>ACO</t>
  </si>
  <si>
    <t>Annual Sinter Production</t>
  </si>
  <si>
    <t>Annual Iron Production</t>
  </si>
  <si>
    <t>Annual Steel Production</t>
  </si>
  <si>
    <t>Annual Air Cooled Slag</t>
  </si>
  <si>
    <t>Annual Granulated Slag</t>
  </si>
  <si>
    <t>Harsco, Yarborough Quarry</t>
  </si>
  <si>
    <t>Blast furnaces and slag pits</t>
  </si>
  <si>
    <t>Dawes Lane coke ovens</t>
  </si>
  <si>
    <t>Appleby coke ovens</t>
  </si>
  <si>
    <t>Unpaved area near Rod Mill</t>
  </si>
  <si>
    <t>6) Other area sources (not stockyards)</t>
  </si>
  <si>
    <t>Sinter and BF transfer</t>
  </si>
  <si>
    <t>Other area sources</t>
  </si>
  <si>
    <t>Other stockyards</t>
  </si>
  <si>
    <t>To be updated with D poole data</t>
  </si>
  <si>
    <t>Total (all roads)</t>
  </si>
  <si>
    <t>Total (Scun)</t>
  </si>
  <si>
    <t>Slab Yard kress route</t>
  </si>
  <si>
    <t>Coke Road</t>
  </si>
  <si>
    <t>HAA Roads and Yard</t>
  </si>
  <si>
    <t>02/03/2012 - grid refs for some stacks updated to take account of corrections from Teifion Maddocks</t>
  </si>
  <si>
    <t>Location from T. Maddocks (1/03/12)</t>
  </si>
  <si>
    <t>Haul Roads through MR plant</t>
  </si>
  <si>
    <t>Made roads</t>
  </si>
  <si>
    <t>1. Effective height of release point (m)</t>
  </si>
  <si>
    <t>Not needed as impact predicted using ADMS air dispersion model</t>
  </si>
  <si>
    <t>2. Predicted maximum emission rate (g/s)</t>
  </si>
  <si>
    <t>3. Predicted maximum emission concentration (mg/m3)</t>
  </si>
  <si>
    <t>4. Predicted maximum volume flux (m3/s)</t>
  </si>
  <si>
    <t>5. Predicted maximum mass emissions (tonnes/year)</t>
  </si>
  <si>
    <t>6. Statistical basis of release</t>
  </si>
  <si>
    <t>Annual average</t>
  </si>
  <si>
    <t>7. Short or long term effects?</t>
  </si>
  <si>
    <t>We model effects for relevant air quality standards</t>
  </si>
  <si>
    <t>8. Predicted frequencies of emissions if intermittent</t>
  </si>
  <si>
    <t>Other relevant information</t>
  </si>
  <si>
    <t>Main building</t>
  </si>
  <si>
    <t>2010 operational factor used (85%)</t>
  </si>
  <si>
    <r>
      <t>Based on 2007 TSP monitoring data; Factor of 0.96 to convert TSP to PM</t>
    </r>
    <r>
      <rPr>
        <vertAlign val="subscript"/>
        <sz val="11"/>
        <rFont val="Arial"/>
        <family val="2"/>
      </rPr>
      <t>10</t>
    </r>
  </si>
  <si>
    <r>
      <t>Based on 2007 TSP monitoring data; Factor of 0.46 to convert TSP to PM</t>
    </r>
    <r>
      <rPr>
        <vertAlign val="subscript"/>
        <sz val="11"/>
        <rFont val="Arial"/>
        <family val="2"/>
      </rPr>
      <t>10</t>
    </r>
  </si>
  <si>
    <t>No data available</t>
  </si>
  <si>
    <t>No. 4 BF casthouse</t>
  </si>
  <si>
    <t>No. 5 BF casthouse</t>
  </si>
  <si>
    <t>2010 operational factor used (100%)</t>
  </si>
  <si>
    <r>
      <t>Based on 2007 TSP monitoring data; Asssumed TSP = PM</t>
    </r>
    <r>
      <rPr>
        <vertAlign val="subscript"/>
        <sz val="11"/>
        <rFont val="Arial"/>
        <family val="2"/>
      </rPr>
      <t>10</t>
    </r>
  </si>
  <si>
    <r>
      <t>Based on 2007 TSP monitoring data; Asssumed TSP = PM</t>
    </r>
    <r>
      <rPr>
        <vertAlign val="subscript"/>
        <sz val="11"/>
        <rFont val="Arial"/>
        <family val="2"/>
      </rPr>
      <t xml:space="preserve">10 </t>
    </r>
    <r>
      <rPr>
        <sz val="11"/>
        <rFont val="Arial"/>
        <family val="2"/>
      </rPr>
      <t>(Conc. rather low)</t>
    </r>
  </si>
  <si>
    <t>Emissions based on reverse dispersion modelling of Osiris monitoring data - includes roads</t>
  </si>
  <si>
    <t>'Black push'</t>
  </si>
  <si>
    <t>Flow (Nm3/h)</t>
  </si>
  <si>
    <r>
      <t>Based on 2007 TSP monitoring data; Asssumed PM</t>
    </r>
    <r>
      <rPr>
        <vertAlign val="subscript"/>
        <sz val="11"/>
        <rFont val="Arial"/>
        <family val="2"/>
      </rPr>
      <t xml:space="preserve">10 </t>
    </r>
    <r>
      <rPr>
        <sz val="11"/>
        <rFont val="Arial"/>
        <family val="2"/>
      </rPr>
      <t>= 0.86xTSP</t>
    </r>
  </si>
  <si>
    <t>Silo 5 filter vent</t>
  </si>
  <si>
    <t>A36</t>
  </si>
  <si>
    <t>Coal injection screenhouse bag filter</t>
  </si>
  <si>
    <t>A35/A36</t>
  </si>
  <si>
    <t>C1 fluidised bed dryers 1 &amp; 2</t>
  </si>
  <si>
    <t>A37/A38</t>
  </si>
  <si>
    <r>
      <t>Based on 2007 TSP monitoring data; Asssumed PM</t>
    </r>
    <r>
      <rPr>
        <vertAlign val="subscript"/>
        <sz val="11"/>
        <rFont val="Arial"/>
        <family val="2"/>
      </rPr>
      <t xml:space="preserve">10 </t>
    </r>
    <r>
      <rPr>
        <sz val="11"/>
        <rFont val="Arial"/>
        <family val="2"/>
      </rPr>
      <t>= 0.9xTSP</t>
    </r>
  </si>
  <si>
    <r>
      <t>No emissions of PM</t>
    </r>
    <r>
      <rPr>
        <vertAlign val="subscript"/>
        <sz val="11"/>
        <rFont val="Arial"/>
        <family val="2"/>
      </rPr>
      <t>10</t>
    </r>
  </si>
  <si>
    <t>Mg = t</t>
  </si>
  <si>
    <r>
      <t>PM</t>
    </r>
    <r>
      <rPr>
        <b/>
        <vertAlign val="subscript"/>
        <sz val="10"/>
        <rFont val="Arial"/>
        <family val="2"/>
      </rPr>
      <t>10</t>
    </r>
  </si>
  <si>
    <r>
      <t>PM</t>
    </r>
    <r>
      <rPr>
        <b/>
        <vertAlign val="subscript"/>
        <sz val="10"/>
        <rFont val="Arial"/>
        <family val="2"/>
      </rPr>
      <t>2.5</t>
    </r>
  </si>
  <si>
    <r>
      <t>Coke making Doors/lids(Fugitive)</t>
    </r>
    <r>
      <rPr>
        <b/>
        <sz val="10"/>
        <color indexed="8"/>
        <rFont val="Arial"/>
        <family val="2"/>
      </rPr>
      <t>DLCO</t>
    </r>
  </si>
  <si>
    <r>
      <t>Coke making Doors/lids(Fugitive)</t>
    </r>
    <r>
      <rPr>
        <b/>
        <sz val="10"/>
        <color indexed="8"/>
        <rFont val="Arial"/>
        <family val="2"/>
      </rPr>
      <t>ACO</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</si>
</sst>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000"/>
    <numFmt numFmtId="171" formatCode="0.000000"/>
    <numFmt numFmtId="172" formatCode="0.00000"/>
    <numFmt numFmtId="173" formatCode="0.0000"/>
    <numFmt numFmtId="174" formatCode="0.000"/>
    <numFmt numFmtId="175" formatCode="0.0000E+00"/>
    <numFmt numFmtId="176" formatCode="0.000E+00"/>
    <numFmt numFmtId="177" formatCode="0.00000000"/>
    <numFmt numFmtId="178" formatCode="0.0"/>
    <numFmt numFmtId="179" formatCode="0.0%"/>
    <numFmt numFmtId="180" formatCode="0.000%"/>
    <numFmt numFmtId="181" formatCode="0.0000%"/>
    <numFmt numFmtId="182" formatCode="0.000000000"/>
    <numFmt numFmtId="183" formatCode="0.00000E+00"/>
    <numFmt numFmtId="184" formatCode="0.000000E+00"/>
    <numFmt numFmtId="185" formatCode="0.0000000E+00"/>
    <numFmt numFmtId="186" formatCode="0.0000000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_-* #,##0.0_-;\-* #,##0.0_-;_-* &quot;-&quot;??_-;_-@_-"/>
    <numFmt numFmtId="196" formatCode="_-* #,##0_-;\-* #,##0_-;_-* &quot;-&quot;??_-;_-@_-"/>
  </numFmts>
  <fonts count="121">
    <font>
      <sz val="11"/>
      <name val="Arial"/>
      <family val="0"/>
    </font>
    <font>
      <u val="single"/>
      <sz val="11"/>
      <color indexed="12"/>
      <name val="Arial"/>
      <family val="0"/>
    </font>
    <font>
      <u val="single"/>
      <sz val="11"/>
      <color indexed="36"/>
      <name val="Arial"/>
      <family val="0"/>
    </font>
    <font>
      <b/>
      <sz val="11"/>
      <name val="Arial"/>
      <family val="2"/>
    </font>
    <font>
      <b/>
      <vertAlign val="subscript"/>
      <sz val="11"/>
      <name val="Arial"/>
      <family val="2"/>
    </font>
    <font>
      <b/>
      <sz val="11"/>
      <color indexed="10"/>
      <name val="Arial"/>
      <family val="2"/>
    </font>
    <font>
      <sz val="8"/>
      <name val="Tahoma"/>
      <family val="0"/>
    </font>
    <font>
      <b/>
      <sz val="8"/>
      <name val="Tahoma"/>
      <family val="0"/>
    </font>
    <font>
      <b/>
      <i/>
      <sz val="11"/>
      <name val="Arial"/>
      <family val="2"/>
    </font>
    <font>
      <b/>
      <vertAlign val="superscript"/>
      <sz val="11"/>
      <name val="Arial"/>
      <family val="2"/>
    </font>
    <font>
      <b/>
      <sz val="11"/>
      <color indexed="12"/>
      <name val="Arial"/>
      <family val="2"/>
    </font>
    <font>
      <b/>
      <vertAlign val="superscript"/>
      <sz val="9"/>
      <name val="Arial"/>
      <family val="2"/>
    </font>
    <font>
      <b/>
      <sz val="9"/>
      <name val="Arial"/>
      <family val="2"/>
    </font>
    <font>
      <sz val="10"/>
      <color indexed="8"/>
      <name val="Arial"/>
      <family val="2"/>
    </font>
    <font>
      <b/>
      <sz val="10"/>
      <name val="Arial"/>
      <family val="2"/>
    </font>
    <font>
      <sz val="10"/>
      <name val="Arial"/>
      <family val="0"/>
    </font>
    <font>
      <b/>
      <sz val="11"/>
      <color indexed="11"/>
      <name val="Arial"/>
      <family val="2"/>
    </font>
    <font>
      <b/>
      <sz val="10"/>
      <color indexed="10"/>
      <name val="Arial"/>
      <family val="2"/>
    </font>
    <font>
      <sz val="11"/>
      <color indexed="10"/>
      <name val="Arial"/>
      <family val="2"/>
    </font>
    <font>
      <sz val="11"/>
      <color indexed="17"/>
      <name val="Arial"/>
      <family val="0"/>
    </font>
    <font>
      <b/>
      <sz val="8"/>
      <color indexed="17"/>
      <name val="Arial"/>
      <family val="2"/>
    </font>
    <font>
      <sz val="8"/>
      <color indexed="17"/>
      <name val="@Arial Unicode MS"/>
      <family val="2"/>
    </font>
    <font>
      <b/>
      <sz val="8"/>
      <color indexed="17"/>
      <name val="@Arial Unicode MS"/>
      <family val="2"/>
    </font>
    <font>
      <sz val="11"/>
      <color indexed="55"/>
      <name val="Arial"/>
      <family val="0"/>
    </font>
    <font>
      <sz val="11"/>
      <color indexed="22"/>
      <name val="Arial"/>
      <family val="0"/>
    </font>
    <font>
      <sz val="8"/>
      <name val="Arial"/>
      <family val="2"/>
    </font>
    <font>
      <i/>
      <sz val="11"/>
      <name val="Arial"/>
      <family val="2"/>
    </font>
    <font>
      <b/>
      <u val="single"/>
      <sz val="11"/>
      <name val="Arial"/>
      <family val="2"/>
    </font>
    <font>
      <b/>
      <i/>
      <sz val="11"/>
      <color indexed="10"/>
      <name val="Arial"/>
      <family val="2"/>
    </font>
    <font>
      <vertAlign val="subscript"/>
      <sz val="11"/>
      <name val="Arial"/>
      <family val="2"/>
    </font>
    <font>
      <b/>
      <sz val="8"/>
      <name val="Arial"/>
      <family val="2"/>
    </font>
    <font>
      <b/>
      <vertAlign val="subscript"/>
      <sz val="8"/>
      <color indexed="10"/>
      <name val="Arial"/>
      <family val="2"/>
    </font>
    <font>
      <sz val="9"/>
      <name val="Arial"/>
      <family val="2"/>
    </font>
    <font>
      <sz val="8"/>
      <color indexed="10"/>
      <name val="Arial"/>
      <family val="2"/>
    </font>
    <font>
      <sz val="10"/>
      <color indexed="10"/>
      <name val="Arial"/>
      <family val="2"/>
    </font>
    <font>
      <sz val="10"/>
      <color indexed="17"/>
      <name val="Arial"/>
      <family val="2"/>
    </font>
    <font>
      <sz val="8"/>
      <color indexed="17"/>
      <name val="Arial"/>
      <family val="2"/>
    </font>
    <font>
      <sz val="11"/>
      <color indexed="8"/>
      <name val="Arial"/>
      <family val="2"/>
    </font>
    <font>
      <vertAlign val="superscript"/>
      <sz val="11"/>
      <name val="Arial"/>
      <family val="2"/>
    </font>
    <font>
      <b/>
      <vertAlign val="subscript"/>
      <sz val="9"/>
      <name val="Arial"/>
      <family val="2"/>
    </font>
    <font>
      <vertAlign val="superscript"/>
      <sz val="9"/>
      <name val="Arial"/>
      <family val="2"/>
    </font>
    <font>
      <sz val="12"/>
      <name val="Arial"/>
      <family val="0"/>
    </font>
    <font>
      <b/>
      <i/>
      <vertAlign val="superscript"/>
      <sz val="11"/>
      <name val="Arial"/>
      <family val="2"/>
    </font>
    <font>
      <b/>
      <vertAlign val="superscript"/>
      <sz val="11"/>
      <color indexed="10"/>
      <name val="Arial"/>
      <family val="2"/>
    </font>
    <font>
      <b/>
      <vertAlign val="superscript"/>
      <sz val="11"/>
      <color indexed="12"/>
      <name val="Arial"/>
      <family val="2"/>
    </font>
    <font>
      <b/>
      <sz val="12"/>
      <name val="Arial"/>
      <family val="2"/>
    </font>
    <font>
      <i/>
      <sz val="10"/>
      <color indexed="10"/>
      <name val="Arial"/>
      <family val="2"/>
    </font>
    <font>
      <b/>
      <sz val="11"/>
      <color indexed="55"/>
      <name val="Arial"/>
      <family val="2"/>
    </font>
    <font>
      <b/>
      <sz val="11"/>
      <color indexed="8"/>
      <name val="Arial"/>
      <family val="2"/>
    </font>
    <font>
      <sz val="11"/>
      <color indexed="12"/>
      <name val="Arial"/>
      <family val="2"/>
    </font>
    <font>
      <i/>
      <sz val="10"/>
      <name val="Arial Narrow"/>
      <family val="2"/>
    </font>
    <font>
      <sz val="10"/>
      <name val="Arial Narrow"/>
      <family val="2"/>
    </font>
    <font>
      <sz val="10"/>
      <color indexed="10"/>
      <name val="Arial Narrow"/>
      <family val="2"/>
    </font>
    <font>
      <sz val="8"/>
      <name val="@Arial Unicode MS"/>
      <family val="2"/>
    </font>
    <font>
      <sz val="8"/>
      <color indexed="8"/>
      <name val="@Arial Unicode MS"/>
      <family val="2"/>
    </font>
    <font>
      <b/>
      <sz val="11"/>
      <color indexed="22"/>
      <name val="Arial"/>
      <family val="2"/>
    </font>
    <font>
      <b/>
      <sz val="11"/>
      <color indexed="17"/>
      <name val="Arial"/>
      <family val="2"/>
    </font>
    <font>
      <i/>
      <sz val="11"/>
      <color indexed="17"/>
      <name val="Arial"/>
      <family val="2"/>
    </font>
    <font>
      <b/>
      <i/>
      <sz val="11"/>
      <color indexed="17"/>
      <name val="Arial"/>
      <family val="2"/>
    </font>
    <font>
      <b/>
      <u val="single"/>
      <sz val="11"/>
      <color indexed="8"/>
      <name val="Arial"/>
      <family val="2"/>
    </font>
    <font>
      <b/>
      <i/>
      <sz val="11"/>
      <color indexed="8"/>
      <name val="Arial"/>
      <family val="2"/>
    </font>
    <font>
      <i/>
      <sz val="11"/>
      <color indexed="22"/>
      <name val="Arial"/>
      <family val="2"/>
    </font>
    <font>
      <sz val="8"/>
      <color indexed="10"/>
      <name val="@Arial Unicode MS"/>
      <family val="2"/>
    </font>
    <font>
      <b/>
      <sz val="10"/>
      <color indexed="17"/>
      <name val="Arial"/>
      <family val="2"/>
    </font>
    <font>
      <b/>
      <vertAlign val="subscrip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sz val="8"/>
      <color indexed="8"/>
      <name val="Arial"/>
      <family val="0"/>
    </font>
    <font>
      <sz val="8.25"/>
      <color indexed="8"/>
      <name val="Arial"/>
      <family val="0"/>
    </font>
    <font>
      <sz val="16.5"/>
      <color indexed="8"/>
      <name val="Arial"/>
      <family val="0"/>
    </font>
    <font>
      <sz val="5.25"/>
      <color indexed="8"/>
      <name val="Arial"/>
      <family val="0"/>
    </font>
    <font>
      <sz val="12.25"/>
      <color indexed="8"/>
      <name val="Arial"/>
      <family val="0"/>
    </font>
    <font>
      <sz val="15"/>
      <color indexed="8"/>
      <name val="Arial"/>
      <family val="0"/>
    </font>
    <font>
      <sz val="14.25"/>
      <color indexed="8"/>
      <name val="Arial"/>
      <family val="0"/>
    </font>
    <font>
      <sz val="13.1"/>
      <color indexed="8"/>
      <name val="Arial"/>
      <family val="0"/>
    </font>
    <font>
      <sz val="9"/>
      <color indexed="8"/>
      <name val="Arial"/>
      <family val="0"/>
    </font>
    <font>
      <sz val="18.25"/>
      <color indexed="8"/>
      <name val="Arial"/>
      <family val="0"/>
    </font>
    <font>
      <sz val="9.5"/>
      <color indexed="8"/>
      <name val="Arial"/>
      <family val="0"/>
    </font>
    <font>
      <sz val="18"/>
      <color indexed="8"/>
      <name val="Arial"/>
      <family val="0"/>
    </font>
    <font>
      <sz val="16.75"/>
      <color indexed="8"/>
      <name val="Arial"/>
      <family val="0"/>
    </font>
    <font>
      <sz val="3.5"/>
      <color indexed="8"/>
      <name val="Arial"/>
      <family val="0"/>
    </font>
    <font>
      <sz val="7.75"/>
      <color indexed="8"/>
      <name val="Arial"/>
      <family val="0"/>
    </font>
    <font>
      <sz val="3.2"/>
      <color indexed="8"/>
      <name val="Arial"/>
      <family val="0"/>
    </font>
    <font>
      <sz val="17.5"/>
      <color indexed="8"/>
      <name val="Arial"/>
      <family val="0"/>
    </font>
    <font>
      <sz val="8.5"/>
      <color indexed="8"/>
      <name val="Arial"/>
      <family val="0"/>
    </font>
    <font>
      <sz val="7.8"/>
      <color indexed="8"/>
      <name val="Arial"/>
      <family val="0"/>
    </font>
    <font>
      <sz val="9.2"/>
      <color indexed="8"/>
      <name val="Arial"/>
      <family val="0"/>
    </font>
    <font>
      <sz val="8.75"/>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10"/>
        <bgColor indexed="64"/>
      </patternFill>
    </fill>
    <fill>
      <patternFill patternType="solid">
        <fgColor indexed="46"/>
        <bgColor indexed="64"/>
      </patternFill>
    </fill>
    <fill>
      <patternFill patternType="solid">
        <fgColor indexed="31"/>
        <bgColor indexed="64"/>
      </patternFill>
    </fill>
    <fill>
      <patternFill patternType="solid">
        <fgColor indexed="47"/>
        <bgColor indexed="64"/>
      </patternFill>
    </fill>
    <fill>
      <patternFill patternType="lightUp"/>
    </fill>
    <fill>
      <patternFill patternType="solid">
        <fgColor indexed="65"/>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lightUp">
        <fgColor indexed="22"/>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color indexed="63"/>
      </left>
      <right style="thick"/>
      <top>
        <color indexed="63"/>
      </top>
      <bottom style="medium"/>
    </border>
    <border>
      <left style="thin"/>
      <right style="thin"/>
      <top style="thin"/>
      <bottom style="thin"/>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style="medium"/>
      <top>
        <color indexed="63"/>
      </top>
      <bottom style="mediu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style="thin"/>
    </border>
    <border>
      <left style="thin"/>
      <right style="medium"/>
      <top>
        <color indexed="63"/>
      </top>
      <bottom style="thin"/>
    </border>
    <border>
      <left style="thin"/>
      <right style="medium"/>
      <top style="thin"/>
      <bottom style="thin"/>
    </border>
    <border>
      <left>
        <color indexed="63"/>
      </left>
      <right style="medium"/>
      <top>
        <color indexed="63"/>
      </top>
      <bottom>
        <color indexed="63"/>
      </botto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indexed="8"/>
      </left>
      <right style="medium">
        <color indexed="8"/>
      </right>
      <top style="medium">
        <color indexed="8"/>
      </top>
      <bottom style="thick">
        <color indexed="8"/>
      </bottom>
    </border>
    <border>
      <left style="medium">
        <color indexed="8"/>
      </left>
      <right style="thick">
        <color indexed="8"/>
      </right>
      <top style="medium">
        <color indexed="8"/>
      </top>
      <bottom style="thick">
        <color indexed="8"/>
      </bottom>
    </border>
    <border>
      <left style="medium"/>
      <right>
        <color indexed="63"/>
      </right>
      <top>
        <color indexed="63"/>
      </top>
      <bottom style="medium"/>
    </border>
    <border>
      <left>
        <color indexed="63"/>
      </left>
      <right style="thin"/>
      <top style="thin"/>
      <bottom style="thin"/>
    </border>
    <border>
      <left style="thick"/>
      <right style="medium"/>
      <top>
        <color indexed="63"/>
      </top>
      <bottom>
        <color indexed="63"/>
      </bottom>
    </border>
    <border>
      <left>
        <color indexed="63"/>
      </left>
      <right style="thick"/>
      <top style="thick"/>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ck"/>
      <right style="medium"/>
      <top style="medium"/>
      <bottom>
        <color indexed="63"/>
      </bottom>
    </border>
    <border>
      <left style="medium"/>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2" fillId="0" borderId="0" applyNumberFormat="0" applyFill="0" applyBorder="0" applyAlignment="0" applyProtection="0"/>
    <xf numFmtId="0" fontId="110" fillId="29" borderId="0" applyNumberFormat="0" applyBorder="0" applyAlignment="0" applyProtection="0"/>
    <xf numFmtId="0" fontId="111" fillId="0" borderId="3" applyNumberFormat="0" applyFill="0" applyAlignment="0" applyProtection="0"/>
    <xf numFmtId="0" fontId="112" fillId="0" borderId="4" applyNumberFormat="0" applyFill="0" applyAlignment="0" applyProtection="0"/>
    <xf numFmtId="0" fontId="113" fillId="0" borderId="5" applyNumberFormat="0" applyFill="0" applyAlignment="0" applyProtection="0"/>
    <xf numFmtId="0" fontId="113" fillId="0" borderId="0" applyNumberFormat="0" applyFill="0" applyBorder="0" applyAlignment="0" applyProtection="0"/>
    <xf numFmtId="0" fontId="1" fillId="0" borderId="0" applyNumberFormat="0" applyFill="0" applyBorder="0" applyAlignment="0" applyProtection="0"/>
    <xf numFmtId="0" fontId="114" fillId="30" borderId="1" applyNumberFormat="0" applyAlignment="0" applyProtection="0"/>
    <xf numFmtId="0" fontId="115" fillId="0" borderId="6" applyNumberFormat="0" applyFill="0" applyAlignment="0" applyProtection="0"/>
    <xf numFmtId="0" fontId="116" fillId="31" borderId="0" applyNumberFormat="0" applyBorder="0" applyAlignment="0" applyProtection="0"/>
    <xf numFmtId="0" fontId="15" fillId="0" borderId="0" applyFont="0" applyFill="0" applyBorder="0" applyAlignment="0" applyProtection="0"/>
    <xf numFmtId="0" fontId="15" fillId="0" borderId="0">
      <alignment/>
      <protection/>
    </xf>
    <xf numFmtId="0" fontId="0" fillId="32" borderId="7" applyNumberFormat="0" applyFont="0" applyAlignment="0" applyProtection="0"/>
    <xf numFmtId="0" fontId="117" fillId="27" borderId="8" applyNumberFormat="0" applyAlignment="0" applyProtection="0"/>
    <xf numFmtId="9" fontId="0" fillId="0" borderId="0" applyFont="0" applyFill="0" applyBorder="0" applyAlignment="0" applyProtection="0"/>
    <xf numFmtId="0" fontId="15" fillId="0" borderId="0" applyFont="0" applyFill="0" applyBorder="0" applyAlignment="0" applyProtection="0"/>
    <xf numFmtId="0" fontId="118" fillId="0" borderId="0" applyNumberFormat="0" applyFill="0" applyBorder="0" applyAlignment="0" applyProtection="0"/>
    <xf numFmtId="0" fontId="119" fillId="0" borderId="9" applyNumberFormat="0" applyFill="0" applyAlignment="0" applyProtection="0"/>
    <xf numFmtId="0" fontId="120" fillId="0" borderId="0" applyNumberFormat="0" applyFill="0" applyBorder="0" applyAlignment="0" applyProtection="0"/>
  </cellStyleXfs>
  <cellXfs count="811">
    <xf numFmtId="0" fontId="0" fillId="0" borderId="0" xfId="0"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0" fillId="0" borderId="12" xfId="0" applyFont="1" applyBorder="1" applyAlignment="1">
      <alignment wrapText="1"/>
    </xf>
    <xf numFmtId="0" fontId="0" fillId="0" borderId="13" xfId="0" applyFont="1" applyBorder="1" applyAlignment="1">
      <alignment wrapText="1"/>
    </xf>
    <xf numFmtId="3" fontId="0" fillId="0" borderId="13" xfId="0" applyNumberFormat="1" applyFont="1" applyBorder="1" applyAlignment="1">
      <alignment horizontal="center" wrapText="1"/>
    </xf>
    <xf numFmtId="0" fontId="0" fillId="0" borderId="13" xfId="0" applyFont="1" applyBorder="1" applyAlignment="1">
      <alignment horizontal="center" wrapText="1"/>
    </xf>
    <xf numFmtId="3" fontId="0" fillId="0" borderId="14" xfId="0" applyNumberFormat="1" applyFont="1" applyBorder="1" applyAlignment="1">
      <alignment horizontal="center" wrapText="1"/>
    </xf>
    <xf numFmtId="0" fontId="0" fillId="0" borderId="0" xfId="0" applyAlignment="1">
      <alignment horizontal="center"/>
    </xf>
    <xf numFmtId="0" fontId="3" fillId="0" borderId="0" xfId="0" applyFont="1" applyAlignment="1">
      <alignment/>
    </xf>
    <xf numFmtId="0" fontId="3" fillId="0" borderId="0" xfId="0" applyFont="1" applyAlignment="1">
      <alignment horizontal="center"/>
    </xf>
    <xf numFmtId="0" fontId="0" fillId="0" borderId="15" xfId="0" applyBorder="1" applyAlignment="1">
      <alignment horizontal="center"/>
    </xf>
    <xf numFmtId="0" fontId="0" fillId="0" borderId="15" xfId="0" applyBorder="1" applyAlignment="1">
      <alignment/>
    </xf>
    <xf numFmtId="0" fontId="3" fillId="0" borderId="15" xfId="0" applyFont="1" applyBorder="1" applyAlignment="1">
      <alignment horizontal="center"/>
    </xf>
    <xf numFmtId="0" fontId="0" fillId="0" borderId="0" xfId="0" applyAlignment="1">
      <alignment horizontal="left"/>
    </xf>
    <xf numFmtId="0" fontId="0" fillId="0" borderId="15" xfId="0" applyBorder="1" applyAlignment="1">
      <alignment horizontal="left"/>
    </xf>
    <xf numFmtId="0" fontId="5" fillId="0" borderId="15" xfId="0" applyFont="1" applyBorder="1" applyAlignment="1">
      <alignment horizontal="center"/>
    </xf>
    <xf numFmtId="2" fontId="0" fillId="0" borderId="0" xfId="0" applyNumberFormat="1" applyAlignment="1">
      <alignment horizontal="center"/>
    </xf>
    <xf numFmtId="178" fontId="0" fillId="0" borderId="0" xfId="0" applyNumberFormat="1" applyAlignment="1">
      <alignment horizontal="center"/>
    </xf>
    <xf numFmtId="1" fontId="0" fillId="0" borderId="0" xfId="0" applyNumberFormat="1" applyAlignment="1">
      <alignment horizontal="center"/>
    </xf>
    <xf numFmtId="0" fontId="3" fillId="0" borderId="0" xfId="0" applyFont="1" applyAlignment="1">
      <alignment horizontal="right"/>
    </xf>
    <xf numFmtId="2" fontId="0" fillId="0" borderId="0" xfId="0" applyNumberFormat="1" applyAlignment="1">
      <alignment/>
    </xf>
    <xf numFmtId="0" fontId="0" fillId="0" borderId="0" xfId="0" applyFill="1" applyBorder="1" applyAlignment="1">
      <alignment horizontal="center"/>
    </xf>
    <xf numFmtId="174" fontId="3" fillId="0" borderId="0" xfId="0" applyNumberFormat="1" applyFont="1" applyAlignment="1">
      <alignment/>
    </xf>
    <xf numFmtId="0" fontId="3" fillId="0" borderId="0" xfId="0" applyFont="1" applyAlignment="1">
      <alignment horizontal="left"/>
    </xf>
    <xf numFmtId="174" fontId="3" fillId="0" borderId="0" xfId="0" applyNumberFormat="1" applyFont="1" applyAlignment="1">
      <alignment horizontal="center"/>
    </xf>
    <xf numFmtId="0" fontId="3" fillId="0" borderId="15" xfId="0" applyFont="1" applyBorder="1" applyAlignment="1">
      <alignment horizontal="center" wrapText="1"/>
    </xf>
    <xf numFmtId="2" fontId="0" fillId="0" borderId="15" xfId="0" applyNumberFormat="1" applyBorder="1" applyAlignment="1">
      <alignment horizontal="center"/>
    </xf>
    <xf numFmtId="178" fontId="0" fillId="0" borderId="15" xfId="0" applyNumberFormat="1" applyBorder="1" applyAlignment="1">
      <alignment horizontal="center"/>
    </xf>
    <xf numFmtId="2" fontId="3" fillId="0" borderId="0" xfId="0" applyNumberFormat="1" applyFont="1" applyAlignment="1">
      <alignment horizontal="center"/>
    </xf>
    <xf numFmtId="178" fontId="3" fillId="0" borderId="0" xfId="0" applyNumberFormat="1" applyFont="1" applyAlignment="1">
      <alignment horizontal="center"/>
    </xf>
    <xf numFmtId="0" fontId="10" fillId="0" borderId="0" xfId="0" applyFont="1" applyAlignment="1">
      <alignment/>
    </xf>
    <xf numFmtId="0" fontId="11" fillId="0" borderId="0" xfId="0" applyFont="1" applyAlignment="1">
      <alignment horizontal="left"/>
    </xf>
    <xf numFmtId="0" fontId="5" fillId="0" borderId="0" xfId="0" applyFont="1" applyAlignment="1">
      <alignment/>
    </xf>
    <xf numFmtId="2" fontId="0" fillId="0" borderId="0" xfId="0" applyNumberFormat="1" applyFont="1" applyAlignment="1">
      <alignment horizontal="center"/>
    </xf>
    <xf numFmtId="9" fontId="0" fillId="0" borderId="0" xfId="61" applyFont="1" applyAlignment="1">
      <alignment horizontal="center"/>
    </xf>
    <xf numFmtId="2" fontId="3" fillId="0" borderId="15" xfId="0" applyNumberFormat="1" applyFont="1" applyBorder="1" applyAlignment="1">
      <alignment horizontal="center"/>
    </xf>
    <xf numFmtId="178" fontId="3" fillId="0" borderId="15" xfId="0" applyNumberFormat="1" applyFont="1" applyBorder="1" applyAlignment="1">
      <alignment horizontal="center"/>
    </xf>
    <xf numFmtId="1" fontId="3" fillId="0" borderId="15" xfId="0" applyNumberFormat="1" applyFont="1" applyBorder="1" applyAlignment="1">
      <alignment horizontal="center"/>
    </xf>
    <xf numFmtId="0" fontId="14" fillId="0" borderId="0" xfId="0" applyFont="1" applyAlignment="1">
      <alignment/>
    </xf>
    <xf numFmtId="9" fontId="0" fillId="0" borderId="15" xfId="61" applyFont="1" applyBorder="1" applyAlignment="1">
      <alignment horizontal="center"/>
    </xf>
    <xf numFmtId="9" fontId="13" fillId="33" borderId="16" xfId="61" applyFont="1" applyFill="1" applyBorder="1" applyAlignment="1">
      <alignment horizontal="center" vertical="top" wrapText="1"/>
    </xf>
    <xf numFmtId="0" fontId="5" fillId="34" borderId="0" xfId="0" applyFont="1" applyFill="1" applyAlignment="1">
      <alignment horizontal="left"/>
    </xf>
    <xf numFmtId="0" fontId="0" fillId="0" borderId="17" xfId="0" applyBorder="1" applyAlignment="1">
      <alignment horizontal="left"/>
    </xf>
    <xf numFmtId="0" fontId="16" fillId="35" borderId="0" xfId="0" applyFont="1" applyFill="1" applyAlignment="1">
      <alignment horizontal="center"/>
    </xf>
    <xf numFmtId="3" fontId="0" fillId="0" borderId="0" xfId="0" applyNumberFormat="1" applyAlignment="1">
      <alignment/>
    </xf>
    <xf numFmtId="0" fontId="0" fillId="0" borderId="0" xfId="0" applyAlignment="1">
      <alignment vertical="center"/>
    </xf>
    <xf numFmtId="179" fontId="0" fillId="0" borderId="0" xfId="61" applyNumberFormat="1" applyFont="1" applyAlignment="1">
      <alignment horizontal="center"/>
    </xf>
    <xf numFmtId="9" fontId="0" fillId="0" borderId="0" xfId="0" applyNumberFormat="1" applyAlignment="1">
      <alignment horizontal="center"/>
    </xf>
    <xf numFmtId="1" fontId="0" fillId="0" borderId="15" xfId="0" applyNumberFormat="1" applyBorder="1" applyAlignment="1">
      <alignment horizontal="center"/>
    </xf>
    <xf numFmtId="0" fontId="3" fillId="0" borderId="15" xfId="0" applyFont="1" applyBorder="1" applyAlignment="1">
      <alignment/>
    </xf>
    <xf numFmtId="1" fontId="5" fillId="0" borderId="15" xfId="0" applyNumberFormat="1" applyFont="1" applyBorder="1" applyAlignment="1">
      <alignment horizontal="center"/>
    </xf>
    <xf numFmtId="9" fontId="0" fillId="0" borderId="15" xfId="61" applyFont="1" applyBorder="1" applyAlignment="1">
      <alignment horizontal="center"/>
    </xf>
    <xf numFmtId="1" fontId="0" fillId="0" borderId="0" xfId="61" applyNumberFormat="1" applyFont="1" applyAlignment="1">
      <alignment horizontal="center"/>
    </xf>
    <xf numFmtId="2" fontId="0" fillId="0" borderId="0" xfId="61" applyNumberFormat="1" applyFont="1" applyAlignment="1">
      <alignment horizontal="center"/>
    </xf>
    <xf numFmtId="179" fontId="0" fillId="0" borderId="15" xfId="61" applyNumberFormat="1" applyFont="1" applyBorder="1" applyAlignment="1">
      <alignment horizontal="center"/>
    </xf>
    <xf numFmtId="179" fontId="0" fillId="0" borderId="15" xfId="61" applyNumberFormat="1" applyFont="1" applyBorder="1" applyAlignment="1">
      <alignment horizontal="center"/>
    </xf>
    <xf numFmtId="0" fontId="18" fillId="0" borderId="0" xfId="0" applyFont="1" applyAlignment="1">
      <alignment/>
    </xf>
    <xf numFmtId="178" fontId="5" fillId="0" borderId="0" xfId="0" applyNumberFormat="1" applyFont="1" applyAlignment="1">
      <alignment/>
    </xf>
    <xf numFmtId="0" fontId="0" fillId="0" borderId="15" xfId="0" applyBorder="1" applyAlignment="1">
      <alignment horizontal="center" vertical="center"/>
    </xf>
    <xf numFmtId="0" fontId="0" fillId="0" borderId="15" xfId="0" applyBorder="1" applyAlignment="1">
      <alignment horizontal="center" vertical="center" wrapText="1"/>
    </xf>
    <xf numFmtId="11" fontId="0" fillId="0" borderId="15" xfId="0" applyNumberFormat="1" applyBorder="1" applyAlignment="1">
      <alignment horizontal="center"/>
    </xf>
    <xf numFmtId="0" fontId="0" fillId="0" borderId="18" xfId="0" applyBorder="1" applyAlignment="1">
      <alignment/>
    </xf>
    <xf numFmtId="0" fontId="8" fillId="0" borderId="15" xfId="0" applyFont="1" applyBorder="1" applyAlignment="1">
      <alignment/>
    </xf>
    <xf numFmtId="0" fontId="8" fillId="0" borderId="15" xfId="0" applyFont="1" applyBorder="1" applyAlignment="1">
      <alignment horizontal="center"/>
    </xf>
    <xf numFmtId="0" fontId="0" fillId="0" borderId="15" xfId="0" applyBorder="1" applyAlignment="1">
      <alignment horizontal="right"/>
    </xf>
    <xf numFmtId="9" fontId="0" fillId="0" borderId="15" xfId="0" applyNumberFormat="1" applyBorder="1" applyAlignment="1">
      <alignment horizontal="center"/>
    </xf>
    <xf numFmtId="0" fontId="0" fillId="0" borderId="0" xfId="0" applyBorder="1" applyAlignment="1">
      <alignment horizontal="center"/>
    </xf>
    <xf numFmtId="1" fontId="0" fillId="0" borderId="15" xfId="61" applyNumberFormat="1" applyFont="1" applyBorder="1" applyAlignment="1">
      <alignment horizontal="center"/>
    </xf>
    <xf numFmtId="0" fontId="24" fillId="0" borderId="15" xfId="0" applyFont="1" applyBorder="1" applyAlignment="1">
      <alignment horizontal="center"/>
    </xf>
    <xf numFmtId="2" fontId="24" fillId="0" borderId="15" xfId="0" applyNumberFormat="1" applyFont="1" applyBorder="1" applyAlignment="1">
      <alignment horizontal="center"/>
    </xf>
    <xf numFmtId="11" fontId="24" fillId="0" borderId="15" xfId="0" applyNumberFormat="1" applyFont="1" applyBorder="1" applyAlignment="1">
      <alignment horizontal="center"/>
    </xf>
    <xf numFmtId="0" fontId="5" fillId="34" borderId="0" xfId="0" applyFont="1" applyFill="1" applyAlignment="1">
      <alignment/>
    </xf>
    <xf numFmtId="0" fontId="3" fillId="0" borderId="19" xfId="0" applyFont="1" applyFill="1" applyBorder="1" applyAlignment="1">
      <alignment horizontal="center" wrapText="1"/>
    </xf>
    <xf numFmtId="1" fontId="0" fillId="0" borderId="0" xfId="0" applyNumberFormat="1" applyAlignment="1">
      <alignment/>
    </xf>
    <xf numFmtId="0" fontId="0" fillId="0" borderId="15" xfId="0" applyBorder="1" applyAlignment="1">
      <alignment horizontal="center" vertical="top"/>
    </xf>
    <xf numFmtId="0" fontId="0" fillId="0" borderId="0" xfId="0" applyFill="1" applyAlignment="1">
      <alignment horizontal="center" vertical="center" wrapText="1"/>
    </xf>
    <xf numFmtId="0" fontId="0" fillId="0" borderId="15" xfId="0" applyFill="1" applyBorder="1" applyAlignment="1">
      <alignment horizontal="left" vertical="center" wrapText="1"/>
    </xf>
    <xf numFmtId="0" fontId="0" fillId="0" borderId="0" xfId="0" applyFill="1" applyAlignment="1">
      <alignment horizontal="left" vertical="center"/>
    </xf>
    <xf numFmtId="0" fontId="0" fillId="0" borderId="15" xfId="0" applyFill="1" applyBorder="1" applyAlignment="1">
      <alignment horizontal="center" vertical="center" wrapText="1"/>
    </xf>
    <xf numFmtId="0" fontId="0" fillId="0" borderId="15" xfId="0" applyFill="1" applyBorder="1" applyAlignment="1">
      <alignment horizontal="left" vertical="top"/>
    </xf>
    <xf numFmtId="0" fontId="0" fillId="0" borderId="20" xfId="0" applyFont="1" applyFill="1" applyBorder="1" applyAlignment="1">
      <alignment horizontal="center" vertical="top"/>
    </xf>
    <xf numFmtId="0" fontId="0" fillId="0" borderId="15" xfId="0" applyFill="1" applyBorder="1" applyAlignment="1">
      <alignment horizontal="left" vertical="center"/>
    </xf>
    <xf numFmtId="0" fontId="0" fillId="0" borderId="21" xfId="0" applyFont="1" applyFill="1" applyBorder="1" applyAlignment="1">
      <alignment horizontal="center" vertical="top"/>
    </xf>
    <xf numFmtId="0" fontId="0" fillId="0" borderId="15" xfId="0" applyFill="1" applyBorder="1" applyAlignment="1">
      <alignment horizontal="center" vertical="top"/>
    </xf>
    <xf numFmtId="0" fontId="0" fillId="0" borderId="22" xfId="0" applyFill="1" applyBorder="1" applyAlignment="1">
      <alignment horizontal="center" vertical="center"/>
    </xf>
    <xf numFmtId="0" fontId="0" fillId="0" borderId="15" xfId="0" applyFill="1" applyBorder="1" applyAlignment="1">
      <alignment horizontal="center" vertical="center"/>
    </xf>
    <xf numFmtId="0" fontId="3" fillId="0" borderId="15"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5" xfId="0" applyFont="1" applyBorder="1" applyAlignment="1">
      <alignment vertical="center"/>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Fill="1" applyAlignment="1">
      <alignment vertical="center" wrapText="1"/>
    </xf>
    <xf numFmtId="0" fontId="27" fillId="0" borderId="0" xfId="0" applyFont="1" applyFill="1" applyAlignment="1">
      <alignment horizontal="left" vertical="center"/>
    </xf>
    <xf numFmtId="0" fontId="0" fillId="0" borderId="0" xfId="0" applyFill="1" applyAlignment="1">
      <alignment vertical="center" wrapText="1"/>
    </xf>
    <xf numFmtId="0" fontId="0" fillId="0" borderId="0" xfId="0" applyFill="1" applyAlignment="1">
      <alignment vertical="center"/>
    </xf>
    <xf numFmtId="178" fontId="0" fillId="0" borderId="15" xfId="0" applyNumberFormat="1" applyFill="1" applyBorder="1" applyAlignment="1">
      <alignment horizontal="center" vertical="center"/>
    </xf>
    <xf numFmtId="0" fontId="0" fillId="0" borderId="0" xfId="0" applyFill="1" applyAlignment="1">
      <alignment horizontal="center" vertical="center"/>
    </xf>
    <xf numFmtId="0" fontId="26" fillId="0" borderId="0" xfId="0" applyFont="1" applyFill="1" applyAlignment="1">
      <alignment vertical="center"/>
    </xf>
    <xf numFmtId="0" fontId="26" fillId="0" borderId="0" xfId="0" applyFont="1" applyFill="1" applyAlignment="1">
      <alignment horizontal="left" vertical="center"/>
    </xf>
    <xf numFmtId="1" fontId="0" fillId="0" borderId="15" xfId="0" applyNumberFormat="1" applyFill="1" applyBorder="1" applyAlignment="1">
      <alignment horizontal="center" vertical="center"/>
    </xf>
    <xf numFmtId="178" fontId="0" fillId="0" borderId="15" xfId="0" applyNumberFormat="1" applyBorder="1" applyAlignment="1">
      <alignment horizontal="center" vertical="center"/>
    </xf>
    <xf numFmtId="0" fontId="15" fillId="0" borderId="15" xfId="0" applyFont="1" applyFill="1" applyBorder="1" applyAlignment="1">
      <alignment horizontal="center" vertical="center"/>
    </xf>
    <xf numFmtId="0" fontId="0" fillId="0" borderId="15" xfId="0" applyFill="1" applyBorder="1" applyAlignment="1">
      <alignment vertical="center"/>
    </xf>
    <xf numFmtId="0" fontId="0" fillId="0" borderId="15" xfId="0" applyFill="1" applyBorder="1" applyAlignment="1" quotePrefix="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center" vertical="center"/>
    </xf>
    <xf numFmtId="178" fontId="0" fillId="0" borderId="15"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15" xfId="0" applyFont="1" applyFill="1" applyBorder="1" applyAlignment="1">
      <alignment horizontal="center" vertical="center"/>
    </xf>
    <xf numFmtId="0" fontId="0" fillId="0" borderId="0" xfId="0" applyAlignment="1">
      <alignment horizontal="center" vertical="center"/>
    </xf>
    <xf numFmtId="174" fontId="0" fillId="0" borderId="15" xfId="0" applyNumberFormat="1" applyFill="1" applyBorder="1" applyAlignment="1">
      <alignment horizontal="center" vertical="center"/>
    </xf>
    <xf numFmtId="2" fontId="0" fillId="0" borderId="15" xfId="0" applyNumberFormat="1" applyFill="1" applyBorder="1" applyAlignment="1">
      <alignment horizontal="center" vertical="center"/>
    </xf>
    <xf numFmtId="0" fontId="15" fillId="0" borderId="15" xfId="0" applyFont="1" applyFill="1" applyBorder="1" applyAlignment="1">
      <alignment horizontal="center" vertical="top"/>
    </xf>
    <xf numFmtId="178" fontId="0" fillId="0" borderId="15" xfId="0" applyNumberFormat="1" applyFill="1" applyBorder="1" applyAlignment="1">
      <alignment horizontal="center" vertical="top"/>
    </xf>
    <xf numFmtId="0" fontId="0" fillId="0" borderId="22" xfId="0" applyFill="1" applyBorder="1" applyAlignment="1">
      <alignment horizontal="center" vertical="top"/>
    </xf>
    <xf numFmtId="0" fontId="0" fillId="0" borderId="0" xfId="0" applyFont="1" applyFill="1" applyAlignment="1">
      <alignment horizontal="left" vertical="top"/>
    </xf>
    <xf numFmtId="0" fontId="0" fillId="0" borderId="20" xfId="0" applyFont="1" applyBorder="1" applyAlignment="1">
      <alignment horizontal="center" vertical="top"/>
    </xf>
    <xf numFmtId="0" fontId="0" fillId="0" borderId="15" xfId="0" applyFont="1" applyFill="1" applyBorder="1" applyAlignment="1">
      <alignment horizontal="left" vertical="top"/>
    </xf>
    <xf numFmtId="0" fontId="0" fillId="0" borderId="15" xfId="0" applyFont="1" applyBorder="1" applyAlignment="1">
      <alignment horizontal="left" vertical="top"/>
    </xf>
    <xf numFmtId="0" fontId="0" fillId="0" borderId="23" xfId="0" applyFont="1" applyFill="1" applyBorder="1" applyAlignment="1">
      <alignment horizontal="left" vertical="top"/>
    </xf>
    <xf numFmtId="0" fontId="0" fillId="0" borderId="15" xfId="0" applyFont="1" applyFill="1" applyBorder="1" applyAlignment="1">
      <alignment horizontal="left" vertical="top"/>
    </xf>
    <xf numFmtId="173" fontId="0" fillId="0" borderId="15" xfId="0" applyNumberFormat="1" applyFill="1" applyBorder="1" applyAlignment="1">
      <alignment horizontal="center" vertical="center"/>
    </xf>
    <xf numFmtId="0" fontId="28" fillId="0" borderId="15" xfId="0" applyFont="1" applyFill="1" applyBorder="1" applyAlignment="1">
      <alignment horizontal="left" vertical="center"/>
    </xf>
    <xf numFmtId="173" fontId="0" fillId="0" borderId="0" xfId="0" applyNumberFormat="1" applyAlignment="1">
      <alignment horizontal="center"/>
    </xf>
    <xf numFmtId="0" fontId="0" fillId="0" borderId="15" xfId="0" applyFont="1" applyFill="1" applyBorder="1" applyAlignment="1">
      <alignment horizontal="center" vertical="center" wrapText="1"/>
    </xf>
    <xf numFmtId="2" fontId="0" fillId="0" borderId="15" xfId="0" applyNumberFormat="1" applyFont="1" applyFill="1" applyBorder="1" applyAlignment="1">
      <alignment horizontal="center" vertical="center"/>
    </xf>
    <xf numFmtId="0" fontId="28" fillId="0" borderId="15" xfId="0" applyFont="1" applyFill="1" applyBorder="1" applyAlignment="1" quotePrefix="1">
      <alignment horizontal="left" vertical="center"/>
    </xf>
    <xf numFmtId="0" fontId="0" fillId="0" borderId="23" xfId="0" applyFill="1" applyBorder="1" applyAlignment="1">
      <alignment horizontal="left" vertical="center"/>
    </xf>
    <xf numFmtId="0" fontId="0" fillId="0" borderId="15" xfId="0" applyFont="1" applyFill="1" applyBorder="1" applyAlignment="1">
      <alignment horizontal="left" vertical="center" wrapText="1"/>
    </xf>
    <xf numFmtId="1" fontId="0" fillId="0" borderId="15" xfId="0" applyNumberFormat="1" applyFont="1" applyFill="1" applyBorder="1" applyAlignment="1">
      <alignment horizontal="center" vertical="center"/>
    </xf>
    <xf numFmtId="0" fontId="14" fillId="36" borderId="24" xfId="0" applyFont="1" applyFill="1" applyBorder="1" applyAlignment="1">
      <alignment horizontal="center" vertical="top" wrapText="1"/>
    </xf>
    <xf numFmtId="0" fontId="17" fillId="0" borderId="25" xfId="0" applyFont="1" applyBorder="1" applyAlignment="1">
      <alignment vertical="top"/>
    </xf>
    <xf numFmtId="0" fontId="0" fillId="0" borderId="25" xfId="0" applyBorder="1" applyAlignment="1">
      <alignment horizontal="center" vertical="top"/>
    </xf>
    <xf numFmtId="0" fontId="0" fillId="0" borderId="26" xfId="0" applyBorder="1" applyAlignment="1">
      <alignment vertical="top"/>
    </xf>
    <xf numFmtId="0" fontId="32" fillId="0" borderId="26" xfId="0" applyFont="1" applyBorder="1" applyAlignment="1">
      <alignment vertical="top" wrapText="1"/>
    </xf>
    <xf numFmtId="0" fontId="0" fillId="36" borderId="26" xfId="0" applyFill="1" applyBorder="1" applyAlignment="1">
      <alignment horizontal="center" vertical="top"/>
    </xf>
    <xf numFmtId="0" fontId="25" fillId="36" borderId="25" xfId="0" applyFont="1" applyFill="1" applyBorder="1" applyAlignment="1">
      <alignment vertical="top" wrapText="1"/>
    </xf>
    <xf numFmtId="0" fontId="17" fillId="0" borderId="27" xfId="0" applyFont="1" applyBorder="1" applyAlignment="1">
      <alignment vertical="top"/>
    </xf>
    <xf numFmtId="0" fontId="0" fillId="0" borderId="27" xfId="0" applyBorder="1" applyAlignment="1">
      <alignment horizontal="center" vertical="top"/>
    </xf>
    <xf numFmtId="0" fontId="0" fillId="0" borderId="28" xfId="0" applyBorder="1" applyAlignment="1">
      <alignment vertical="top"/>
    </xf>
    <xf numFmtId="0" fontId="32" fillId="0" borderId="28" xfId="0" applyFont="1" applyBorder="1" applyAlignment="1">
      <alignment vertical="top" wrapText="1"/>
    </xf>
    <xf numFmtId="0" fontId="0" fillId="36" borderId="28" xfId="0" applyFill="1" applyBorder="1" applyAlignment="1">
      <alignment horizontal="center" vertical="top"/>
    </xf>
    <xf numFmtId="0" fontId="25" fillId="36" borderId="28" xfId="0" applyFont="1" applyFill="1" applyBorder="1" applyAlignment="1">
      <alignment vertical="top" wrapText="1"/>
    </xf>
    <xf numFmtId="0" fontId="25" fillId="36" borderId="29" xfId="0" applyFont="1" applyFill="1" applyBorder="1" applyAlignment="1">
      <alignment vertical="top" wrapText="1"/>
    </xf>
    <xf numFmtId="0" fontId="17" fillId="0" borderId="30" xfId="0" applyFont="1" applyBorder="1" applyAlignment="1">
      <alignment vertical="top"/>
    </xf>
    <xf numFmtId="0" fontId="0" fillId="0" borderId="30" xfId="0" applyBorder="1" applyAlignment="1">
      <alignment horizontal="center" vertical="top"/>
    </xf>
    <xf numFmtId="0" fontId="0" fillId="0" borderId="29" xfId="0" applyBorder="1" applyAlignment="1">
      <alignment vertical="top"/>
    </xf>
    <xf numFmtId="0" fontId="32" fillId="0" borderId="29" xfId="0" applyFont="1" applyBorder="1" applyAlignment="1">
      <alignment vertical="top" wrapText="1"/>
    </xf>
    <xf numFmtId="0" fontId="0" fillId="36" borderId="29" xfId="0" applyFill="1" applyBorder="1" applyAlignment="1">
      <alignment horizontal="center" vertical="top"/>
    </xf>
    <xf numFmtId="178" fontId="0" fillId="0" borderId="15" xfId="0" applyNumberFormat="1" applyFont="1" applyFill="1" applyBorder="1" applyAlignment="1">
      <alignment horizontal="center" vertical="center" wrapText="1" shrinkToFit="1"/>
    </xf>
    <xf numFmtId="0" fontId="3" fillId="0" borderId="15" xfId="0" applyFont="1" applyBorder="1" applyAlignment="1">
      <alignment horizontal="left"/>
    </xf>
    <xf numFmtId="9" fontId="13" fillId="33" borderId="16" xfId="61" applyNumberFormat="1" applyFont="1" applyFill="1" applyBorder="1" applyAlignment="1">
      <alignment horizontal="center" vertical="top" wrapText="1"/>
    </xf>
    <xf numFmtId="0" fontId="37" fillId="33" borderId="17" xfId="0" applyFont="1" applyFill="1" applyBorder="1" applyAlignment="1">
      <alignment vertical="top" wrapText="1"/>
    </xf>
    <xf numFmtId="0" fontId="37" fillId="33" borderId="31" xfId="0" applyFont="1" applyFill="1" applyBorder="1" applyAlignment="1">
      <alignment vertical="top" wrapText="1"/>
    </xf>
    <xf numFmtId="0" fontId="37" fillId="33" borderId="31" xfId="0" applyFont="1" applyFill="1" applyBorder="1" applyAlignment="1">
      <alignment horizontal="center" vertical="top" wrapText="1"/>
    </xf>
    <xf numFmtId="0" fontId="34" fillId="33" borderId="32" xfId="0" applyFont="1" applyFill="1" applyBorder="1" applyAlignment="1">
      <alignment vertical="top" wrapText="1"/>
    </xf>
    <xf numFmtId="0" fontId="0" fillId="0" borderId="15"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5" xfId="0" applyFont="1" applyBorder="1" applyAlignment="1">
      <alignment horizontal="center" vertical="center"/>
    </xf>
    <xf numFmtId="0" fontId="0" fillId="0" borderId="15" xfId="0" applyFont="1" applyFill="1" applyBorder="1" applyAlignment="1">
      <alignment horizontal="center" vertical="center" wrapText="1"/>
    </xf>
    <xf numFmtId="1" fontId="0" fillId="0" borderId="15" xfId="0" applyNumberFormat="1" applyFont="1" applyBorder="1" applyAlignment="1">
      <alignment horizontal="center" vertical="center"/>
    </xf>
    <xf numFmtId="0" fontId="0" fillId="0" borderId="15" xfId="0" applyFill="1" applyBorder="1" applyAlignment="1">
      <alignment horizontal="center" vertical="center" wrapText="1" shrinkToFit="1"/>
    </xf>
    <xf numFmtId="178" fontId="0" fillId="0" borderId="15" xfId="0" applyNumberFormat="1" applyFill="1" applyBorder="1" applyAlignment="1" quotePrefix="1">
      <alignment horizontal="center" vertical="center"/>
    </xf>
    <xf numFmtId="0" fontId="0" fillId="0" borderId="22" xfId="0"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5" xfId="0" applyFill="1" applyBorder="1" applyAlignment="1" quotePrefix="1">
      <alignment horizontal="center" vertical="center" wrapText="1"/>
    </xf>
    <xf numFmtId="0" fontId="0" fillId="37" borderId="15" xfId="0" applyFill="1" applyBorder="1" applyAlignment="1">
      <alignment horizontal="left" vertical="center"/>
    </xf>
    <xf numFmtId="0" fontId="0" fillId="37" borderId="15" xfId="0" applyFill="1" applyBorder="1" applyAlignment="1">
      <alignment horizontal="center" vertical="center" wrapText="1"/>
    </xf>
    <xf numFmtId="0" fontId="0" fillId="37" borderId="15" xfId="0" applyFill="1" applyBorder="1" applyAlignment="1">
      <alignment horizontal="center" vertical="center"/>
    </xf>
    <xf numFmtId="178" fontId="0" fillId="37" borderId="15" xfId="0" applyNumberFormat="1" applyFill="1" applyBorder="1" applyAlignment="1">
      <alignment horizontal="center" vertical="center"/>
    </xf>
    <xf numFmtId="2" fontId="0" fillId="37" borderId="15" xfId="0" applyNumberFormat="1" applyFill="1" applyBorder="1" applyAlignment="1">
      <alignment horizontal="center" vertical="center"/>
    </xf>
    <xf numFmtId="0" fontId="0" fillId="37" borderId="22" xfId="0" applyFill="1" applyBorder="1" applyAlignment="1">
      <alignment horizontal="center" vertical="center"/>
    </xf>
    <xf numFmtId="0" fontId="0" fillId="37" borderId="22" xfId="0" applyFill="1" applyBorder="1" applyAlignment="1">
      <alignment horizontal="center" vertical="center" wrapText="1"/>
    </xf>
    <xf numFmtId="0" fontId="0" fillId="38" borderId="15" xfId="0" applyFill="1" applyBorder="1" applyAlignment="1">
      <alignment horizontal="left" vertical="center"/>
    </xf>
    <xf numFmtId="0" fontId="0" fillId="38" borderId="15" xfId="0" applyFill="1" applyBorder="1" applyAlignment="1">
      <alignment horizontal="center" vertical="center" wrapText="1"/>
    </xf>
    <xf numFmtId="0" fontId="0" fillId="38" borderId="15" xfId="0" applyFill="1" applyBorder="1" applyAlignment="1">
      <alignment horizontal="center" vertical="center"/>
    </xf>
    <xf numFmtId="178" fontId="0" fillId="38" borderId="15" xfId="0" applyNumberFormat="1" applyFill="1" applyBorder="1" applyAlignment="1">
      <alignment horizontal="center" vertical="center"/>
    </xf>
    <xf numFmtId="2" fontId="0" fillId="38" borderId="15" xfId="0" applyNumberFormat="1" applyFill="1" applyBorder="1" applyAlignment="1">
      <alignment horizontal="center" vertical="center"/>
    </xf>
    <xf numFmtId="0" fontId="0" fillId="38" borderId="22" xfId="0" applyFill="1" applyBorder="1" applyAlignment="1">
      <alignment horizontal="center" vertical="center"/>
    </xf>
    <xf numFmtId="0" fontId="0" fillId="38" borderId="22" xfId="0" applyFill="1" applyBorder="1" applyAlignment="1">
      <alignment horizontal="center" vertical="center" wrapText="1"/>
    </xf>
    <xf numFmtId="0" fontId="0" fillId="38" borderId="15" xfId="0" applyFont="1" applyFill="1" applyBorder="1" applyAlignment="1">
      <alignment horizontal="left" vertical="center"/>
    </xf>
    <xf numFmtId="0" fontId="0" fillId="37" borderId="15" xfId="0" applyFont="1" applyFill="1" applyBorder="1" applyAlignment="1">
      <alignment horizontal="left" vertical="center"/>
    </xf>
    <xf numFmtId="0" fontId="0" fillId="38" borderId="15" xfId="0" applyFont="1" applyFill="1" applyBorder="1" applyAlignment="1">
      <alignment horizontal="center" vertical="center" wrapText="1"/>
    </xf>
    <xf numFmtId="178" fontId="0" fillId="38" borderId="15" xfId="0" applyNumberFormat="1" applyFont="1" applyFill="1" applyBorder="1" applyAlignment="1">
      <alignment horizontal="center" vertical="center"/>
    </xf>
    <xf numFmtId="0" fontId="0" fillId="38" borderId="22" xfId="0" applyFont="1" applyFill="1" applyBorder="1" applyAlignment="1">
      <alignment horizontal="center" vertical="center"/>
    </xf>
    <xf numFmtId="0" fontId="0" fillId="38" borderId="15" xfId="0" applyFont="1" applyFill="1" applyBorder="1" applyAlignment="1">
      <alignment horizontal="center" vertical="center"/>
    </xf>
    <xf numFmtId="0" fontId="0" fillId="38" borderId="22" xfId="0" applyFont="1" applyFill="1" applyBorder="1" applyAlignment="1">
      <alignment horizontal="center" vertical="center" wrapText="1"/>
    </xf>
    <xf numFmtId="0" fontId="0" fillId="38" borderId="0" xfId="0" applyFill="1" applyAlignment="1">
      <alignment vertical="center"/>
    </xf>
    <xf numFmtId="0" fontId="0" fillId="38" borderId="0" xfId="0" applyFill="1" applyAlignment="1">
      <alignment horizontal="left" vertical="center"/>
    </xf>
    <xf numFmtId="0" fontId="3" fillId="0" borderId="15" xfId="0" applyFont="1" applyBorder="1" applyAlignment="1">
      <alignment horizontal="left" vertical="top" wrapText="1"/>
    </xf>
    <xf numFmtId="14" fontId="0" fillId="0" borderId="0" xfId="0" applyNumberFormat="1" applyAlignment="1">
      <alignment/>
    </xf>
    <xf numFmtId="3" fontId="0" fillId="0" borderId="0" xfId="0" applyNumberFormat="1" applyAlignment="1">
      <alignment horizontal="center"/>
    </xf>
    <xf numFmtId="3" fontId="0" fillId="0" borderId="15" xfId="0" applyNumberFormat="1" applyBorder="1" applyAlignment="1">
      <alignment horizontal="center"/>
    </xf>
    <xf numFmtId="1" fontId="0" fillId="0" borderId="15" xfId="0" applyNumberFormat="1" applyBorder="1" applyAlignment="1">
      <alignment horizontal="center" vertical="center" wrapText="1"/>
    </xf>
    <xf numFmtId="0" fontId="0" fillId="0" borderId="15" xfId="0" applyFill="1" applyBorder="1" applyAlignment="1">
      <alignment/>
    </xf>
    <xf numFmtId="0" fontId="3" fillId="0" borderId="0" xfId="0" applyFont="1" applyAlignment="1">
      <alignment wrapText="1"/>
    </xf>
    <xf numFmtId="0" fontId="3" fillId="0" borderId="15" xfId="0" applyFont="1" applyBorder="1" applyAlignment="1">
      <alignment wrapText="1"/>
    </xf>
    <xf numFmtId="0" fontId="11" fillId="0" borderId="0" xfId="0" applyFont="1" applyAlignment="1">
      <alignment/>
    </xf>
    <xf numFmtId="173" fontId="0" fillId="0" borderId="15" xfId="0" applyNumberFormat="1" applyBorder="1" applyAlignment="1">
      <alignment horizontal="center"/>
    </xf>
    <xf numFmtId="0" fontId="3" fillId="0" borderId="15" xfId="0" applyFont="1" applyBorder="1" applyAlignment="1">
      <alignment horizontal="center" vertical="top" wrapText="1"/>
    </xf>
    <xf numFmtId="0" fontId="0" fillId="0" borderId="15" xfId="0" applyFont="1" applyBorder="1" applyAlignment="1">
      <alignment vertical="top" wrapText="1"/>
    </xf>
    <xf numFmtId="0" fontId="0" fillId="0" borderId="15" xfId="0" applyFont="1" applyFill="1" applyBorder="1" applyAlignment="1">
      <alignment horizontal="center" vertical="top"/>
    </xf>
    <xf numFmtId="0" fontId="0" fillId="0" borderId="15" xfId="0" applyBorder="1" applyAlignment="1" quotePrefix="1">
      <alignment horizontal="center"/>
    </xf>
    <xf numFmtId="0" fontId="0" fillId="0" borderId="33" xfId="0" applyFill="1" applyBorder="1" applyAlignment="1">
      <alignment/>
    </xf>
    <xf numFmtId="0" fontId="11" fillId="0" borderId="34" xfId="0" applyFont="1" applyFill="1" applyBorder="1" applyAlignment="1">
      <alignment/>
    </xf>
    <xf numFmtId="0" fontId="11" fillId="0" borderId="0" xfId="0" applyFont="1" applyFill="1" applyBorder="1" applyAlignment="1">
      <alignment/>
    </xf>
    <xf numFmtId="0" fontId="11" fillId="0" borderId="0" xfId="0" applyFont="1" applyAlignment="1">
      <alignment/>
    </xf>
    <xf numFmtId="0" fontId="0" fillId="0" borderId="15" xfId="0" applyFont="1" applyBorder="1" applyAlignment="1">
      <alignment wrapText="1"/>
    </xf>
    <xf numFmtId="3" fontId="0" fillId="0" borderId="15" xfId="0" applyNumberFormat="1" applyFont="1" applyBorder="1" applyAlignment="1">
      <alignment horizontal="center" wrapText="1"/>
    </xf>
    <xf numFmtId="0" fontId="0" fillId="0" borderId="15" xfId="0" applyFont="1" applyBorder="1" applyAlignment="1">
      <alignment horizontal="left"/>
    </xf>
    <xf numFmtId="0" fontId="0" fillId="0" borderId="15" xfId="0" applyBorder="1" applyAlignment="1">
      <alignment vertical="center"/>
    </xf>
    <xf numFmtId="4" fontId="0" fillId="0" borderId="15" xfId="0" applyNumberFormat="1" applyBorder="1" applyAlignment="1">
      <alignment horizontal="center"/>
    </xf>
    <xf numFmtId="4" fontId="0" fillId="0" borderId="15" xfId="0" applyNumberFormat="1" applyBorder="1" applyAlignment="1" quotePrefix="1">
      <alignment horizontal="center"/>
    </xf>
    <xf numFmtId="0" fontId="3" fillId="0" borderId="15" xfId="0" applyFont="1" applyBorder="1" applyAlignment="1">
      <alignment horizontal="center" vertical="center"/>
    </xf>
    <xf numFmtId="0" fontId="0" fillId="0" borderId="15" xfId="0" applyBorder="1" applyAlignment="1">
      <alignment vertical="center" wrapText="1"/>
    </xf>
    <xf numFmtId="174" fontId="0" fillId="0" borderId="15" xfId="0" applyNumberFormat="1" applyFont="1" applyFill="1" applyBorder="1" applyAlignment="1">
      <alignment horizontal="center" vertical="center"/>
    </xf>
    <xf numFmtId="178" fontId="26" fillId="0" borderId="15" xfId="0" applyNumberFormat="1" applyFont="1" applyBorder="1" applyAlignment="1">
      <alignment horizontal="center"/>
    </xf>
    <xf numFmtId="1" fontId="26" fillId="0" borderId="15" xfId="0" applyNumberFormat="1" applyFont="1" applyBorder="1" applyAlignment="1">
      <alignment horizontal="center"/>
    </xf>
    <xf numFmtId="2" fontId="0" fillId="0" borderId="15" xfId="0" applyNumberFormat="1" applyBorder="1" applyAlignment="1">
      <alignment horizontal="center" vertical="center"/>
    </xf>
    <xf numFmtId="0" fontId="3" fillId="0" borderId="15" xfId="0" applyFont="1" applyFill="1" applyBorder="1" applyAlignment="1">
      <alignment horizontal="center" wrapText="1"/>
    </xf>
    <xf numFmtId="0" fontId="0" fillId="39" borderId="15" xfId="0" applyFill="1" applyBorder="1" applyAlignment="1">
      <alignment/>
    </xf>
    <xf numFmtId="0" fontId="40" fillId="0" borderId="0" xfId="0" applyFont="1" applyAlignment="1">
      <alignment/>
    </xf>
    <xf numFmtId="0" fontId="0" fillId="38" borderId="15" xfId="0" applyFont="1" applyFill="1" applyBorder="1" applyAlignment="1">
      <alignment horizontal="center" vertical="center"/>
    </xf>
    <xf numFmtId="0" fontId="0" fillId="40" borderId="15" xfId="0" applyFill="1" applyBorder="1" applyAlignment="1">
      <alignment horizontal="center"/>
    </xf>
    <xf numFmtId="0" fontId="3" fillId="0" borderId="15" xfId="0" applyFont="1" applyBorder="1" applyAlignment="1">
      <alignment horizontal="left" wrapText="1"/>
    </xf>
    <xf numFmtId="0" fontId="0" fillId="0" borderId="0" xfId="57" applyFont="1" applyAlignment="1">
      <alignment/>
    </xf>
    <xf numFmtId="0" fontId="0" fillId="0" borderId="0" xfId="57" applyFont="1" applyBorder="1" applyAlignment="1">
      <alignment/>
    </xf>
    <xf numFmtId="0" fontId="3" fillId="0" borderId="0" xfId="57" applyFont="1" applyAlignment="1">
      <alignment/>
    </xf>
    <xf numFmtId="0" fontId="3" fillId="0" borderId="15" xfId="57" applyFont="1" applyBorder="1" applyAlignment="1">
      <alignment horizontal="center"/>
    </xf>
    <xf numFmtId="0" fontId="3" fillId="0" borderId="15" xfId="57" applyFont="1" applyBorder="1" applyAlignment="1">
      <alignment/>
    </xf>
    <xf numFmtId="0" fontId="3" fillId="0" borderId="15" xfId="57" applyFont="1" applyBorder="1" applyAlignment="1">
      <alignment horizontal="center"/>
    </xf>
    <xf numFmtId="0" fontId="0" fillId="0" borderId="15" xfId="57" applyFont="1" applyBorder="1" applyAlignment="1">
      <alignment/>
    </xf>
    <xf numFmtId="0" fontId="0" fillId="0" borderId="15" xfId="57" applyFont="1" applyBorder="1" applyAlignment="1">
      <alignment horizontal="center"/>
    </xf>
    <xf numFmtId="0" fontId="0" fillId="0" borderId="15" xfId="57" applyFont="1" applyBorder="1" applyAlignment="1" quotePrefix="1">
      <alignment horizontal="center"/>
    </xf>
    <xf numFmtId="1" fontId="0" fillId="0" borderId="15" xfId="57" applyNumberFormat="1" applyFont="1" applyBorder="1" applyAlignment="1">
      <alignment horizontal="center"/>
    </xf>
    <xf numFmtId="0" fontId="0" fillId="0" borderId="15" xfId="57" applyFont="1" applyFill="1" applyBorder="1" applyAlignment="1">
      <alignment/>
    </xf>
    <xf numFmtId="1" fontId="0" fillId="0" borderId="15" xfId="57" applyNumberFormat="1" applyFont="1" applyBorder="1" applyAlignment="1" quotePrefix="1">
      <alignment horizontal="center"/>
    </xf>
    <xf numFmtId="0" fontId="0" fillId="0" borderId="0" xfId="57" applyFont="1" applyFill="1" applyBorder="1" applyAlignment="1">
      <alignment/>
    </xf>
    <xf numFmtId="0" fontId="0" fillId="0" borderId="0" xfId="57" applyFont="1" applyBorder="1" applyAlignment="1">
      <alignment horizontal="center"/>
    </xf>
    <xf numFmtId="0" fontId="0" fillId="0" borderId="0" xfId="57" applyFont="1" applyBorder="1" applyAlignment="1" quotePrefix="1">
      <alignment horizontal="center"/>
    </xf>
    <xf numFmtId="1" fontId="0" fillId="0" borderId="0" xfId="57" applyNumberFormat="1" applyFont="1" applyBorder="1" applyAlignment="1" quotePrefix="1">
      <alignment horizontal="center"/>
    </xf>
    <xf numFmtId="1" fontId="0" fillId="0" borderId="0" xfId="57" applyNumberFormat="1" applyFont="1" applyBorder="1" applyAlignment="1">
      <alignment horizontal="center"/>
    </xf>
    <xf numFmtId="0" fontId="3" fillId="0" borderId="0" xfId="57" applyFont="1" applyAlignment="1">
      <alignment/>
    </xf>
    <xf numFmtId="2" fontId="3" fillId="0" borderId="0" xfId="57" applyNumberFormat="1" applyFont="1" applyBorder="1" applyAlignment="1">
      <alignment horizontal="center"/>
    </xf>
    <xf numFmtId="0" fontId="3" fillId="0" borderId="0" xfId="57" applyFont="1" applyBorder="1" applyAlignment="1">
      <alignment horizontal="center"/>
    </xf>
    <xf numFmtId="0" fontId="3" fillId="0" borderId="35" xfId="57" applyFont="1" applyBorder="1" applyAlignment="1">
      <alignment/>
    </xf>
    <xf numFmtId="0" fontId="3" fillId="0" borderId="22" xfId="57" applyFont="1" applyBorder="1" applyAlignment="1">
      <alignment horizontal="center"/>
    </xf>
    <xf numFmtId="0" fontId="0" fillId="0" borderId="20" xfId="57" applyFont="1" applyBorder="1" applyAlignment="1">
      <alignment horizontal="center" wrapText="1"/>
    </xf>
    <xf numFmtId="0" fontId="0" fillId="0" borderId="20" xfId="57" applyFont="1" applyBorder="1" applyAlignment="1">
      <alignment horizontal="center" vertical="top" wrapText="1"/>
    </xf>
    <xf numFmtId="0" fontId="0" fillId="0" borderId="20" xfId="57" applyFont="1" applyBorder="1" applyAlignment="1" quotePrefix="1">
      <alignment horizontal="center" vertical="top" wrapText="1"/>
    </xf>
    <xf numFmtId="0" fontId="0" fillId="0" borderId="23" xfId="57" applyFont="1" applyBorder="1" applyAlignment="1">
      <alignment horizontal="center" vertical="top" wrapText="1"/>
    </xf>
    <xf numFmtId="3" fontId="0" fillId="0" borderId="15" xfId="57" applyNumberFormat="1" applyFont="1" applyBorder="1" applyAlignment="1">
      <alignment horizontal="center"/>
    </xf>
    <xf numFmtId="178" fontId="0" fillId="0" borderId="15" xfId="57" applyNumberFormat="1" applyFont="1" applyBorder="1" applyAlignment="1">
      <alignment horizontal="center"/>
    </xf>
    <xf numFmtId="178" fontId="0" fillId="0" borderId="15" xfId="57" applyNumberFormat="1" applyFont="1" applyBorder="1" applyAlignment="1" quotePrefix="1">
      <alignment horizontal="center"/>
    </xf>
    <xf numFmtId="3" fontId="0" fillId="0" borderId="0" xfId="57" applyNumberFormat="1" applyFont="1" applyAlignment="1">
      <alignment/>
    </xf>
    <xf numFmtId="2" fontId="0" fillId="0" borderId="15" xfId="57" applyNumberFormat="1" applyFont="1" applyBorder="1" applyAlignment="1">
      <alignment horizontal="center"/>
    </xf>
    <xf numFmtId="0" fontId="0" fillId="0" borderId="15" xfId="0" applyBorder="1" applyAlignment="1" quotePrefix="1">
      <alignment horizontal="center" vertical="center"/>
    </xf>
    <xf numFmtId="1" fontId="0" fillId="0" borderId="15" xfId="0" applyNumberFormat="1" applyBorder="1" applyAlignment="1">
      <alignment horizontal="center" vertical="center"/>
    </xf>
    <xf numFmtId="174" fontId="0" fillId="38" borderId="15" xfId="0" applyNumberFormat="1" applyFill="1" applyBorder="1" applyAlignment="1">
      <alignment horizontal="center" vertical="center"/>
    </xf>
    <xf numFmtId="11" fontId="0" fillId="0" borderId="15" xfId="0" applyNumberFormat="1" applyBorder="1" applyAlignment="1" quotePrefix="1">
      <alignment horizontal="center" vertical="center"/>
    </xf>
    <xf numFmtId="174" fontId="0" fillId="0" borderId="15" xfId="0" applyNumberFormat="1" applyBorder="1" applyAlignment="1">
      <alignment horizontal="center"/>
    </xf>
    <xf numFmtId="174" fontId="15" fillId="0" borderId="15" xfId="0" applyNumberFormat="1" applyFont="1" applyFill="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34" xfId="0" applyFill="1" applyBorder="1" applyAlignment="1">
      <alignment horizontal="left" vertical="center"/>
    </xf>
    <xf numFmtId="0" fontId="0" fillId="0" borderId="34" xfId="0" applyFill="1" applyBorder="1" applyAlignment="1">
      <alignment horizontal="center" vertical="center"/>
    </xf>
    <xf numFmtId="0" fontId="0" fillId="0" borderId="34" xfId="0" applyBorder="1" applyAlignment="1">
      <alignment horizontal="center" vertical="center"/>
    </xf>
    <xf numFmtId="0" fontId="0" fillId="37" borderId="15" xfId="0" applyFill="1" applyBorder="1" applyAlignment="1">
      <alignment horizontal="center"/>
    </xf>
    <xf numFmtId="2" fontId="0" fillId="37" borderId="15" xfId="0" applyNumberFormat="1" applyFill="1" applyBorder="1" applyAlignment="1">
      <alignment horizontal="center"/>
    </xf>
    <xf numFmtId="11" fontId="0" fillId="37" borderId="15" xfId="0" applyNumberFormat="1" applyFill="1" applyBorder="1" applyAlignment="1">
      <alignment horizontal="center"/>
    </xf>
    <xf numFmtId="0" fontId="8" fillId="0" borderId="0" xfId="0" applyFont="1" applyAlignment="1">
      <alignment/>
    </xf>
    <xf numFmtId="14" fontId="0" fillId="0" borderId="15" xfId="0" applyNumberFormat="1" applyBorder="1" applyAlignment="1">
      <alignment horizontal="center"/>
    </xf>
    <xf numFmtId="172" fontId="3" fillId="0" borderId="0" xfId="0" applyNumberFormat="1" applyFont="1" applyAlignment="1">
      <alignment/>
    </xf>
    <xf numFmtId="0" fontId="0" fillId="0" borderId="22" xfId="0" applyBorder="1" applyAlignment="1">
      <alignment/>
    </xf>
    <xf numFmtId="0" fontId="0" fillId="0" borderId="21" xfId="0" applyBorder="1" applyAlignment="1">
      <alignment/>
    </xf>
    <xf numFmtId="178" fontId="3" fillId="0" borderId="0" xfId="0" applyNumberFormat="1" applyFont="1" applyAlignment="1">
      <alignment/>
    </xf>
    <xf numFmtId="178" fontId="10" fillId="0" borderId="0" xfId="0" applyNumberFormat="1" applyFont="1" applyAlignment="1">
      <alignment/>
    </xf>
    <xf numFmtId="2" fontId="0" fillId="0" borderId="0" xfId="0" applyNumberFormat="1" applyFont="1" applyBorder="1" applyAlignment="1">
      <alignment horizontal="center"/>
    </xf>
    <xf numFmtId="173" fontId="0" fillId="0" borderId="0" xfId="0" applyNumberFormat="1" applyAlignment="1">
      <alignment/>
    </xf>
    <xf numFmtId="178" fontId="0" fillId="0" borderId="0" xfId="0" applyNumberFormat="1" applyAlignment="1">
      <alignment/>
    </xf>
    <xf numFmtId="2" fontId="5" fillId="0" borderId="0" xfId="0" applyNumberFormat="1" applyFont="1" applyAlignment="1">
      <alignment/>
    </xf>
    <xf numFmtId="174" fontId="5" fillId="0" borderId="0" xfId="0" applyNumberFormat="1" applyFont="1" applyAlignment="1">
      <alignment/>
    </xf>
    <xf numFmtId="174" fontId="0" fillId="0" borderId="0" xfId="0" applyNumberFormat="1" applyFont="1" applyAlignment="1">
      <alignment/>
    </xf>
    <xf numFmtId="173" fontId="0" fillId="0" borderId="0" xfId="0" applyNumberFormat="1" applyFont="1" applyAlignment="1">
      <alignment/>
    </xf>
    <xf numFmtId="178" fontId="0" fillId="0" borderId="0" xfId="0" applyNumberFormat="1" applyFont="1" applyAlignment="1">
      <alignment/>
    </xf>
    <xf numFmtId="0" fontId="0" fillId="0" borderId="33" xfId="0" applyFont="1" applyFill="1" applyBorder="1" applyAlignment="1">
      <alignment horizontal="center" vertical="top"/>
    </xf>
    <xf numFmtId="0" fontId="0" fillId="0" borderId="33" xfId="0" applyFont="1" applyFill="1" applyBorder="1" applyAlignment="1">
      <alignment vertical="top" wrapText="1"/>
    </xf>
    <xf numFmtId="0" fontId="0" fillId="0" borderId="23" xfId="0" applyBorder="1" applyAlignment="1">
      <alignment/>
    </xf>
    <xf numFmtId="0" fontId="45" fillId="0" borderId="0" xfId="58" applyFont="1" applyFill="1" applyAlignment="1">
      <alignment horizontal="left"/>
      <protection/>
    </xf>
    <xf numFmtId="0" fontId="15" fillId="0" borderId="0" xfId="58" applyAlignment="1">
      <alignment/>
      <protection/>
    </xf>
    <xf numFmtId="0" fontId="15" fillId="0" borderId="0" xfId="58" applyFill="1" applyAlignment="1">
      <alignment horizontal="left" wrapText="1"/>
      <protection/>
    </xf>
    <xf numFmtId="0" fontId="15" fillId="0" borderId="0" xfId="58" applyAlignment="1">
      <alignment horizontal="left" wrapText="1"/>
      <protection/>
    </xf>
    <xf numFmtId="178" fontId="15" fillId="0" borderId="0" xfId="58" applyNumberFormat="1" applyAlignment="1">
      <alignment horizontal="center" wrapText="1"/>
      <protection/>
    </xf>
    <xf numFmtId="0" fontId="15" fillId="0" borderId="0" xfId="58" applyAlignment="1">
      <alignment wrapText="1"/>
      <protection/>
    </xf>
    <xf numFmtId="0" fontId="15" fillId="0" borderId="0" xfId="58" applyAlignment="1">
      <alignment horizontal="center" wrapText="1"/>
      <protection/>
    </xf>
    <xf numFmtId="0" fontId="14" fillId="0" borderId="24" xfId="58" applyFont="1" applyFill="1" applyBorder="1" applyAlignment="1">
      <alignment horizontal="center" wrapText="1"/>
      <protection/>
    </xf>
    <xf numFmtId="0" fontId="14" fillId="0" borderId="36" xfId="58" applyFont="1" applyBorder="1" applyAlignment="1">
      <alignment horizontal="center" wrapText="1"/>
      <protection/>
    </xf>
    <xf numFmtId="0" fontId="3" fillId="0" borderId="24" xfId="0" applyFont="1" applyBorder="1" applyAlignment="1">
      <alignment horizontal="center" wrapText="1"/>
    </xf>
    <xf numFmtId="178" fontId="14" fillId="0" borderId="24" xfId="58" applyNumberFormat="1" applyFont="1" applyBorder="1" applyAlignment="1">
      <alignment horizontal="center" wrapText="1"/>
      <protection/>
    </xf>
    <xf numFmtId="0" fontId="14" fillId="0" borderId="24" xfId="58" applyFont="1" applyBorder="1" applyAlignment="1">
      <alignment horizontal="center" wrapText="1"/>
      <protection/>
    </xf>
    <xf numFmtId="0" fontId="15" fillId="0" borderId="24" xfId="58" applyFill="1" applyBorder="1" applyAlignment="1">
      <alignment horizontal="center" wrapText="1"/>
      <protection/>
    </xf>
    <xf numFmtId="0" fontId="3" fillId="0" borderId="24" xfId="0" applyFont="1" applyBorder="1" applyAlignment="1">
      <alignment horizontal="center"/>
    </xf>
    <xf numFmtId="178" fontId="15" fillId="0" borderId="24" xfId="58" applyNumberFormat="1" applyBorder="1" applyAlignment="1">
      <alignment horizontal="center" wrapText="1"/>
      <protection/>
    </xf>
    <xf numFmtId="0" fontId="15" fillId="0" borderId="24" xfId="58" applyBorder="1" applyAlignment="1">
      <alignment horizontal="center" wrapText="1"/>
      <protection/>
    </xf>
    <xf numFmtId="1" fontId="0" fillId="0" borderId="15" xfId="0" applyNumberFormat="1" applyBorder="1" applyAlignment="1">
      <alignment/>
    </xf>
    <xf numFmtId="0" fontId="0" fillId="0" borderId="0" xfId="0" applyBorder="1" applyAlignment="1">
      <alignment/>
    </xf>
    <xf numFmtId="0" fontId="0" fillId="0" borderId="37" xfId="0" applyBorder="1" applyAlignment="1">
      <alignment/>
    </xf>
    <xf numFmtId="0" fontId="3" fillId="0" borderId="38" xfId="0" applyFont="1" applyBorder="1" applyAlignment="1">
      <alignment horizontal="center" wrapText="1"/>
    </xf>
    <xf numFmtId="0" fontId="3" fillId="0" borderId="39"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xf>
    <xf numFmtId="0" fontId="3" fillId="0" borderId="42" xfId="0" applyFont="1" applyBorder="1" applyAlignment="1">
      <alignment/>
    </xf>
    <xf numFmtId="1" fontId="3" fillId="0" borderId="43" xfId="0" applyNumberFormat="1" applyFont="1" applyBorder="1" applyAlignment="1">
      <alignment horizontal="center"/>
    </xf>
    <xf numFmtId="178" fontId="3" fillId="0" borderId="44" xfId="0" applyNumberFormat="1" applyFont="1" applyBorder="1" applyAlignment="1">
      <alignment horizontal="center"/>
    </xf>
    <xf numFmtId="178" fontId="3" fillId="0" borderId="45" xfId="0" applyNumberFormat="1" applyFont="1" applyBorder="1" applyAlignment="1">
      <alignment horizontal="center"/>
    </xf>
    <xf numFmtId="178" fontId="3" fillId="0" borderId="46" xfId="0" applyNumberFormat="1" applyFont="1" applyBorder="1" applyAlignment="1">
      <alignment horizontal="center"/>
    </xf>
    <xf numFmtId="178" fontId="3" fillId="0" borderId="47" xfId="0" applyNumberFormat="1" applyFont="1" applyBorder="1" applyAlignment="1">
      <alignment horizontal="center"/>
    </xf>
    <xf numFmtId="0" fontId="24" fillId="0" borderId="15" xfId="0" applyFont="1" applyBorder="1" applyAlignment="1">
      <alignment horizontal="center"/>
    </xf>
    <xf numFmtId="1" fontId="24" fillId="0" borderId="15" xfId="0" applyNumberFormat="1" applyFont="1" applyBorder="1" applyAlignment="1">
      <alignment horizontal="center"/>
    </xf>
    <xf numFmtId="0" fontId="34" fillId="0" borderId="0" xfId="58" applyFont="1" applyAlignment="1">
      <alignment/>
      <protection/>
    </xf>
    <xf numFmtId="0" fontId="34" fillId="0" borderId="48" xfId="58" applyFont="1" applyFill="1" applyBorder="1" applyAlignment="1">
      <alignment horizontal="left" wrapText="1"/>
      <protection/>
    </xf>
    <xf numFmtId="0" fontId="34" fillId="0" borderId="23" xfId="58" applyFont="1" applyBorder="1" applyAlignment="1">
      <alignment horizontal="left" wrapText="1"/>
      <protection/>
    </xf>
    <xf numFmtId="174" fontId="18" fillId="0" borderId="23" xfId="0" applyNumberFormat="1" applyFont="1" applyBorder="1" applyAlignment="1">
      <alignment/>
    </xf>
    <xf numFmtId="178" fontId="34" fillId="0" borderId="23" xfId="58" applyNumberFormat="1" applyFont="1" applyBorder="1" applyAlignment="1">
      <alignment horizontal="center" wrapText="1"/>
      <protection/>
    </xf>
    <xf numFmtId="0" fontId="34" fillId="0" borderId="23" xfId="58" applyFont="1" applyBorder="1" applyAlignment="1">
      <alignment wrapText="1"/>
      <protection/>
    </xf>
    <xf numFmtId="0" fontId="34" fillId="0" borderId="23" xfId="58" applyFont="1" applyBorder="1" applyAlignment="1">
      <alignment horizontal="center" wrapText="1"/>
      <protection/>
    </xf>
    <xf numFmtId="0" fontId="18" fillId="0" borderId="23" xfId="0" applyFont="1" applyBorder="1" applyAlignment="1">
      <alignment/>
    </xf>
    <xf numFmtId="0" fontId="34" fillId="0" borderId="41" xfId="58" applyFont="1" applyFill="1" applyBorder="1" applyAlignment="1">
      <alignment horizontal="left" wrapText="1"/>
      <protection/>
    </xf>
    <xf numFmtId="0" fontId="34" fillId="0" borderId="15" xfId="58" applyFont="1" applyBorder="1" applyAlignment="1">
      <alignment horizontal="left" wrapText="1"/>
      <protection/>
    </xf>
    <xf numFmtId="174" fontId="18" fillId="0" borderId="15" xfId="0" applyNumberFormat="1" applyFont="1" applyBorder="1" applyAlignment="1">
      <alignment/>
    </xf>
    <xf numFmtId="178" fontId="34" fillId="0" borderId="15" xfId="58" applyNumberFormat="1" applyFont="1" applyBorder="1" applyAlignment="1">
      <alignment horizontal="center" wrapText="1"/>
      <protection/>
    </xf>
    <xf numFmtId="0" fontId="34" fillId="0" borderId="15" xfId="58" applyFont="1" applyBorder="1" applyAlignment="1">
      <alignment wrapText="1"/>
      <protection/>
    </xf>
    <xf numFmtId="0" fontId="34" fillId="0" borderId="15" xfId="58" applyFont="1" applyBorder="1" applyAlignment="1">
      <alignment horizontal="center" wrapText="1"/>
      <protection/>
    </xf>
    <xf numFmtId="0" fontId="18" fillId="0" borderId="15" xfId="0" applyFont="1" applyBorder="1" applyAlignment="1">
      <alignment/>
    </xf>
    <xf numFmtId="0" fontId="46" fillId="0" borderId="15" xfId="58" applyFont="1" applyBorder="1" applyAlignment="1">
      <alignment horizontal="center" wrapText="1"/>
      <protection/>
    </xf>
    <xf numFmtId="0" fontId="46" fillId="0" borderId="15" xfId="58" applyFont="1" applyBorder="1" applyAlignment="1">
      <alignment wrapText="1"/>
      <protection/>
    </xf>
    <xf numFmtId="178" fontId="34" fillId="0" borderId="15" xfId="58" applyNumberFormat="1" applyFont="1" applyFill="1" applyBorder="1" applyAlignment="1">
      <alignment horizontal="center" wrapText="1"/>
      <protection/>
    </xf>
    <xf numFmtId="0" fontId="18" fillId="0" borderId="41" xfId="0" applyFont="1" applyFill="1" applyBorder="1" applyAlignment="1">
      <alignment/>
    </xf>
    <xf numFmtId="1" fontId="18" fillId="0" borderId="15" xfId="0" applyNumberFormat="1" applyFont="1" applyBorder="1" applyAlignment="1">
      <alignment/>
    </xf>
    <xf numFmtId="0" fontId="18" fillId="0" borderId="49" xfId="0" applyFont="1" applyFill="1" applyBorder="1" applyAlignment="1">
      <alignment/>
    </xf>
    <xf numFmtId="0" fontId="18" fillId="0" borderId="0" xfId="0" applyFont="1" applyBorder="1" applyAlignment="1">
      <alignment/>
    </xf>
    <xf numFmtId="0" fontId="34" fillId="0" borderId="42" xfId="58" applyFont="1" applyFill="1" applyBorder="1" applyAlignment="1">
      <alignment horizontal="left" wrapText="1"/>
      <protection/>
    </xf>
    <xf numFmtId="0" fontId="18" fillId="0" borderId="50" xfId="0" applyFont="1" applyBorder="1" applyAlignment="1">
      <alignment/>
    </xf>
    <xf numFmtId="174" fontId="18" fillId="0" borderId="37" xfId="0" applyNumberFormat="1" applyFont="1" applyBorder="1" applyAlignment="1">
      <alignment/>
    </xf>
    <xf numFmtId="178" fontId="34" fillId="0" borderId="37" xfId="58" applyNumberFormat="1" applyFont="1" applyBorder="1" applyAlignment="1">
      <alignment horizontal="center" wrapText="1"/>
      <protection/>
    </xf>
    <xf numFmtId="0" fontId="34" fillId="0" borderId="37" xfId="58" applyFont="1" applyBorder="1" applyAlignment="1">
      <alignment wrapText="1"/>
      <protection/>
    </xf>
    <xf numFmtId="0" fontId="34" fillId="0" borderId="37" xfId="58" applyFont="1" applyBorder="1" applyAlignment="1">
      <alignment horizontal="center" wrapText="1"/>
      <protection/>
    </xf>
    <xf numFmtId="0" fontId="18" fillId="0" borderId="37" xfId="0" applyFont="1" applyBorder="1" applyAlignment="1">
      <alignment/>
    </xf>
    <xf numFmtId="0" fontId="5" fillId="0" borderId="22" xfId="0" applyFont="1" applyBorder="1" applyAlignment="1">
      <alignment/>
    </xf>
    <xf numFmtId="0" fontId="5" fillId="0" borderId="45" xfId="0" applyFont="1" applyBorder="1" applyAlignment="1">
      <alignment/>
    </xf>
    <xf numFmtId="1" fontId="5" fillId="0" borderId="22" xfId="0" applyNumberFormat="1" applyFont="1" applyBorder="1" applyAlignment="1">
      <alignment/>
    </xf>
    <xf numFmtId="1" fontId="5" fillId="0" borderId="37" xfId="0" applyNumberFormat="1" applyFont="1" applyBorder="1" applyAlignment="1">
      <alignment/>
    </xf>
    <xf numFmtId="0" fontId="5" fillId="0" borderId="47" xfId="0" applyFont="1" applyBorder="1" applyAlignment="1">
      <alignment/>
    </xf>
    <xf numFmtId="3" fontId="3" fillId="0" borderId="0" xfId="0" applyNumberFormat="1" applyFont="1" applyAlignment="1">
      <alignment/>
    </xf>
    <xf numFmtId="0" fontId="24" fillId="0" borderId="0" xfId="0" applyFont="1" applyAlignment="1">
      <alignment/>
    </xf>
    <xf numFmtId="4" fontId="3" fillId="0" borderId="0" xfId="0" applyNumberFormat="1" applyFont="1" applyAlignment="1">
      <alignment/>
    </xf>
    <xf numFmtId="0" fontId="18" fillId="0" borderId="0" xfId="0" applyFont="1" applyFill="1" applyBorder="1" applyAlignment="1">
      <alignment horizontal="left"/>
    </xf>
    <xf numFmtId="0" fontId="37" fillId="0" borderId="0" xfId="0" applyFont="1" applyAlignment="1">
      <alignment/>
    </xf>
    <xf numFmtId="1" fontId="37" fillId="0" borderId="15" xfId="0" applyNumberFormat="1" applyFont="1" applyBorder="1" applyAlignment="1">
      <alignment horizontal="center"/>
    </xf>
    <xf numFmtId="0" fontId="26" fillId="0" borderId="0" xfId="0" applyFont="1" applyAlignment="1">
      <alignment/>
    </xf>
    <xf numFmtId="0" fontId="26" fillId="0" borderId="15" xfId="0" applyFont="1" applyBorder="1" applyAlignment="1">
      <alignment horizontal="center"/>
    </xf>
    <xf numFmtId="0" fontId="26" fillId="0" borderId="15" xfId="0" applyFont="1" applyBorder="1" applyAlignment="1">
      <alignment horizontal="right"/>
    </xf>
    <xf numFmtId="0" fontId="14" fillId="41" borderId="51" xfId="0" applyFont="1" applyFill="1" applyBorder="1" applyAlignment="1">
      <alignment/>
    </xf>
    <xf numFmtId="0" fontId="14" fillId="41" borderId="52" xfId="0" applyFont="1" applyFill="1" applyBorder="1" applyAlignment="1">
      <alignment/>
    </xf>
    <xf numFmtId="0" fontId="14" fillId="41" borderId="53" xfId="0" applyFont="1" applyFill="1" applyBorder="1" applyAlignment="1">
      <alignment/>
    </xf>
    <xf numFmtId="0" fontId="0" fillId="0" borderId="49" xfId="0" applyBorder="1" applyAlignment="1">
      <alignment/>
    </xf>
    <xf numFmtId="0" fontId="0" fillId="0" borderId="46" xfId="0" applyBorder="1" applyAlignment="1">
      <alignment/>
    </xf>
    <xf numFmtId="0" fontId="0" fillId="0" borderId="0" xfId="0" applyBorder="1" applyAlignment="1" quotePrefix="1">
      <alignment/>
    </xf>
    <xf numFmtId="0" fontId="0" fillId="42" borderId="54" xfId="0" applyFill="1" applyBorder="1" applyAlignment="1">
      <alignment vertical="top" wrapText="1"/>
    </xf>
    <xf numFmtId="0" fontId="0" fillId="42" borderId="55" xfId="0" applyFill="1" applyBorder="1" applyAlignment="1">
      <alignment vertical="top" wrapText="1"/>
    </xf>
    <xf numFmtId="0" fontId="0" fillId="0" borderId="50" xfId="0" applyBorder="1" applyAlignment="1">
      <alignment/>
    </xf>
    <xf numFmtId="0" fontId="0" fillId="0" borderId="13" xfId="0" applyBorder="1" applyAlignment="1">
      <alignment/>
    </xf>
    <xf numFmtId="1" fontId="0" fillId="34" borderId="0" xfId="0" applyNumberFormat="1" applyFill="1" applyBorder="1" applyAlignment="1">
      <alignment/>
    </xf>
    <xf numFmtId="0" fontId="5" fillId="0" borderId="49" xfId="0" applyFont="1" applyBorder="1" applyAlignment="1">
      <alignment/>
    </xf>
    <xf numFmtId="0" fontId="5" fillId="0" borderId="0" xfId="0" applyFont="1" applyFill="1" applyBorder="1" applyAlignment="1">
      <alignment/>
    </xf>
    <xf numFmtId="0" fontId="5" fillId="0" borderId="56" xfId="0" applyFont="1" applyBorder="1" applyAlignment="1">
      <alignment/>
    </xf>
    <xf numFmtId="0" fontId="48" fillId="43" borderId="49" xfId="0" applyFont="1" applyFill="1" applyBorder="1" applyAlignment="1">
      <alignment/>
    </xf>
    <xf numFmtId="0" fontId="0" fillId="43" borderId="0" xfId="0" applyFill="1" applyBorder="1" applyAlignment="1">
      <alignment/>
    </xf>
    <xf numFmtId="0" fontId="5" fillId="43" borderId="0" xfId="0" applyFont="1" applyFill="1" applyBorder="1" applyAlignment="1">
      <alignment/>
    </xf>
    <xf numFmtId="0" fontId="47" fillId="43" borderId="0" xfId="0" applyFont="1" applyFill="1" applyBorder="1" applyAlignment="1">
      <alignment/>
    </xf>
    <xf numFmtId="0" fontId="0" fillId="43" borderId="46" xfId="0" applyFill="1" applyBorder="1" applyAlignment="1">
      <alignment/>
    </xf>
    <xf numFmtId="0" fontId="0" fillId="44" borderId="15" xfId="0" applyFill="1" applyBorder="1" applyAlignment="1">
      <alignment horizontal="center"/>
    </xf>
    <xf numFmtId="3" fontId="0" fillId="0" borderId="0" xfId="0" applyNumberFormat="1" applyFont="1" applyFill="1" applyAlignment="1">
      <alignment horizontal="center"/>
    </xf>
    <xf numFmtId="0" fontId="0" fillId="0" borderId="57" xfId="0" applyBorder="1" applyAlignment="1">
      <alignment horizontal="center"/>
    </xf>
    <xf numFmtId="0" fontId="49" fillId="0" borderId="15" xfId="0" applyFont="1" applyBorder="1" applyAlignment="1">
      <alignment horizontal="center"/>
    </xf>
    <xf numFmtId="0" fontId="49" fillId="0" borderId="15" xfId="0" applyFont="1" applyBorder="1" applyAlignment="1">
      <alignment/>
    </xf>
    <xf numFmtId="3" fontId="49" fillId="0" borderId="15" xfId="0" applyNumberFormat="1" applyFont="1" applyBorder="1" applyAlignment="1">
      <alignment/>
    </xf>
    <xf numFmtId="3" fontId="49" fillId="0" borderId="15" xfId="0" applyNumberFormat="1" applyFont="1" applyBorder="1" applyAlignment="1">
      <alignment horizontal="center"/>
    </xf>
    <xf numFmtId="0" fontId="49" fillId="0" borderId="0" xfId="0" applyFont="1" applyAlignment="1">
      <alignment/>
    </xf>
    <xf numFmtId="0" fontId="49" fillId="0" borderId="0" xfId="0" applyFont="1" applyAlignment="1">
      <alignment horizontal="center"/>
    </xf>
    <xf numFmtId="3" fontId="3" fillId="0" borderId="0" xfId="0" applyNumberFormat="1" applyFont="1" applyAlignment="1">
      <alignment horizontal="center"/>
    </xf>
    <xf numFmtId="168" fontId="3" fillId="0" borderId="0" xfId="0" applyNumberFormat="1" applyFont="1" applyAlignment="1">
      <alignment horizontal="center"/>
    </xf>
    <xf numFmtId="0" fontId="48" fillId="0" borderId="0" xfId="0" applyFont="1" applyAlignment="1">
      <alignment/>
    </xf>
    <xf numFmtId="14" fontId="49" fillId="0" borderId="15" xfId="0" applyNumberFormat="1" applyFont="1" applyBorder="1" applyAlignment="1">
      <alignment horizontal="center"/>
    </xf>
    <xf numFmtId="3" fontId="49"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horizontal="left"/>
    </xf>
    <xf numFmtId="2" fontId="10" fillId="0" borderId="0" xfId="0" applyNumberFormat="1" applyFont="1" applyAlignment="1">
      <alignment horizontal="center"/>
    </xf>
    <xf numFmtId="178" fontId="10" fillId="0" borderId="0" xfId="0" applyNumberFormat="1" applyFont="1" applyAlignment="1">
      <alignment horizontal="center"/>
    </xf>
    <xf numFmtId="14" fontId="49" fillId="0" borderId="0" xfId="0" applyNumberFormat="1" applyFont="1" applyAlignment="1">
      <alignment horizontal="center"/>
    </xf>
    <xf numFmtId="0" fontId="49" fillId="0" borderId="0" xfId="0" applyFont="1" applyAlignment="1">
      <alignment horizontal="left"/>
    </xf>
    <xf numFmtId="0" fontId="14" fillId="0" borderId="20" xfId="0" applyFont="1" applyBorder="1" applyAlignment="1">
      <alignment horizontal="center"/>
    </xf>
    <xf numFmtId="0" fontId="14" fillId="0" borderId="15" xfId="0" applyFont="1" applyBorder="1" applyAlignment="1">
      <alignment/>
    </xf>
    <xf numFmtId="0" fontId="15" fillId="0" borderId="0" xfId="0" applyFont="1" applyAlignment="1">
      <alignment/>
    </xf>
    <xf numFmtId="0" fontId="51" fillId="0" borderId="15" xfId="0" applyFont="1" applyBorder="1" applyAlignment="1">
      <alignment vertical="top" wrapText="1"/>
    </xf>
    <xf numFmtId="0" fontId="51" fillId="0" borderId="0" xfId="0" applyFont="1" applyBorder="1" applyAlignment="1">
      <alignment vertical="top" wrapText="1"/>
    </xf>
    <xf numFmtId="0" fontId="52" fillId="0" borderId="0" xfId="0" applyFont="1" applyBorder="1" applyAlignment="1">
      <alignment vertical="top" wrapText="1"/>
    </xf>
    <xf numFmtId="0" fontId="50" fillId="0" borderId="0" xfId="0" applyFont="1" applyBorder="1" applyAlignment="1">
      <alignment vertical="top" wrapText="1"/>
    </xf>
    <xf numFmtId="22" fontId="0" fillId="0" borderId="0" xfId="0" applyNumberFormat="1" applyAlignment="1">
      <alignment/>
    </xf>
    <xf numFmtId="2" fontId="25" fillId="0" borderId="0" xfId="0" applyNumberFormat="1" applyFont="1" applyAlignment="1">
      <alignment horizontal="center"/>
    </xf>
    <xf numFmtId="22" fontId="14" fillId="0" borderId="0" xfId="0" applyNumberFormat="1" applyFont="1" applyAlignment="1">
      <alignment/>
    </xf>
    <xf numFmtId="2" fontId="14" fillId="0" borderId="0" xfId="0" applyNumberFormat="1" applyFont="1" applyAlignment="1">
      <alignment horizontal="center"/>
    </xf>
    <xf numFmtId="2" fontId="17" fillId="0" borderId="0" xfId="0" applyNumberFormat="1" applyFont="1" applyAlignment="1">
      <alignment horizontal="center"/>
    </xf>
    <xf numFmtId="2" fontId="15" fillId="0" borderId="0" xfId="0" applyNumberFormat="1" applyFont="1" applyAlignment="1">
      <alignment horizontal="center"/>
    </xf>
    <xf numFmtId="2" fontId="17" fillId="0" borderId="0" xfId="0" applyNumberFormat="1" applyFont="1" applyAlignment="1">
      <alignment horizontal="left"/>
    </xf>
    <xf numFmtId="2" fontId="5" fillId="0" borderId="0" xfId="0" applyNumberFormat="1" applyFont="1" applyAlignment="1">
      <alignment horizontal="center"/>
    </xf>
    <xf numFmtId="0" fontId="14" fillId="0" borderId="0" xfId="0" applyFont="1" applyAlignment="1">
      <alignment horizontal="left"/>
    </xf>
    <xf numFmtId="0" fontId="14" fillId="0" borderId="0" xfId="0" applyFont="1" applyAlignment="1">
      <alignment horizontal="center"/>
    </xf>
    <xf numFmtId="0" fontId="35" fillId="45" borderId="26" xfId="0" applyFont="1" applyFill="1" applyBorder="1" applyAlignment="1">
      <alignment horizontal="center" vertical="top"/>
    </xf>
    <xf numFmtId="0" fontId="36" fillId="45" borderId="26" xfId="0" applyFont="1" applyFill="1" applyBorder="1" applyAlignment="1">
      <alignment vertical="top" wrapText="1"/>
    </xf>
    <xf numFmtId="0" fontId="35" fillId="45" borderId="28" xfId="0" applyFont="1" applyFill="1" applyBorder="1" applyAlignment="1">
      <alignment horizontal="center" vertical="top"/>
    </xf>
    <xf numFmtId="0" fontId="36" fillId="45" borderId="28" xfId="0" applyFont="1" applyFill="1" applyBorder="1" applyAlignment="1">
      <alignment vertical="top" wrapText="1"/>
    </xf>
    <xf numFmtId="0" fontId="34" fillId="45" borderId="28" xfId="0" applyFont="1" applyFill="1" applyBorder="1" applyAlignment="1">
      <alignment horizontal="center" vertical="top"/>
    </xf>
    <xf numFmtId="0" fontId="33" fillId="45" borderId="28" xfId="0" applyFont="1" applyFill="1" applyBorder="1" applyAlignment="1">
      <alignment vertical="top" wrapText="1"/>
    </xf>
    <xf numFmtId="0" fontId="14" fillId="45" borderId="24" xfId="0" applyFont="1" applyFill="1" applyBorder="1" applyAlignment="1">
      <alignment horizontal="center" vertical="top" wrapText="1"/>
    </xf>
    <xf numFmtId="0" fontId="35" fillId="45" borderId="29" xfId="0" applyFont="1" applyFill="1" applyBorder="1" applyAlignment="1">
      <alignment horizontal="center" vertical="top"/>
    </xf>
    <xf numFmtId="0" fontId="36" fillId="45" borderId="29" xfId="0" applyFont="1" applyFill="1" applyBorder="1" applyAlignment="1">
      <alignment vertical="top" wrapText="1"/>
    </xf>
    <xf numFmtId="0" fontId="0" fillId="0" borderId="58" xfId="0" applyFont="1" applyBorder="1" applyAlignment="1">
      <alignment wrapText="1"/>
    </xf>
    <xf numFmtId="0" fontId="3" fillId="0" borderId="59" xfId="0" applyFont="1" applyBorder="1" applyAlignment="1">
      <alignment horizontal="center" wrapText="1"/>
    </xf>
    <xf numFmtId="3" fontId="3" fillId="0" borderId="14" xfId="0" applyNumberFormat="1" applyFont="1" applyBorder="1" applyAlignment="1">
      <alignment horizontal="center" wrapText="1"/>
    </xf>
    <xf numFmtId="178" fontId="10" fillId="0" borderId="15" xfId="0" applyNumberFormat="1" applyFont="1" applyBorder="1" applyAlignment="1">
      <alignment horizontal="center"/>
    </xf>
    <xf numFmtId="0" fontId="0" fillId="0" borderId="0" xfId="0" applyBorder="1" applyAlignment="1">
      <alignment horizontal="right"/>
    </xf>
    <xf numFmtId="178" fontId="5" fillId="0" borderId="0" xfId="0" applyNumberFormat="1" applyFont="1" applyBorder="1" applyAlignment="1">
      <alignment horizontal="center"/>
    </xf>
    <xf numFmtId="0" fontId="0" fillId="0" borderId="0" xfId="0" applyFont="1" applyBorder="1" applyAlignment="1">
      <alignment vertical="top"/>
    </xf>
    <xf numFmtId="0" fontId="26" fillId="0" borderId="15" xfId="0" applyFont="1" applyBorder="1" applyAlignment="1">
      <alignment/>
    </xf>
    <xf numFmtId="0" fontId="0" fillId="0" borderId="60" xfId="0" applyBorder="1" applyAlignment="1">
      <alignment/>
    </xf>
    <xf numFmtId="1" fontId="24" fillId="0" borderId="60" xfId="0" applyNumberFormat="1" applyFont="1" applyBorder="1" applyAlignment="1">
      <alignment horizontal="center"/>
    </xf>
    <xf numFmtId="0" fontId="10" fillId="0" borderId="0" xfId="0" applyFont="1" applyFill="1" applyBorder="1" applyAlignment="1">
      <alignment horizontal="left"/>
    </xf>
    <xf numFmtId="0" fontId="0" fillId="0" borderId="12" xfId="0" applyFont="1" applyBorder="1" applyAlignment="1">
      <alignment horizontal="left" wrapText="1"/>
    </xf>
    <xf numFmtId="0" fontId="25" fillId="0" borderId="0" xfId="0" applyFont="1" applyFill="1" applyBorder="1" applyAlignment="1">
      <alignment/>
    </xf>
    <xf numFmtId="3" fontId="54" fillId="0" borderId="0" xfId="0" applyNumberFormat="1" applyFont="1" applyFill="1" applyBorder="1" applyAlignment="1">
      <alignment horizontal="center"/>
    </xf>
    <xf numFmtId="0" fontId="53" fillId="0" borderId="0" xfId="0" applyFont="1" applyFill="1" applyBorder="1" applyAlignment="1">
      <alignment horizontal="center"/>
    </xf>
    <xf numFmtId="1" fontId="53" fillId="0" borderId="0" xfId="0" applyNumberFormat="1" applyFont="1" applyFill="1" applyBorder="1" applyAlignment="1">
      <alignment horizontal="center"/>
    </xf>
    <xf numFmtId="0" fontId="24" fillId="0" borderId="0" xfId="0" applyFont="1" applyFill="1" applyBorder="1" applyAlignment="1">
      <alignment wrapText="1"/>
    </xf>
    <xf numFmtId="3" fontId="24" fillId="0" borderId="0" xfId="0" applyNumberFormat="1" applyFont="1" applyAlignment="1">
      <alignment/>
    </xf>
    <xf numFmtId="0" fontId="24" fillId="0" borderId="0" xfId="0" applyFont="1" applyAlignment="1">
      <alignment wrapText="1"/>
    </xf>
    <xf numFmtId="0" fontId="55" fillId="0" borderId="0" xfId="0" applyFont="1" applyAlignment="1">
      <alignment/>
    </xf>
    <xf numFmtId="0" fontId="24" fillId="0" borderId="15" xfId="0" applyFont="1" applyBorder="1" applyAlignment="1">
      <alignment horizontal="center" wrapText="1"/>
    </xf>
    <xf numFmtId="0" fontId="24" fillId="0" borderId="15" xfId="0" applyFont="1" applyBorder="1" applyAlignment="1">
      <alignment/>
    </xf>
    <xf numFmtId="3" fontId="24" fillId="0" borderId="15" xfId="0" applyNumberFormat="1" applyFont="1" applyBorder="1" applyAlignment="1">
      <alignment horizontal="center"/>
    </xf>
    <xf numFmtId="0" fontId="24" fillId="0" borderId="59" xfId="0" applyFont="1" applyBorder="1" applyAlignment="1">
      <alignment horizontal="center" wrapText="1"/>
    </xf>
    <xf numFmtId="3" fontId="24" fillId="0" borderId="14" xfId="0" applyNumberFormat="1" applyFont="1" applyBorder="1" applyAlignment="1">
      <alignment horizontal="center" wrapText="1"/>
    </xf>
    <xf numFmtId="0" fontId="24" fillId="0" borderId="14" xfId="0" applyFont="1" applyBorder="1" applyAlignment="1">
      <alignment horizontal="center" wrapText="1"/>
    </xf>
    <xf numFmtId="3" fontId="5" fillId="0" borderId="0" xfId="0" applyNumberFormat="1" applyFont="1" applyAlignment="1">
      <alignment/>
    </xf>
    <xf numFmtId="0" fontId="19" fillId="0" borderId="0" xfId="0" applyFont="1" applyAlignment="1">
      <alignment horizontal="center"/>
    </xf>
    <xf numFmtId="0" fontId="56" fillId="0" borderId="0" xfId="0" applyFont="1" applyAlignment="1">
      <alignment/>
    </xf>
    <xf numFmtId="1" fontId="19" fillId="0" borderId="15" xfId="0" applyNumberFormat="1" applyFont="1" applyBorder="1" applyAlignment="1">
      <alignment horizontal="center"/>
    </xf>
    <xf numFmtId="1" fontId="56" fillId="0" borderId="15" xfId="0" applyNumberFormat="1" applyFont="1" applyBorder="1" applyAlignment="1">
      <alignment horizontal="center"/>
    </xf>
    <xf numFmtId="0" fontId="56" fillId="0" borderId="0" xfId="0" applyFont="1" applyAlignment="1">
      <alignment horizontal="center"/>
    </xf>
    <xf numFmtId="196" fontId="56" fillId="0" borderId="15" xfId="42" applyNumberFormat="1" applyFont="1" applyBorder="1" applyAlignment="1">
      <alignment horizontal="center"/>
    </xf>
    <xf numFmtId="0" fontId="19" fillId="0" borderId="0" xfId="0" applyFont="1" applyAlignment="1">
      <alignment/>
    </xf>
    <xf numFmtId="0" fontId="56" fillId="0" borderId="15" xfId="0" applyFont="1" applyBorder="1" applyAlignment="1">
      <alignment/>
    </xf>
    <xf numFmtId="178" fontId="24" fillId="0" borderId="15" xfId="0" applyNumberFormat="1" applyFont="1" applyBorder="1" applyAlignment="1">
      <alignment horizontal="center"/>
    </xf>
    <xf numFmtId="0" fontId="24" fillId="0" borderId="15" xfId="0" applyFont="1" applyBorder="1" applyAlignment="1">
      <alignment horizontal="right"/>
    </xf>
    <xf numFmtId="178" fontId="55" fillId="0" borderId="15" xfId="0" applyNumberFormat="1" applyFont="1" applyBorder="1" applyAlignment="1">
      <alignment horizontal="center"/>
    </xf>
    <xf numFmtId="3" fontId="56" fillId="0" borderId="0" xfId="0" applyNumberFormat="1" applyFont="1" applyAlignment="1">
      <alignment/>
    </xf>
    <xf numFmtId="178" fontId="56" fillId="0" borderId="15" xfId="0" applyNumberFormat="1" applyFont="1" applyBorder="1" applyAlignment="1">
      <alignment horizontal="center"/>
    </xf>
    <xf numFmtId="2" fontId="19" fillId="0" borderId="15" xfId="0" applyNumberFormat="1" applyFont="1" applyBorder="1" applyAlignment="1">
      <alignment horizontal="center"/>
    </xf>
    <xf numFmtId="0" fontId="19" fillId="0" borderId="15" xfId="0" applyFont="1" applyBorder="1" applyAlignment="1">
      <alignment/>
    </xf>
    <xf numFmtId="3" fontId="56" fillId="0" borderId="0" xfId="0" applyNumberFormat="1" applyFont="1" applyAlignment="1">
      <alignment horizontal="center"/>
    </xf>
    <xf numFmtId="178" fontId="19" fillId="0" borderId="15" xfId="0" applyNumberFormat="1" applyFont="1" applyBorder="1" applyAlignment="1">
      <alignment horizontal="center"/>
    </xf>
    <xf numFmtId="0" fontId="27" fillId="0" borderId="0" xfId="0" applyFont="1" applyAlignment="1">
      <alignment/>
    </xf>
    <xf numFmtId="0" fontId="8" fillId="0" borderId="0" xfId="0" applyFont="1" applyFill="1" applyAlignment="1">
      <alignment/>
    </xf>
    <xf numFmtId="0" fontId="26" fillId="0" borderId="0" xfId="0" applyFont="1" applyFill="1" applyAlignment="1">
      <alignment/>
    </xf>
    <xf numFmtId="1" fontId="57" fillId="0" borderId="15" xfId="0" applyNumberFormat="1" applyFont="1" applyBorder="1" applyAlignment="1">
      <alignment horizontal="center"/>
    </xf>
    <xf numFmtId="1" fontId="58" fillId="0" borderId="15" xfId="0" applyNumberFormat="1" applyFont="1" applyBorder="1" applyAlignment="1">
      <alignment horizontal="center"/>
    </xf>
    <xf numFmtId="178" fontId="56" fillId="0" borderId="0" xfId="0" applyNumberFormat="1" applyFont="1" applyAlignment="1">
      <alignment horizontal="center"/>
    </xf>
    <xf numFmtId="1" fontId="3" fillId="0" borderId="0" xfId="0" applyNumberFormat="1" applyFont="1" applyAlignment="1">
      <alignment horizontal="center"/>
    </xf>
    <xf numFmtId="9" fontId="3" fillId="0" borderId="0" xfId="61" applyFont="1" applyAlignment="1">
      <alignment horizontal="center"/>
    </xf>
    <xf numFmtId="0" fontId="0" fillId="41" borderId="0" xfId="0" applyFill="1" applyAlignment="1">
      <alignment/>
    </xf>
    <xf numFmtId="0" fontId="3" fillId="41" borderId="15" xfId="0" applyFont="1" applyFill="1" applyBorder="1" applyAlignment="1">
      <alignment horizontal="center"/>
    </xf>
    <xf numFmtId="1" fontId="56" fillId="41" borderId="15" xfId="0" applyNumberFormat="1" applyFont="1" applyFill="1" applyBorder="1" applyAlignment="1">
      <alignment horizontal="center"/>
    </xf>
    <xf numFmtId="0" fontId="3" fillId="41" borderId="0" xfId="0" applyFont="1" applyFill="1" applyAlignment="1">
      <alignment/>
    </xf>
    <xf numFmtId="0" fontId="48" fillId="41" borderId="0" xfId="0" applyFont="1" applyFill="1" applyAlignment="1">
      <alignment/>
    </xf>
    <xf numFmtId="0" fontId="48" fillId="0" borderId="0" xfId="0" applyFont="1" applyFill="1" applyAlignment="1">
      <alignment/>
    </xf>
    <xf numFmtId="0" fontId="0" fillId="0" borderId="0" xfId="0" applyFill="1" applyAlignment="1">
      <alignment/>
    </xf>
    <xf numFmtId="0" fontId="59" fillId="0" borderId="0" xfId="0" applyFont="1" applyAlignment="1">
      <alignment/>
    </xf>
    <xf numFmtId="0" fontId="57" fillId="0" borderId="15" xfId="0" applyFont="1" applyBorder="1" applyAlignment="1">
      <alignment horizontal="center"/>
    </xf>
    <xf numFmtId="9" fontId="3" fillId="0" borderId="0" xfId="0" applyNumberFormat="1" applyFont="1" applyAlignment="1">
      <alignment/>
    </xf>
    <xf numFmtId="1" fontId="3" fillId="0" borderId="0" xfId="0" applyNumberFormat="1" applyFont="1" applyAlignment="1">
      <alignment/>
    </xf>
    <xf numFmtId="0" fontId="57" fillId="0" borderId="0" xfId="0" applyFont="1" applyAlignment="1">
      <alignment/>
    </xf>
    <xf numFmtId="0" fontId="57" fillId="0" borderId="15" xfId="0" applyFont="1" applyBorder="1" applyAlignment="1">
      <alignment horizontal="right"/>
    </xf>
    <xf numFmtId="0" fontId="56" fillId="0" borderId="15" xfId="0" applyFont="1" applyBorder="1" applyAlignment="1">
      <alignment horizontal="center"/>
    </xf>
    <xf numFmtId="0" fontId="56" fillId="0" borderId="38" xfId="0" applyFont="1" applyBorder="1" applyAlignment="1">
      <alignment horizontal="center"/>
    </xf>
    <xf numFmtId="0" fontId="56" fillId="0" borderId="39" xfId="0" applyFont="1" applyBorder="1" applyAlignment="1">
      <alignment horizontal="center"/>
    </xf>
    <xf numFmtId="0" fontId="56" fillId="0" borderId="40" xfId="0" applyFont="1" applyBorder="1" applyAlignment="1">
      <alignment horizontal="center"/>
    </xf>
    <xf numFmtId="0" fontId="56" fillId="0" borderId="41" xfId="0" applyFont="1" applyBorder="1" applyAlignment="1">
      <alignment horizontal="center"/>
    </xf>
    <xf numFmtId="9" fontId="56" fillId="0" borderId="45" xfId="0" applyNumberFormat="1" applyFont="1" applyBorder="1" applyAlignment="1">
      <alignment horizontal="center"/>
    </xf>
    <xf numFmtId="179" fontId="56" fillId="0" borderId="45" xfId="0" applyNumberFormat="1" applyFont="1" applyBorder="1" applyAlignment="1">
      <alignment horizontal="center"/>
    </xf>
    <xf numFmtId="0" fontId="56" fillId="0" borderId="42" xfId="0" applyFont="1" applyBorder="1" applyAlignment="1">
      <alignment horizontal="center"/>
    </xf>
    <xf numFmtId="0" fontId="56" fillId="0" borderId="37" xfId="0" applyFont="1" applyBorder="1" applyAlignment="1">
      <alignment horizontal="center"/>
    </xf>
    <xf numFmtId="9" fontId="56" fillId="0" borderId="47" xfId="0" applyNumberFormat="1" applyFont="1" applyBorder="1" applyAlignment="1">
      <alignment horizontal="center"/>
    </xf>
    <xf numFmtId="0" fontId="19" fillId="0" borderId="0" xfId="0" applyFont="1" applyAlignment="1">
      <alignment/>
    </xf>
    <xf numFmtId="0" fontId="19" fillId="0" borderId="0" xfId="0" applyFont="1" applyAlignment="1">
      <alignment horizontal="center"/>
    </xf>
    <xf numFmtId="0" fontId="20" fillId="0" borderId="38" xfId="0" applyFont="1" applyFill="1" applyBorder="1" applyAlignment="1">
      <alignment/>
    </xf>
    <xf numFmtId="0" fontId="20" fillId="0" borderId="38" xfId="0" applyFont="1" applyFill="1" applyBorder="1" applyAlignment="1">
      <alignment horizontal="center"/>
    </xf>
    <xf numFmtId="3" fontId="21" fillId="0" borderId="15" xfId="0" applyNumberFormat="1" applyFont="1" applyFill="1" applyBorder="1" applyAlignment="1">
      <alignment horizontal="center"/>
    </xf>
    <xf numFmtId="0" fontId="21" fillId="0" borderId="15" xfId="0" applyFont="1" applyFill="1" applyBorder="1" applyAlignment="1">
      <alignment horizontal="center"/>
    </xf>
    <xf numFmtId="0" fontId="21" fillId="0" borderId="45" xfId="0" applyFont="1" applyFill="1" applyBorder="1" applyAlignment="1">
      <alignment horizontal="center"/>
    </xf>
    <xf numFmtId="1" fontId="21" fillId="0" borderId="15" xfId="0" applyNumberFormat="1" applyFont="1" applyFill="1" applyBorder="1" applyAlignment="1">
      <alignment horizontal="center"/>
    </xf>
    <xf numFmtId="3" fontId="21" fillId="0" borderId="37" xfId="0" applyNumberFormat="1" applyFont="1" applyFill="1" applyBorder="1" applyAlignment="1">
      <alignment horizontal="center"/>
    </xf>
    <xf numFmtId="0" fontId="21" fillId="0" borderId="37" xfId="0" applyFont="1" applyFill="1" applyBorder="1" applyAlignment="1">
      <alignment horizontal="center"/>
    </xf>
    <xf numFmtId="1" fontId="21" fillId="0" borderId="37" xfId="0" applyNumberFormat="1" applyFont="1" applyFill="1" applyBorder="1" applyAlignment="1">
      <alignment horizontal="center"/>
    </xf>
    <xf numFmtId="0" fontId="21" fillId="0" borderId="47" xfId="0" applyFont="1" applyFill="1" applyBorder="1" applyAlignment="1">
      <alignment horizontal="center"/>
    </xf>
    <xf numFmtId="0" fontId="22" fillId="0" borderId="45" xfId="0" applyFont="1" applyFill="1" applyBorder="1" applyAlignment="1">
      <alignment horizontal="center"/>
    </xf>
    <xf numFmtId="0" fontId="22" fillId="0" borderId="47" xfId="0" applyFont="1" applyFill="1" applyBorder="1" applyAlignment="1">
      <alignment horizontal="center"/>
    </xf>
    <xf numFmtId="0" fontId="20" fillId="0" borderId="41" xfId="0" applyFont="1" applyFill="1" applyBorder="1" applyAlignment="1">
      <alignment/>
    </xf>
    <xf numFmtId="0" fontId="20" fillId="0" borderId="42" xfId="0" applyFont="1" applyFill="1" applyBorder="1" applyAlignment="1">
      <alignment/>
    </xf>
    <xf numFmtId="14" fontId="24" fillId="0" borderId="0" xfId="0" applyNumberFormat="1" applyFont="1" applyAlignment="1">
      <alignment/>
    </xf>
    <xf numFmtId="0" fontId="61" fillId="0" borderId="0" xfId="0" applyFont="1" applyAlignment="1">
      <alignment/>
    </xf>
    <xf numFmtId="3" fontId="55" fillId="0" borderId="0" xfId="0" applyNumberFormat="1" applyFont="1" applyAlignment="1">
      <alignment horizontal="center"/>
    </xf>
    <xf numFmtId="1" fontId="61" fillId="0" borderId="15" xfId="0" applyNumberFormat="1" applyFont="1" applyBorder="1" applyAlignment="1">
      <alignment horizontal="center"/>
    </xf>
    <xf numFmtId="0" fontId="24" fillId="0" borderId="0" xfId="0" applyFont="1" applyAlignment="1">
      <alignment horizontal="center"/>
    </xf>
    <xf numFmtId="4" fontId="24" fillId="0" borderId="0" xfId="0" applyNumberFormat="1" applyFont="1" applyAlignment="1">
      <alignment horizontal="center"/>
    </xf>
    <xf numFmtId="3" fontId="62" fillId="0" borderId="15" xfId="0" applyNumberFormat="1" applyFont="1" applyFill="1" applyBorder="1" applyAlignment="1">
      <alignment horizontal="center"/>
    </xf>
    <xf numFmtId="0" fontId="15" fillId="0" borderId="0" xfId="0" applyFont="1" applyAlignment="1">
      <alignment horizontal="center"/>
    </xf>
    <xf numFmtId="0" fontId="14" fillId="0" borderId="0" xfId="0" applyFont="1" applyAlignment="1">
      <alignment horizontal="right"/>
    </xf>
    <xf numFmtId="0" fontId="15" fillId="0" borderId="0" xfId="0" applyFont="1" applyAlignment="1">
      <alignment horizontal="left"/>
    </xf>
    <xf numFmtId="179" fontId="15" fillId="0" borderId="0" xfId="61" applyNumberFormat="1" applyFont="1" applyAlignment="1">
      <alignment horizontal="center"/>
    </xf>
    <xf numFmtId="0" fontId="63" fillId="0" borderId="0" xfId="0" applyFont="1" applyAlignment="1">
      <alignment/>
    </xf>
    <xf numFmtId="9" fontId="35" fillId="0" borderId="0" xfId="0" applyNumberFormat="1" applyFont="1" applyAlignment="1">
      <alignment/>
    </xf>
    <xf numFmtId="10" fontId="35" fillId="0" borderId="0" xfId="0" applyNumberFormat="1" applyFont="1" applyAlignment="1">
      <alignment/>
    </xf>
    <xf numFmtId="2" fontId="15" fillId="0" borderId="0" xfId="0" applyNumberFormat="1" applyFont="1" applyAlignment="1">
      <alignment/>
    </xf>
    <xf numFmtId="0" fontId="35" fillId="0" borderId="0" xfId="0" applyFont="1" applyAlignment="1">
      <alignment/>
    </xf>
    <xf numFmtId="10" fontId="15" fillId="0" borderId="0" xfId="61" applyNumberFormat="1" applyFont="1" applyAlignment="1">
      <alignment horizontal="center"/>
    </xf>
    <xf numFmtId="0" fontId="15" fillId="0" borderId="0" xfId="0" applyFont="1" applyAlignment="1">
      <alignment horizontal="right"/>
    </xf>
    <xf numFmtId="9" fontId="15" fillId="0" borderId="0" xfId="0" applyNumberFormat="1" applyFont="1" applyAlignment="1">
      <alignment horizontal="center"/>
    </xf>
    <xf numFmtId="0" fontId="14" fillId="0" borderId="15" xfId="0" applyFont="1" applyBorder="1" applyAlignment="1">
      <alignment horizontal="center"/>
    </xf>
    <xf numFmtId="0" fontId="63" fillId="0" borderId="15" xfId="0" applyFont="1" applyBorder="1" applyAlignment="1">
      <alignment horizontal="center"/>
    </xf>
    <xf numFmtId="178" fontId="15" fillId="0" borderId="15" xfId="0" applyNumberFormat="1" applyFont="1" applyBorder="1" applyAlignment="1">
      <alignment horizontal="center"/>
    </xf>
    <xf numFmtId="0" fontId="63" fillId="0" borderId="15" xfId="0" applyFont="1" applyBorder="1" applyAlignment="1">
      <alignment/>
    </xf>
    <xf numFmtId="178" fontId="35" fillId="0" borderId="15" xfId="0" applyNumberFormat="1" applyFont="1" applyBorder="1" applyAlignment="1">
      <alignment horizontal="center"/>
    </xf>
    <xf numFmtId="2" fontId="15" fillId="0" borderId="15" xfId="0" applyNumberFormat="1" applyFont="1" applyBorder="1" applyAlignment="1">
      <alignment horizontal="center"/>
    </xf>
    <xf numFmtId="178" fontId="14" fillId="0" borderId="15" xfId="0" applyNumberFormat="1" applyFont="1" applyBorder="1" applyAlignment="1">
      <alignment horizontal="center"/>
    </xf>
    <xf numFmtId="0" fontId="13" fillId="0" borderId="0" xfId="0" applyFont="1" applyBorder="1" applyAlignment="1">
      <alignment/>
    </xf>
    <xf numFmtId="0" fontId="15" fillId="0" borderId="0" xfId="0" applyFont="1" applyBorder="1" applyAlignment="1">
      <alignment/>
    </xf>
    <xf numFmtId="2" fontId="65" fillId="0" borderId="24" xfId="0" applyNumberFormat="1" applyFont="1" applyFill="1" applyBorder="1" applyAlignment="1">
      <alignment horizontal="center"/>
    </xf>
    <xf numFmtId="0" fontId="15" fillId="0" borderId="0" xfId="0" applyFont="1" applyFill="1" applyBorder="1" applyAlignment="1">
      <alignment/>
    </xf>
    <xf numFmtId="0" fontId="15" fillId="0" borderId="0" xfId="0" applyFont="1" applyBorder="1" applyAlignment="1">
      <alignment horizontal="center"/>
    </xf>
    <xf numFmtId="3" fontId="13" fillId="0" borderId="0" xfId="0" applyNumberFormat="1" applyFont="1" applyBorder="1" applyAlignment="1">
      <alignment horizontal="center"/>
    </xf>
    <xf numFmtId="0" fontId="13" fillId="0" borderId="0" xfId="0" applyFont="1" applyBorder="1" applyAlignment="1">
      <alignment horizontal="center"/>
    </xf>
    <xf numFmtId="2" fontId="13" fillId="0" borderId="0" xfId="0" applyNumberFormat="1" applyFont="1" applyBorder="1" applyAlignment="1">
      <alignment/>
    </xf>
    <xf numFmtId="2" fontId="15" fillId="0" borderId="0" xfId="0" applyNumberFormat="1" applyFont="1" applyBorder="1" applyAlignment="1">
      <alignment/>
    </xf>
    <xf numFmtId="0" fontId="13" fillId="0" borderId="0" xfId="0" applyFont="1" applyFill="1" applyBorder="1" applyAlignment="1">
      <alignment/>
    </xf>
    <xf numFmtId="2" fontId="13" fillId="44" borderId="0" xfId="0" applyNumberFormat="1" applyFont="1" applyFill="1" applyBorder="1" applyAlignment="1">
      <alignment/>
    </xf>
    <xf numFmtId="0" fontId="0" fillId="0" borderId="20" xfId="0" applyBorder="1" applyAlignment="1" quotePrefix="1">
      <alignment horizontal="center" vertical="center"/>
    </xf>
    <xf numFmtId="0" fontId="0" fillId="0" borderId="33" xfId="0" applyBorder="1" applyAlignment="1" quotePrefix="1">
      <alignment horizontal="center" vertical="center"/>
    </xf>
    <xf numFmtId="0" fontId="0" fillId="0" borderId="23" xfId="0" applyBorder="1" applyAlignment="1">
      <alignment horizontal="center" vertical="center"/>
    </xf>
    <xf numFmtId="178" fontId="0" fillId="40" borderId="20" xfId="0" applyNumberFormat="1" applyFill="1" applyBorder="1" applyAlignment="1">
      <alignment horizontal="center" vertical="center"/>
    </xf>
    <xf numFmtId="178" fontId="0" fillId="40" borderId="33" xfId="0" applyNumberFormat="1" applyFill="1" applyBorder="1" applyAlignment="1">
      <alignment horizontal="center" vertical="center"/>
    </xf>
    <xf numFmtId="178" fontId="0" fillId="40" borderId="23" xfId="0" applyNumberFormat="1" applyFill="1" applyBorder="1" applyAlignment="1">
      <alignment horizontal="center" vertical="center"/>
    </xf>
    <xf numFmtId="0" fontId="3" fillId="0" borderId="22" xfId="0" applyFont="1" applyFill="1" applyBorder="1" applyAlignment="1">
      <alignment horizontal="right"/>
    </xf>
    <xf numFmtId="0" fontId="3" fillId="0" borderId="60" xfId="0" applyFont="1" applyBorder="1" applyAlignment="1">
      <alignment horizontal="right"/>
    </xf>
    <xf numFmtId="0" fontId="3" fillId="0" borderId="57" xfId="0" applyFont="1" applyBorder="1" applyAlignment="1">
      <alignment horizontal="right"/>
    </xf>
    <xf numFmtId="0" fontId="0" fillId="0" borderId="23" xfId="0" applyBorder="1" applyAlignment="1" quotePrefix="1">
      <alignment horizontal="center" vertical="center"/>
    </xf>
    <xf numFmtId="1" fontId="0" fillId="0" borderId="20" xfId="0" applyNumberFormat="1" applyBorder="1" applyAlignment="1">
      <alignment horizontal="center" vertical="center"/>
    </xf>
    <xf numFmtId="1" fontId="0" fillId="0" borderId="33" xfId="0" applyNumberFormat="1" applyBorder="1" applyAlignment="1">
      <alignment horizontal="center" vertical="center"/>
    </xf>
    <xf numFmtId="178" fontId="0" fillId="39" borderId="20" xfId="0" applyNumberFormat="1" applyFill="1" applyBorder="1" applyAlignment="1">
      <alignment/>
    </xf>
    <xf numFmtId="178" fontId="0" fillId="39" borderId="33" xfId="0" applyNumberFormat="1" applyFill="1" applyBorder="1" applyAlignment="1">
      <alignment/>
    </xf>
    <xf numFmtId="178" fontId="0" fillId="39" borderId="23" xfId="0" applyNumberFormat="1" applyFill="1" applyBorder="1" applyAlignment="1">
      <alignment/>
    </xf>
    <xf numFmtId="0" fontId="3" fillId="0" borderId="15" xfId="0" applyFont="1" applyBorder="1" applyAlignment="1">
      <alignment horizontal="left" vertical="top" wrapText="1"/>
    </xf>
    <xf numFmtId="0" fontId="0" fillId="0" borderId="20" xfId="0" applyFont="1" applyBorder="1" applyAlignment="1">
      <alignment horizontal="left" vertical="top"/>
    </xf>
    <xf numFmtId="0" fontId="0" fillId="0" borderId="33" xfId="0" applyFont="1" applyBorder="1" applyAlignment="1">
      <alignment horizontal="left" vertical="top"/>
    </xf>
    <xf numFmtId="0" fontId="0" fillId="0" borderId="23" xfId="0" applyBorder="1" applyAlignment="1">
      <alignment horizontal="left" vertical="top"/>
    </xf>
    <xf numFmtId="0" fontId="3" fillId="0" borderId="20" xfId="0" applyFont="1" applyBorder="1" applyAlignment="1">
      <alignment horizontal="left" vertical="top" wrapText="1"/>
    </xf>
    <xf numFmtId="0" fontId="3" fillId="0" borderId="33" xfId="0" applyFont="1" applyBorder="1" applyAlignment="1">
      <alignment horizontal="left" vertical="top" wrapText="1"/>
    </xf>
    <xf numFmtId="0" fontId="3" fillId="0" borderId="23" xfId="0" applyFont="1" applyBorder="1" applyAlignment="1">
      <alignment horizontal="left" vertical="top" wrapText="1"/>
    </xf>
    <xf numFmtId="0" fontId="0" fillId="0" borderId="33" xfId="0" applyBorder="1" applyAlignment="1">
      <alignment horizontal="left" vertical="top" wrapText="1"/>
    </xf>
    <xf numFmtId="0" fontId="0" fillId="0" borderId="23" xfId="0" applyBorder="1" applyAlignment="1">
      <alignment horizontal="left" vertical="top" wrapText="1"/>
    </xf>
    <xf numFmtId="0" fontId="0" fillId="0" borderId="23" xfId="0" applyFont="1" applyBorder="1" applyAlignment="1">
      <alignment horizontal="left" vertical="top"/>
    </xf>
    <xf numFmtId="0" fontId="0" fillId="0" borderId="33" xfId="0" applyBorder="1" applyAlignment="1">
      <alignment horizontal="left" wrapText="1"/>
    </xf>
    <xf numFmtId="0" fontId="0" fillId="0" borderId="23" xfId="0" applyBorder="1" applyAlignment="1">
      <alignment horizontal="left" wrapText="1"/>
    </xf>
    <xf numFmtId="0" fontId="0" fillId="0" borderId="20" xfId="0" applyBorder="1" applyAlignment="1">
      <alignment vertical="top"/>
    </xf>
    <xf numFmtId="0" fontId="0" fillId="0" borderId="33" xfId="0" applyBorder="1" applyAlignment="1">
      <alignment vertical="top"/>
    </xf>
    <xf numFmtId="0" fontId="0" fillId="0" borderId="23" xfId="0" applyBorder="1" applyAlignment="1">
      <alignment vertical="top"/>
    </xf>
    <xf numFmtId="0" fontId="3" fillId="0" borderId="15" xfId="0" applyFont="1" applyBorder="1" applyAlignment="1">
      <alignment horizontal="center" vertical="center"/>
    </xf>
    <xf numFmtId="0" fontId="3" fillId="0" borderId="15" xfId="0" applyFont="1" applyBorder="1" applyAlignment="1">
      <alignment vertical="center"/>
    </xf>
    <xf numFmtId="0" fontId="0" fillId="0" borderId="33" xfId="0" applyBorder="1" applyAlignment="1">
      <alignment horizontal="center" vertical="center"/>
    </xf>
    <xf numFmtId="1" fontId="0" fillId="39" borderId="20" xfId="0" applyNumberFormat="1" applyFill="1" applyBorder="1" applyAlignment="1">
      <alignment horizontal="center"/>
    </xf>
    <xf numFmtId="0" fontId="0" fillId="0" borderId="33" xfId="0" applyBorder="1" applyAlignment="1">
      <alignment/>
    </xf>
    <xf numFmtId="0" fontId="0" fillId="0" borderId="23" xfId="0" applyBorder="1" applyAlignment="1">
      <alignment/>
    </xf>
    <xf numFmtId="0" fontId="0" fillId="0" borderId="22" xfId="0" applyBorder="1" applyAlignment="1">
      <alignment horizontal="left"/>
    </xf>
    <xf numFmtId="0" fontId="0" fillId="0" borderId="60" xfId="0" applyBorder="1" applyAlignment="1">
      <alignment horizontal="left"/>
    </xf>
    <xf numFmtId="0" fontId="0" fillId="0" borderId="57" xfId="0" applyBorder="1" applyAlignment="1">
      <alignment horizontal="left"/>
    </xf>
    <xf numFmtId="0" fontId="3" fillId="0" borderId="20" xfId="0" applyFont="1" applyBorder="1" applyAlignment="1">
      <alignment vertical="top" wrapText="1"/>
    </xf>
    <xf numFmtId="0" fontId="0" fillId="0" borderId="33" xfId="0" applyBorder="1" applyAlignment="1">
      <alignment vertical="top" wrapText="1"/>
    </xf>
    <xf numFmtId="0" fontId="0" fillId="0" borderId="23" xfId="0" applyBorder="1" applyAlignment="1">
      <alignment vertical="top" wrapText="1"/>
    </xf>
    <xf numFmtId="0" fontId="3" fillId="0" borderId="15" xfId="0" applyFont="1" applyBorder="1" applyAlignment="1">
      <alignment horizontal="right"/>
    </xf>
    <xf numFmtId="0" fontId="0" fillId="0" borderId="15" xfId="0" applyBorder="1" applyAlignment="1">
      <alignment horizontal="left"/>
    </xf>
    <xf numFmtId="0" fontId="3" fillId="0" borderId="15" xfId="0" applyFont="1" applyBorder="1" applyAlignment="1">
      <alignment horizontal="right" wrapText="1"/>
    </xf>
    <xf numFmtId="0" fontId="0" fillId="0" borderId="15" xfId="0" applyBorder="1" applyAlignment="1">
      <alignment horizontal="right"/>
    </xf>
    <xf numFmtId="0" fontId="3" fillId="0" borderId="20" xfId="0" applyFont="1" applyBorder="1" applyAlignment="1">
      <alignment vertical="top"/>
    </xf>
    <xf numFmtId="0" fontId="3" fillId="0" borderId="23" xfId="0" applyFont="1" applyBorder="1" applyAlignment="1">
      <alignment vertical="top"/>
    </xf>
    <xf numFmtId="0" fontId="0" fillId="0" borderId="22" xfId="0" applyBorder="1" applyAlignment="1">
      <alignment/>
    </xf>
    <xf numFmtId="0" fontId="0" fillId="0" borderId="57" xfId="0" applyBorder="1" applyAlignment="1">
      <alignment/>
    </xf>
    <xf numFmtId="0" fontId="3" fillId="0" borderId="22" xfId="0" applyFont="1" applyBorder="1" applyAlignment="1">
      <alignment horizontal="right"/>
    </xf>
    <xf numFmtId="0" fontId="3" fillId="0" borderId="15" xfId="0" applyFont="1" applyBorder="1" applyAlignment="1">
      <alignment vertical="top" wrapText="1"/>
    </xf>
    <xf numFmtId="0" fontId="0" fillId="0" borderId="33" xfId="0" applyBorder="1" applyAlignment="1">
      <alignment/>
    </xf>
    <xf numFmtId="0" fontId="0" fillId="0" borderId="23" xfId="0" applyBorder="1" applyAlignment="1">
      <alignment/>
    </xf>
    <xf numFmtId="0" fontId="0" fillId="0" borderId="15" xfId="0" applyBorder="1" applyAlignment="1">
      <alignment vertical="top" wrapText="1"/>
    </xf>
    <xf numFmtId="0" fontId="3" fillId="0" borderId="22" xfId="0" applyFont="1" applyBorder="1" applyAlignment="1">
      <alignment horizontal="center"/>
    </xf>
    <xf numFmtId="0" fontId="0" fillId="0" borderId="60" xfId="0" applyBorder="1" applyAlignment="1">
      <alignment horizontal="center"/>
    </xf>
    <xf numFmtId="0" fontId="0" fillId="0" borderId="57" xfId="0" applyBorder="1" applyAlignment="1">
      <alignment horizontal="center"/>
    </xf>
    <xf numFmtId="0" fontId="3" fillId="0" borderId="22" xfId="0" applyFont="1" applyBorder="1" applyAlignment="1">
      <alignment/>
    </xf>
    <xf numFmtId="0" fontId="0" fillId="0" borderId="20" xfId="0" applyBorder="1" applyAlignment="1">
      <alignment vertical="top" wrapText="1"/>
    </xf>
    <xf numFmtId="0" fontId="0" fillId="0" borderId="20" xfId="0" applyBorder="1" applyAlignment="1">
      <alignment horizontal="center" vertical="center"/>
    </xf>
    <xf numFmtId="1" fontId="0" fillId="39" borderId="20" xfId="0" applyNumberFormat="1" applyFill="1" applyBorder="1" applyAlignment="1">
      <alignment/>
    </xf>
    <xf numFmtId="1" fontId="0" fillId="39" borderId="33" xfId="0" applyNumberFormat="1" applyFill="1" applyBorder="1" applyAlignment="1">
      <alignment/>
    </xf>
    <xf numFmtId="1" fontId="0" fillId="39" borderId="23" xfId="0" applyNumberFormat="1" applyFill="1" applyBorder="1" applyAlignment="1">
      <alignment/>
    </xf>
    <xf numFmtId="1" fontId="0" fillId="0" borderId="23" xfId="0" applyNumberFormat="1" applyBorder="1" applyAlignment="1">
      <alignment horizontal="center" vertical="center"/>
    </xf>
    <xf numFmtId="178" fontId="0" fillId="39" borderId="20" xfId="0" applyNumberFormat="1" applyFill="1" applyBorder="1" applyAlignment="1">
      <alignment horizontal="center"/>
    </xf>
    <xf numFmtId="0" fontId="3" fillId="0" borderId="22" xfId="0" applyFont="1" applyBorder="1" applyAlignment="1">
      <alignment horizontal="center" wrapText="1"/>
    </xf>
    <xf numFmtId="0" fontId="3" fillId="0" borderId="57" xfId="0" applyFont="1" applyBorder="1" applyAlignment="1">
      <alignment horizontal="center" wrapText="1"/>
    </xf>
    <xf numFmtId="0" fontId="3" fillId="0" borderId="15" xfId="0" applyFont="1" applyBorder="1" applyAlignment="1">
      <alignment vertical="top"/>
    </xf>
    <xf numFmtId="0" fontId="0" fillId="0" borderId="15" xfId="0" applyFill="1" applyBorder="1" applyAlignment="1">
      <alignment horizontal="center" vertical="center" wrapText="1"/>
    </xf>
    <xf numFmtId="0" fontId="0" fillId="0" borderId="15" xfId="0" applyBorder="1" applyAlignment="1">
      <alignment horizontal="center" vertical="center" wrapText="1"/>
    </xf>
    <xf numFmtId="2" fontId="0" fillId="0" borderId="15" xfId="0" applyNumberFormat="1" applyBorder="1" applyAlignment="1">
      <alignment horizontal="center" vertical="center" wrapText="1"/>
    </xf>
    <xf numFmtId="0" fontId="0" fillId="46" borderId="60" xfId="0" applyFill="1" applyBorder="1" applyAlignment="1">
      <alignment vertical="center"/>
    </xf>
    <xf numFmtId="0" fontId="0" fillId="0" borderId="57" xfId="0" applyBorder="1" applyAlignment="1">
      <alignment vertical="center"/>
    </xf>
    <xf numFmtId="178" fontId="0" fillId="0" borderId="15" xfId="0" applyNumberFormat="1" applyFill="1" applyBorder="1" applyAlignment="1">
      <alignment horizontal="center" vertical="center" wrapText="1"/>
    </xf>
    <xf numFmtId="178" fontId="0" fillId="0" borderId="15" xfId="0" applyNumberFormat="1" applyBorder="1" applyAlignment="1">
      <alignment vertical="center"/>
    </xf>
    <xf numFmtId="0" fontId="0" fillId="0" borderId="20" xfId="0" applyFill="1" applyBorder="1" applyAlignment="1">
      <alignment horizontal="center" vertical="top"/>
    </xf>
    <xf numFmtId="0" fontId="0" fillId="0" borderId="33" xfId="0" applyFill="1" applyBorder="1" applyAlignment="1">
      <alignment horizontal="center" vertical="top"/>
    </xf>
    <xf numFmtId="0" fontId="0" fillId="0" borderId="23" xfId="0" applyFill="1" applyBorder="1" applyAlignment="1">
      <alignment horizontal="center" vertical="top"/>
    </xf>
    <xf numFmtId="0" fontId="0" fillId="0" borderId="20" xfId="0" applyFont="1" applyFill="1" applyBorder="1" applyAlignment="1">
      <alignment horizontal="center" vertical="top"/>
    </xf>
    <xf numFmtId="0" fontId="0" fillId="0" borderId="33" xfId="0" applyBorder="1" applyAlignment="1">
      <alignment horizontal="center" vertical="top"/>
    </xf>
    <xf numFmtId="0" fontId="0" fillId="0" borderId="23" xfId="0" applyBorder="1" applyAlignment="1">
      <alignment horizontal="center" vertical="top"/>
    </xf>
    <xf numFmtId="0" fontId="0" fillId="0" borderId="20" xfId="0" applyFont="1" applyBorder="1" applyAlignment="1">
      <alignment horizontal="center" vertical="top"/>
    </xf>
    <xf numFmtId="0" fontId="0" fillId="0" borderId="15" xfId="0" applyBorder="1" applyAlignment="1">
      <alignment vertical="center"/>
    </xf>
    <xf numFmtId="0" fontId="0" fillId="0" borderId="20" xfId="0" applyFill="1" applyBorder="1" applyAlignment="1">
      <alignment horizontal="center" vertical="center"/>
    </xf>
    <xf numFmtId="0" fontId="3" fillId="46" borderId="15" xfId="0" applyFont="1" applyFill="1" applyBorder="1" applyAlignment="1">
      <alignment horizontal="left" vertical="center" wrapText="1"/>
    </xf>
    <xf numFmtId="0" fontId="0" fillId="46" borderId="15" xfId="0" applyFill="1" applyBorder="1" applyAlignment="1">
      <alignment vertical="center"/>
    </xf>
    <xf numFmtId="0" fontId="0" fillId="46" borderId="22" xfId="0" applyFill="1" applyBorder="1" applyAlignment="1">
      <alignment vertical="center"/>
    </xf>
    <xf numFmtId="0" fontId="3" fillId="46" borderId="22" xfId="0" applyFont="1" applyFill="1" applyBorder="1" applyAlignment="1">
      <alignment horizontal="left" vertical="center"/>
    </xf>
    <xf numFmtId="0" fontId="0" fillId="0" borderId="60" xfId="0" applyBorder="1" applyAlignment="1">
      <alignment vertical="center"/>
    </xf>
    <xf numFmtId="0" fontId="0" fillId="0" borderId="20" xfId="0" applyBorder="1" applyAlignment="1">
      <alignment horizontal="center" vertical="center" wrapText="1"/>
    </xf>
    <xf numFmtId="0" fontId="0" fillId="0" borderId="33" xfId="0" applyBorder="1" applyAlignment="1">
      <alignment horizontal="center" vertical="center" wrapText="1"/>
    </xf>
    <xf numFmtId="0" fontId="0" fillId="0" borderId="23" xfId="0" applyBorder="1" applyAlignment="1">
      <alignment horizontal="center" vertical="center" wrapText="1"/>
    </xf>
    <xf numFmtId="0" fontId="0" fillId="0" borderId="20" xfId="0" applyFill="1" applyBorder="1" applyAlignment="1">
      <alignment horizontal="center" vertical="center" wrapText="1" shrinkToFit="1"/>
    </xf>
    <xf numFmtId="0" fontId="0" fillId="0" borderId="22" xfId="0" applyBorder="1" applyAlignment="1">
      <alignment horizontal="center" vertical="center" wrapText="1"/>
    </xf>
    <xf numFmtId="0" fontId="0" fillId="0" borderId="33" xfId="0" applyFill="1" applyBorder="1" applyAlignment="1">
      <alignment horizontal="center" vertical="center" wrapText="1" shrinkToFit="1"/>
    </xf>
    <xf numFmtId="0" fontId="0" fillId="0" borderId="21" xfId="0" applyFill="1" applyBorder="1" applyAlignment="1">
      <alignment horizontal="left" vertical="center"/>
    </xf>
    <xf numFmtId="0" fontId="0" fillId="0" borderId="34" xfId="0" applyBorder="1" applyAlignment="1">
      <alignment horizontal="left" vertical="center"/>
    </xf>
    <xf numFmtId="0" fontId="0" fillId="0" borderId="61" xfId="0" applyBorder="1" applyAlignment="1">
      <alignment horizontal="left" vertical="center"/>
    </xf>
    <xf numFmtId="0" fontId="0" fillId="0" borderId="19" xfId="0" applyBorder="1" applyAlignment="1">
      <alignment horizontal="left" vertical="center"/>
    </xf>
    <xf numFmtId="0" fontId="0" fillId="0" borderId="0" xfId="0" applyAlignment="1">
      <alignment horizontal="left" vertical="center"/>
    </xf>
    <xf numFmtId="0" fontId="0" fillId="0" borderId="62" xfId="0" applyBorder="1" applyAlignment="1">
      <alignment horizontal="left" vertical="center"/>
    </xf>
    <xf numFmtId="0" fontId="0" fillId="0" borderId="43" xfId="0" applyBorder="1" applyAlignment="1">
      <alignment horizontal="left" vertical="center"/>
    </xf>
    <xf numFmtId="0" fontId="0" fillId="0" borderId="35" xfId="0" applyBorder="1" applyAlignment="1">
      <alignment horizontal="left" vertical="center"/>
    </xf>
    <xf numFmtId="0" fontId="0" fillId="0" borderId="18" xfId="0" applyBorder="1" applyAlignment="1">
      <alignment horizontal="left" vertical="center"/>
    </xf>
    <xf numFmtId="0" fontId="0" fillId="0" borderId="20" xfId="0" applyFont="1" applyFill="1" applyBorder="1" applyAlignment="1">
      <alignment horizontal="center" vertical="top"/>
    </xf>
    <xf numFmtId="0" fontId="0" fillId="0" borderId="33" xfId="0" applyFont="1" applyFill="1" applyBorder="1" applyAlignment="1">
      <alignment horizontal="center" vertical="top"/>
    </xf>
    <xf numFmtId="0" fontId="0" fillId="0" borderId="23" xfId="0" applyFont="1" applyFill="1" applyBorder="1" applyAlignment="1">
      <alignment horizontal="center" vertical="top"/>
    </xf>
    <xf numFmtId="0" fontId="0" fillId="0" borderId="21" xfId="0" applyFont="1" applyFill="1" applyBorder="1" applyAlignment="1">
      <alignment horizontal="center" vertical="top"/>
    </xf>
    <xf numFmtId="0" fontId="0" fillId="0" borderId="19" xfId="0" applyFont="1" applyFill="1" applyBorder="1" applyAlignment="1">
      <alignment horizontal="center" vertical="top"/>
    </xf>
    <xf numFmtId="0" fontId="0" fillId="0" borderId="43" xfId="0" applyFont="1" applyFill="1" applyBorder="1" applyAlignment="1">
      <alignment horizontal="center" vertical="top"/>
    </xf>
    <xf numFmtId="178" fontId="0" fillId="0" borderId="20" xfId="0" applyNumberFormat="1" applyFont="1" applyBorder="1" applyAlignment="1">
      <alignment horizontal="center" vertical="top"/>
    </xf>
    <xf numFmtId="178" fontId="0" fillId="0" borderId="33" xfId="0" applyNumberFormat="1" applyBorder="1" applyAlignment="1">
      <alignment horizontal="center" vertical="top"/>
    </xf>
    <xf numFmtId="178" fontId="0" fillId="0" borderId="23" xfId="0" applyNumberFormat="1" applyBorder="1" applyAlignment="1">
      <alignment horizontal="center" vertical="top"/>
    </xf>
    <xf numFmtId="0" fontId="0" fillId="0" borderId="21" xfId="0" applyFont="1" applyFill="1" applyBorder="1" applyAlignment="1">
      <alignment horizontal="center" vertical="top"/>
    </xf>
    <xf numFmtId="0" fontId="0" fillId="0" borderId="19" xfId="0" applyBorder="1" applyAlignment="1">
      <alignment horizontal="center" vertical="top"/>
    </xf>
    <xf numFmtId="0" fontId="0" fillId="0" borderId="43" xfId="0" applyBorder="1" applyAlignment="1">
      <alignment horizontal="center" vertical="top"/>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3" xfId="0" applyFont="1" applyFill="1" applyBorder="1" applyAlignment="1">
      <alignment horizontal="center" vertical="center" wrapText="1"/>
    </xf>
    <xf numFmtId="1" fontId="0" fillId="0" borderId="20" xfId="0" applyNumberFormat="1" applyFont="1" applyFill="1" applyBorder="1" applyAlignment="1">
      <alignment horizontal="center" vertical="top"/>
    </xf>
    <xf numFmtId="1" fontId="0" fillId="0" borderId="20" xfId="0" applyNumberFormat="1" applyFill="1" applyBorder="1" applyAlignment="1">
      <alignment horizontal="center" vertical="top"/>
    </xf>
    <xf numFmtId="1" fontId="0" fillId="0" borderId="33" xfId="0" applyNumberFormat="1" applyFill="1" applyBorder="1" applyAlignment="1">
      <alignment horizontal="center" vertical="top"/>
    </xf>
    <xf numFmtId="1" fontId="0" fillId="0" borderId="23" xfId="0" applyNumberFormat="1" applyFill="1" applyBorder="1" applyAlignment="1">
      <alignment horizontal="center" vertical="top"/>
    </xf>
    <xf numFmtId="0" fontId="0" fillId="0" borderId="21"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43" xfId="0"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43" xfId="0" applyFill="1" applyBorder="1" applyAlignment="1">
      <alignment horizontal="center" vertical="center" wrapText="1"/>
    </xf>
    <xf numFmtId="0" fontId="3" fillId="46" borderId="22" xfId="0" applyFont="1" applyFill="1" applyBorder="1" applyAlignment="1">
      <alignment horizontal="left" vertical="top"/>
    </xf>
    <xf numFmtId="0" fontId="0" fillId="46" borderId="60" xfId="0" applyFont="1" applyFill="1" applyBorder="1" applyAlignment="1">
      <alignment vertical="top"/>
    </xf>
    <xf numFmtId="0" fontId="0" fillId="0" borderId="60" xfId="0" applyBorder="1" applyAlignment="1">
      <alignment/>
    </xf>
    <xf numFmtId="0" fontId="0" fillId="0" borderId="20" xfId="0" applyFont="1" applyBorder="1" applyAlignment="1">
      <alignment horizontal="center" vertical="top" wrapText="1"/>
    </xf>
    <xf numFmtId="0" fontId="0" fillId="0" borderId="33" xfId="0" applyBorder="1" applyAlignment="1">
      <alignment horizontal="center" vertical="top" wrapText="1"/>
    </xf>
    <xf numFmtId="0" fontId="0" fillId="0" borderId="23" xfId="0" applyBorder="1" applyAlignment="1">
      <alignment horizontal="center" vertical="top" wrapText="1"/>
    </xf>
    <xf numFmtId="1" fontId="0" fillId="0" borderId="20" xfId="0" applyNumberFormat="1" applyFont="1" applyBorder="1" applyAlignment="1">
      <alignment horizontal="center" vertical="top"/>
    </xf>
    <xf numFmtId="0" fontId="0" fillId="0" borderId="20" xfId="0" applyFill="1" applyBorder="1" applyAlignment="1" quotePrefix="1">
      <alignment horizontal="center" vertical="center" wrapText="1"/>
    </xf>
    <xf numFmtId="0" fontId="0" fillId="0" borderId="33" xfId="0" applyFill="1" applyBorder="1" applyAlignment="1">
      <alignment horizontal="center" vertical="center" wrapText="1"/>
    </xf>
    <xf numFmtId="0" fontId="0" fillId="0" borderId="23" xfId="0" applyFill="1" applyBorder="1" applyAlignment="1">
      <alignment horizontal="center" vertical="center" wrapText="1"/>
    </xf>
    <xf numFmtId="0" fontId="3" fillId="46" borderId="22" xfId="0" applyFont="1" applyFill="1" applyBorder="1" applyAlignment="1">
      <alignment horizontal="left" vertical="top"/>
    </xf>
    <xf numFmtId="0" fontId="0" fillId="46" borderId="60" xfId="0" applyFill="1" applyBorder="1" applyAlignment="1">
      <alignment vertical="top"/>
    </xf>
    <xf numFmtId="0" fontId="0" fillId="0" borderId="20" xfId="0" applyFill="1" applyBorder="1" applyAlignment="1">
      <alignment horizontal="center" vertical="center" wrapText="1"/>
    </xf>
    <xf numFmtId="1" fontId="0" fillId="0" borderId="33" xfId="0" applyNumberFormat="1" applyBorder="1" applyAlignment="1">
      <alignment horizontal="center" vertical="top"/>
    </xf>
    <xf numFmtId="1" fontId="0" fillId="0" borderId="23" xfId="0" applyNumberFormat="1" applyBorder="1" applyAlignment="1">
      <alignment horizontal="center" vertical="top"/>
    </xf>
    <xf numFmtId="0" fontId="0" fillId="0" borderId="21" xfId="0" applyFill="1" applyBorder="1" applyAlignment="1">
      <alignment horizontal="center" vertical="top"/>
    </xf>
    <xf numFmtId="0" fontId="0" fillId="0" borderId="19" xfId="0" applyFill="1" applyBorder="1" applyAlignment="1">
      <alignment horizontal="center" vertical="top"/>
    </xf>
    <xf numFmtId="0" fontId="0" fillId="0" borderId="43" xfId="0" applyFill="1" applyBorder="1" applyAlignment="1">
      <alignment horizontal="center" vertical="top"/>
    </xf>
    <xf numFmtId="178" fontId="0" fillId="0" borderId="20" xfId="0" applyNumberFormat="1" applyFill="1" applyBorder="1" applyAlignment="1">
      <alignment horizontal="center" vertical="top"/>
    </xf>
    <xf numFmtId="178" fontId="0" fillId="0" borderId="33" xfId="0" applyNumberFormat="1" applyFill="1" applyBorder="1" applyAlignment="1">
      <alignment horizontal="center" vertical="top"/>
    </xf>
    <xf numFmtId="178" fontId="0" fillId="0" borderId="23" xfId="0" applyNumberFormat="1" applyFill="1" applyBorder="1" applyAlignment="1">
      <alignment horizontal="center" vertical="top"/>
    </xf>
    <xf numFmtId="178" fontId="0" fillId="0" borderId="20" xfId="0" applyNumberFormat="1" applyFill="1" applyBorder="1" applyAlignment="1">
      <alignment horizontal="center" vertical="top" wrapText="1"/>
    </xf>
    <xf numFmtId="178" fontId="0" fillId="0" borderId="33" xfId="0" applyNumberFormat="1" applyFill="1" applyBorder="1" applyAlignment="1">
      <alignment horizontal="center" vertical="top" wrapText="1"/>
    </xf>
    <xf numFmtId="178" fontId="0" fillId="0" borderId="23" xfId="0" applyNumberFormat="1" applyFill="1" applyBorder="1" applyAlignment="1">
      <alignment horizontal="center" vertical="top" wrapText="1"/>
    </xf>
    <xf numFmtId="0" fontId="3" fillId="0" borderId="15" xfId="0" applyFont="1" applyFill="1" applyBorder="1" applyAlignment="1">
      <alignment horizontal="center" vertical="center" wrapText="1"/>
    </xf>
    <xf numFmtId="0" fontId="3" fillId="46" borderId="22" xfId="0" applyFont="1" applyFill="1" applyBorder="1" applyAlignment="1">
      <alignment horizontal="left" vertical="center" wrapText="1"/>
    </xf>
    <xf numFmtId="0" fontId="3" fillId="46" borderId="60" xfId="0" applyFont="1" applyFill="1" applyBorder="1" applyAlignment="1">
      <alignment vertical="center"/>
    </xf>
    <xf numFmtId="2" fontId="0" fillId="0" borderId="15" xfId="0" applyNumberFormat="1" applyFill="1" applyBorder="1" applyAlignment="1">
      <alignment horizontal="center" vertical="center" wrapText="1"/>
    </xf>
    <xf numFmtId="2" fontId="0" fillId="0" borderId="15" xfId="0" applyNumberFormat="1" applyBorder="1" applyAlignment="1">
      <alignment vertical="center"/>
    </xf>
    <xf numFmtId="0" fontId="0" fillId="0" borderId="15" xfId="0" applyFont="1" applyFill="1" applyBorder="1" applyAlignment="1">
      <alignment horizontal="center" vertical="center" wrapText="1"/>
    </xf>
    <xf numFmtId="0" fontId="15" fillId="0" borderId="20" xfId="0" applyFont="1" applyFill="1" applyBorder="1" applyAlignment="1">
      <alignment horizontal="center" vertical="center"/>
    </xf>
    <xf numFmtId="178" fontId="0" fillId="0" borderId="20" xfId="0" applyNumberFormat="1" applyFill="1" applyBorder="1" applyAlignment="1">
      <alignment horizontal="center" vertical="center"/>
    </xf>
    <xf numFmtId="178" fontId="0" fillId="0" borderId="23" xfId="0" applyNumberFormat="1" applyFill="1" applyBorder="1" applyAlignment="1">
      <alignment horizontal="center" vertical="center"/>
    </xf>
    <xf numFmtId="1" fontId="0" fillId="0" borderId="20" xfId="0" applyNumberFormat="1" applyFill="1" applyBorder="1" applyAlignment="1">
      <alignment horizontal="center" vertical="center"/>
    </xf>
    <xf numFmtId="1" fontId="0" fillId="0" borderId="23" xfId="0" applyNumberFormat="1" applyFill="1" applyBorder="1" applyAlignment="1">
      <alignment horizontal="center" vertical="center"/>
    </xf>
    <xf numFmtId="0" fontId="0" fillId="0" borderId="23" xfId="0" applyFill="1" applyBorder="1" applyAlignment="1">
      <alignment horizontal="center" vertical="center"/>
    </xf>
    <xf numFmtId="1" fontId="0" fillId="0" borderId="15" xfId="0" applyNumberFormat="1" applyBorder="1" applyAlignment="1">
      <alignment horizontal="center" vertical="center" wrapText="1"/>
    </xf>
    <xf numFmtId="0" fontId="0" fillId="0" borderId="33" xfId="0" applyBorder="1" applyAlignment="1">
      <alignment vertical="center"/>
    </xf>
    <xf numFmtId="0" fontId="0" fillId="0" borderId="23" xfId="0" applyBorder="1" applyAlignment="1">
      <alignment vertical="center"/>
    </xf>
    <xf numFmtId="178" fontId="0" fillId="0" borderId="20" xfId="0" applyNumberFormat="1" applyFont="1" applyFill="1" applyBorder="1" applyAlignment="1">
      <alignment horizontal="center" vertical="top"/>
    </xf>
    <xf numFmtId="0" fontId="0" fillId="0" borderId="20" xfId="0" applyFont="1" applyFill="1" applyBorder="1" applyAlignment="1">
      <alignment horizontal="center" vertical="top" wrapText="1"/>
    </xf>
    <xf numFmtId="0" fontId="0" fillId="0" borderId="21" xfId="0" applyFont="1" applyFill="1" applyBorder="1" applyAlignment="1">
      <alignment horizontal="center" vertical="center" wrapText="1"/>
    </xf>
    <xf numFmtId="0" fontId="0" fillId="0" borderId="22" xfId="0" applyFill="1" applyBorder="1" applyAlignment="1">
      <alignment horizontal="left" vertical="center"/>
    </xf>
    <xf numFmtId="0" fontId="0" fillId="0" borderId="60" xfId="0" applyBorder="1" applyAlignment="1">
      <alignment horizontal="left" vertical="center"/>
    </xf>
    <xf numFmtId="0" fontId="0" fillId="0" borderId="57" xfId="0" applyBorder="1" applyAlignment="1">
      <alignment horizontal="left" vertical="center"/>
    </xf>
    <xf numFmtId="0" fontId="0" fillId="0" borderId="20" xfId="0" applyFill="1" applyBorder="1" applyAlignment="1">
      <alignment horizontal="left" vertical="center"/>
    </xf>
    <xf numFmtId="178" fontId="0" fillId="0" borderId="20" xfId="0" applyNumberFormat="1" applyFill="1" applyBorder="1" applyAlignment="1">
      <alignment horizontal="center" vertical="center" wrapText="1"/>
    </xf>
    <xf numFmtId="178" fontId="0" fillId="0" borderId="23" xfId="0" applyNumberFormat="1" applyFill="1" applyBorder="1" applyAlignment="1">
      <alignment horizontal="center" vertical="center" wrapText="1"/>
    </xf>
    <xf numFmtId="0" fontId="3" fillId="46" borderId="60" xfId="0" applyFont="1" applyFill="1" applyBorder="1" applyAlignment="1">
      <alignment horizontal="left" vertical="center"/>
    </xf>
    <xf numFmtId="0" fontId="3" fillId="0" borderId="0" xfId="0" applyFont="1" applyAlignment="1">
      <alignment horizontal="right"/>
    </xf>
    <xf numFmtId="0" fontId="0" fillId="0" borderId="0" xfId="0" applyAlignment="1">
      <alignment horizontal="right"/>
    </xf>
    <xf numFmtId="0" fontId="0" fillId="0" borderId="15" xfId="0" applyBorder="1" applyAlignment="1">
      <alignment horizontal="left" vertical="top" wrapText="1"/>
    </xf>
    <xf numFmtId="0" fontId="0" fillId="0" borderId="60" xfId="0" applyBorder="1" applyAlignment="1">
      <alignment horizontal="right"/>
    </xf>
    <xf numFmtId="0" fontId="0" fillId="0" borderId="57" xfId="0" applyBorder="1" applyAlignment="1">
      <alignment horizontal="right"/>
    </xf>
    <xf numFmtId="0" fontId="0" fillId="0" borderId="15" xfId="0" applyBorder="1" applyAlignment="1">
      <alignment horizontal="left" wrapText="1"/>
    </xf>
    <xf numFmtId="0" fontId="3" fillId="0" borderId="15" xfId="0" applyFont="1" applyBorder="1" applyAlignment="1">
      <alignment horizontal="left"/>
    </xf>
    <xf numFmtId="0" fontId="0" fillId="0" borderId="60" xfId="0" applyFont="1" applyBorder="1" applyAlignment="1">
      <alignment horizontal="right"/>
    </xf>
    <xf numFmtId="0" fontId="0" fillId="0" borderId="57" xfId="0" applyFont="1" applyBorder="1" applyAlignment="1">
      <alignment horizontal="right"/>
    </xf>
    <xf numFmtId="0" fontId="3" fillId="0" borderId="20" xfId="0" applyFont="1" applyBorder="1" applyAlignment="1">
      <alignment horizontal="center"/>
    </xf>
    <xf numFmtId="0" fontId="0" fillId="0" borderId="23" xfId="0" applyBorder="1" applyAlignment="1">
      <alignment horizontal="center"/>
    </xf>
    <xf numFmtId="0" fontId="3" fillId="0" borderId="15" xfId="0" applyFont="1" applyBorder="1" applyAlignment="1">
      <alignment horizontal="center"/>
    </xf>
    <xf numFmtId="0" fontId="0" fillId="0" borderId="15" xfId="0" applyBorder="1" applyAlignment="1">
      <alignment horizontal="center"/>
    </xf>
    <xf numFmtId="0" fontId="3" fillId="0" borderId="15" xfId="0" applyFont="1" applyBorder="1" applyAlignment="1">
      <alignment horizontal="center" wrapText="1"/>
    </xf>
    <xf numFmtId="0" fontId="3" fillId="0" borderId="20" xfId="0" applyFont="1" applyFill="1" applyBorder="1" applyAlignment="1">
      <alignment horizontal="left" vertical="top" wrapText="1"/>
    </xf>
    <xf numFmtId="0" fontId="3" fillId="0" borderId="15" xfId="57" applyFont="1" applyBorder="1" applyAlignment="1">
      <alignment horizontal="center"/>
    </xf>
    <xf numFmtId="0" fontId="41" fillId="0" borderId="15" xfId="57" applyFont="1" applyBorder="1" applyAlignment="1">
      <alignment horizontal="center"/>
    </xf>
    <xf numFmtId="0" fontId="0" fillId="0" borderId="15" xfId="57" applyFont="1" applyBorder="1" applyAlignment="1">
      <alignment horizontal="center" wrapText="1"/>
    </xf>
    <xf numFmtId="0" fontId="3" fillId="0" borderId="22" xfId="57" applyFont="1" applyBorder="1" applyAlignment="1">
      <alignment horizontal="center"/>
    </xf>
    <xf numFmtId="0" fontId="3" fillId="0" borderId="60" xfId="57" applyFont="1" applyBorder="1" applyAlignment="1">
      <alignment horizontal="center"/>
    </xf>
    <xf numFmtId="0" fontId="3" fillId="0" borderId="15" xfId="57" applyFont="1" applyBorder="1" applyAlignment="1">
      <alignment horizontal="center" wrapText="1"/>
    </xf>
    <xf numFmtId="0" fontId="3" fillId="0" borderId="22" xfId="57" applyFont="1" applyBorder="1" applyAlignment="1">
      <alignment horizontal="center" wrapText="1"/>
    </xf>
    <xf numFmtId="0" fontId="3" fillId="0" borderId="60" xfId="57" applyFont="1" applyBorder="1" applyAlignment="1">
      <alignment horizontal="center" wrapText="1"/>
    </xf>
    <xf numFmtId="0" fontId="3" fillId="0" borderId="57" xfId="57" applyFont="1" applyBorder="1" applyAlignment="1">
      <alignment horizontal="center" wrapText="1"/>
    </xf>
    <xf numFmtId="0" fontId="60" fillId="0" borderId="22" xfId="0" applyFont="1" applyBorder="1" applyAlignment="1">
      <alignment horizontal="center"/>
    </xf>
    <xf numFmtId="0" fontId="60" fillId="0" borderId="60" xfId="0" applyFont="1" applyBorder="1" applyAlignment="1">
      <alignment horizontal="center"/>
    </xf>
    <xf numFmtId="0" fontId="60" fillId="0" borderId="57" xfId="0" applyFont="1" applyBorder="1" applyAlignment="1">
      <alignment horizontal="center"/>
    </xf>
    <xf numFmtId="0" fontId="58" fillId="0" borderId="22" xfId="0" applyFont="1" applyBorder="1" applyAlignment="1">
      <alignment horizontal="center"/>
    </xf>
    <xf numFmtId="0" fontId="58" fillId="0" borderId="60" xfId="0" applyFont="1" applyBorder="1" applyAlignment="1">
      <alignment horizontal="center"/>
    </xf>
    <xf numFmtId="0" fontId="58" fillId="0" borderId="57" xfId="0" applyFont="1" applyBorder="1" applyAlignment="1">
      <alignment horizontal="center"/>
    </xf>
    <xf numFmtId="0" fontId="3" fillId="41" borderId="15" xfId="0" applyFont="1" applyFill="1" applyBorder="1" applyAlignment="1">
      <alignment horizontal="center"/>
    </xf>
    <xf numFmtId="0" fontId="24" fillId="0" borderId="15" xfId="0" applyFont="1" applyBorder="1" applyAlignment="1">
      <alignment horizontal="center"/>
    </xf>
    <xf numFmtId="0" fontId="8" fillId="0" borderId="15" xfId="0" applyFont="1" applyBorder="1" applyAlignment="1">
      <alignment horizontal="center"/>
    </xf>
    <xf numFmtId="0" fontId="58" fillId="0" borderId="15" xfId="0" applyFont="1" applyBorder="1" applyAlignment="1">
      <alignment horizontal="center"/>
    </xf>
    <xf numFmtId="0" fontId="0" fillId="0" borderId="63" xfId="0" applyFont="1" applyBorder="1" applyAlignment="1">
      <alignment wrapText="1"/>
    </xf>
    <xf numFmtId="0" fontId="0" fillId="0" borderId="12" xfId="0" applyFont="1" applyBorder="1" applyAlignment="1">
      <alignment wrapText="1"/>
    </xf>
    <xf numFmtId="0" fontId="14" fillId="45" borderId="24" xfId="0" applyFont="1" applyFill="1" applyBorder="1" applyAlignment="1">
      <alignment horizontal="center" vertical="top" wrapText="1"/>
    </xf>
    <xf numFmtId="0" fontId="14" fillId="36" borderId="24" xfId="0" applyFont="1" applyFill="1" applyBorder="1" applyAlignment="1">
      <alignment horizontal="center" vertical="top" wrapText="1"/>
    </xf>
    <xf numFmtId="0" fontId="14" fillId="0" borderId="25" xfId="0" applyFont="1" applyBorder="1" applyAlignment="1">
      <alignment horizontal="center" vertical="top" wrapText="1"/>
    </xf>
    <xf numFmtId="0" fontId="14" fillId="0" borderId="30" xfId="0" applyFont="1" applyBorder="1" applyAlignment="1">
      <alignment horizontal="center" vertical="top" wrapText="1"/>
    </xf>
    <xf numFmtId="0" fontId="33" fillId="0" borderId="25" xfId="0" applyFont="1" applyBorder="1" applyAlignment="1">
      <alignment vertical="top" wrapText="1"/>
    </xf>
    <xf numFmtId="0" fontId="34" fillId="0" borderId="27" xfId="0" applyFont="1" applyBorder="1" applyAlignment="1">
      <alignment vertical="top" wrapText="1"/>
    </xf>
    <xf numFmtId="0" fontId="34" fillId="0" borderId="64" xfId="0" applyFont="1" applyBorder="1" applyAlignment="1">
      <alignment vertical="top"/>
    </xf>
    <xf numFmtId="0" fontId="36" fillId="45" borderId="28" xfId="0" applyFont="1" applyFill="1" applyBorder="1" applyAlignment="1">
      <alignment vertical="top" wrapText="1"/>
    </xf>
    <xf numFmtId="0" fontId="25" fillId="36" borderId="28" xfId="0" applyFont="1" applyFill="1" applyBorder="1" applyAlignment="1">
      <alignment vertical="top" wrapText="1"/>
    </xf>
    <xf numFmtId="0" fontId="35" fillId="0" borderId="28" xfId="0" applyFont="1" applyBorder="1" applyAlignment="1">
      <alignment vertical="top" wrapText="1"/>
    </xf>
    <xf numFmtId="0" fontId="0" fillId="0" borderId="15" xfId="0" applyBorder="1" applyAlignment="1">
      <alignment horizontal="center" wrapText="1"/>
    </xf>
    <xf numFmtId="3" fontId="13" fillId="0" borderId="0" xfId="0" applyNumberFormat="1" applyFont="1" applyBorder="1" applyAlignment="1">
      <alignment horizontal="center"/>
    </xf>
    <xf numFmtId="0" fontId="13" fillId="0" borderId="0" xfId="0" applyFont="1" applyBorder="1" applyAlignment="1">
      <alignment horizontal="center"/>
    </xf>
    <xf numFmtId="0" fontId="14" fillId="0" borderId="0" xfId="0" applyFont="1" applyAlignment="1">
      <alignment horizontal="center"/>
    </xf>
    <xf numFmtId="0" fontId="15" fillId="0" borderId="0" xfId="0" applyFont="1" applyAlignment="1">
      <alignment horizontal="center"/>
    </xf>
    <xf numFmtId="0" fontId="15" fillId="0" borderId="0" xfId="0" applyFont="1" applyAlignment="1">
      <alignment/>
    </xf>
    <xf numFmtId="0" fontId="14" fillId="0" borderId="22" xfId="0" applyFont="1" applyBorder="1" applyAlignment="1">
      <alignment horizontal="center" wrapText="1"/>
    </xf>
    <xf numFmtId="0" fontId="14" fillId="0" borderId="57" xfId="0" applyFont="1" applyBorder="1" applyAlignment="1">
      <alignment horizontal="center" wrapText="1"/>
    </xf>
    <xf numFmtId="0" fontId="51" fillId="0" borderId="0" xfId="0" applyFont="1" applyBorder="1" applyAlignment="1">
      <alignment vertical="top" wrapText="1"/>
    </xf>
    <xf numFmtId="0" fontId="50" fillId="0" borderId="0" xfId="0" applyFont="1" applyBorder="1" applyAlignment="1">
      <alignment vertical="top" wrapText="1"/>
    </xf>
    <xf numFmtId="0" fontId="0" fillId="0" borderId="15" xfId="0" applyBorder="1" applyAlignment="1">
      <alignment vertical="center" wrapText="1"/>
    </xf>
    <xf numFmtId="2" fontId="3" fillId="0" borderId="15" xfId="0" applyNumberFormat="1" applyFont="1" applyBorder="1" applyAlignment="1">
      <alignment horizontal="center"/>
    </xf>
    <xf numFmtId="0" fontId="3" fillId="0" borderId="15" xfId="0" applyFont="1" applyBorder="1" applyAlignment="1">
      <alignment vertical="center" wrapText="1"/>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vertical="center"/>
    </xf>
    <xf numFmtId="0" fontId="23" fillId="0" borderId="15" xfId="0" applyFont="1" applyBorder="1" applyAlignment="1">
      <alignment vertical="center"/>
    </xf>
    <xf numFmtId="0" fontId="37" fillId="0" borderId="0" xfId="0" applyFont="1" applyAlignment="1">
      <alignment vertical="top" wrapText="1"/>
    </xf>
    <xf numFmtId="0" fontId="0" fillId="0" borderId="0" xfId="0"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8845020" xfId="57"/>
    <cellStyle name="Normal_Sheet1"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275"/>
        </c:manualLayout>
      </c:layout>
      <c:spPr>
        <a:noFill/>
        <a:ln>
          <a:noFill/>
        </a:ln>
      </c:spPr>
      <c:txPr>
        <a:bodyPr vert="horz" rot="0"/>
        <a:lstStyle/>
        <a:p>
          <a:pPr>
            <a:defRPr lang="en-US" cap="none" sz="1650" b="0" i="0" u="none" baseline="0">
              <a:solidFill>
                <a:srgbClr val="000000"/>
              </a:solidFill>
              <a:latin typeface="Arial"/>
              <a:ea typeface="Arial"/>
              <a:cs typeface="Arial"/>
            </a:defRPr>
          </a:pPr>
        </a:p>
      </c:txPr>
    </c:title>
    <c:plotArea>
      <c:layout>
        <c:manualLayout>
          <c:xMode val="edge"/>
          <c:yMode val="edge"/>
          <c:x val="0.259"/>
          <c:y val="0.38425"/>
          <c:w val="0.4485"/>
          <c:h val="0.5135"/>
        </c:manualLayout>
      </c:layout>
      <c:pieChart>
        <c:varyColors val="1"/>
        <c:ser>
          <c:idx val="0"/>
          <c:order val="0"/>
          <c:tx>
            <c:strRef>
              <c:f>'Point sources'!$H$54</c:f>
              <c:strCache>
                <c:ptCount val="1"/>
                <c:pt idx="0">
                  <c:v>TSP</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Lbls>
            <c:numFmt formatCode="0%" sourceLinked="0"/>
            <c:txPr>
              <a:bodyPr vert="horz" rot="0" anchor="ctr"/>
              <a:lstStyle/>
              <a:p>
                <a:pPr algn="ctr">
                  <a:defRPr lang="en-US" cap="none" sz="8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multiLvlStrRef>
              <c:f>'Point sources'!$A$55:$G$61</c:f>
              <c:multiLvlStrCache/>
            </c:multiLvlStrRef>
          </c:cat>
          <c:val>
            <c:numRef>
              <c:f>'Point sources'!$H$55:$H$61</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
        </c:manualLayout>
      </c:layout>
      <c:spPr>
        <a:noFill/>
        <a:ln>
          <a:noFill/>
        </a:ln>
      </c:spPr>
      <c:txPr>
        <a:bodyPr vert="horz" rot="0"/>
        <a:lstStyle/>
        <a:p>
          <a:pPr>
            <a:defRPr lang="en-US" cap="none" sz="1750" b="0" i="0" u="none" baseline="0">
              <a:solidFill>
                <a:srgbClr val="000000"/>
              </a:solidFill>
              <a:latin typeface="Arial"/>
              <a:ea typeface="Arial"/>
              <a:cs typeface="Arial"/>
            </a:defRPr>
          </a:pPr>
        </a:p>
      </c:txPr>
    </c:title>
    <c:plotArea>
      <c:layout>
        <c:manualLayout>
          <c:xMode val="edge"/>
          <c:yMode val="edge"/>
          <c:x val="0.093"/>
          <c:y val="0.2155"/>
          <c:w val="0.6125"/>
          <c:h val="0.69975"/>
        </c:manualLayout>
      </c:layout>
      <c:pieChart>
        <c:varyColors val="1"/>
        <c:ser>
          <c:idx val="0"/>
          <c:order val="0"/>
          <c:tx>
            <c:strRef>
              <c:f>'PT Diffuse emissions - process'!$D$55</c:f>
              <c:strCache>
                <c:ptCount val="1"/>
                <c:pt idx="0">
                  <c:v>PM10</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cat>
            <c:strRef>
              <c:f>'PT Diffuse emissions - process'!$B$56:$B$60</c:f>
              <c:strCache/>
            </c:strRef>
          </c:cat>
          <c:val>
            <c:numRef>
              <c:f>'PT Diffuse emissions - process'!$D$56:$D$60</c:f>
              <c:numCache/>
            </c:numRef>
          </c:val>
        </c:ser>
      </c:pieChart>
      <c:spPr>
        <a:noFill/>
        <a:ln>
          <a:noFill/>
        </a:ln>
      </c:spPr>
    </c:plotArea>
    <c:legend>
      <c:legendPos val="r"/>
      <c:layout>
        <c:manualLayout>
          <c:xMode val="edge"/>
          <c:yMode val="edge"/>
          <c:x val="0.806"/>
          <c:y val="0.448"/>
          <c:w val="0.188"/>
          <c:h val="0.2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1750" b="0" i="0" u="none" baseline="0">
              <a:solidFill>
                <a:srgbClr val="000000"/>
              </a:solidFill>
              <a:latin typeface="Arial"/>
              <a:ea typeface="Arial"/>
              <a:cs typeface="Arial"/>
            </a:defRPr>
          </a:pPr>
        </a:p>
      </c:txPr>
    </c:title>
    <c:plotArea>
      <c:layout>
        <c:manualLayout>
          <c:xMode val="edge"/>
          <c:yMode val="edge"/>
          <c:x val="0.07325"/>
          <c:y val="0.21425"/>
          <c:w val="0.6465"/>
          <c:h val="0.69525"/>
        </c:manualLayout>
      </c:layout>
      <c:pieChart>
        <c:varyColors val="1"/>
        <c:ser>
          <c:idx val="0"/>
          <c:order val="0"/>
          <c:tx>
            <c:strRef>
              <c:f>'PT Diffuse emissions - process'!$E$55</c:f>
              <c:strCache>
                <c:ptCount val="1"/>
                <c:pt idx="0">
                  <c:v>PM2.5</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cat>
            <c:strRef>
              <c:f>'PT Diffuse emissions - process'!$B$56:$B$60</c:f>
              <c:strCache/>
            </c:strRef>
          </c:cat>
          <c:val>
            <c:numRef>
              <c:f>'PT Diffuse emissions - process'!$E$56:$E$60</c:f>
              <c:numCache/>
            </c:numRef>
          </c:val>
        </c:ser>
      </c:pieChart>
      <c:spPr>
        <a:noFill/>
        <a:ln>
          <a:noFill/>
        </a:ln>
      </c:spPr>
    </c:plotArea>
    <c:legend>
      <c:legendPos val="r"/>
      <c:layout>
        <c:manualLayout>
          <c:xMode val="edge"/>
          <c:yMode val="edge"/>
          <c:x val="0.803"/>
          <c:y val="0.44925"/>
          <c:w val="0.1905"/>
          <c:h val="0.2027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1375"/>
          <c:w val="0.85975"/>
          <c:h val="0.9725"/>
        </c:manualLayout>
      </c:layout>
      <c:barChart>
        <c:barDir val="col"/>
        <c:grouping val="clustered"/>
        <c:varyColors val="0"/>
        <c:ser>
          <c:idx val="0"/>
          <c:order val="0"/>
          <c:tx>
            <c:strRef>
              <c:f>'PT Diffuse emissions - process'!$M$6</c:f>
              <c:strCache>
                <c:ptCount val="1"/>
                <c:pt idx="0">
                  <c:v>PM10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'PT Diffuse emissions - process'!$K$7:$K$19</c:f>
              <c:strCache/>
            </c:strRef>
          </c:cat>
          <c:val>
            <c:numRef>
              <c:f>'PT Diffuse emissions - process'!$M$7:$M$19</c:f>
              <c:numCache/>
            </c:numRef>
          </c:val>
        </c:ser>
        <c:ser>
          <c:idx val="1"/>
          <c:order val="1"/>
          <c:tx>
            <c:strRef>
              <c:f>'PT Diffuse emissions - process'!$N$6</c:f>
              <c:strCache>
                <c:ptCount val="1"/>
                <c:pt idx="0">
                  <c:v>PM2.5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'PT Diffuse emissions - process'!$K$7:$K$19</c:f>
              <c:strCache/>
            </c:strRef>
          </c:cat>
          <c:val>
            <c:numRef>
              <c:f>'PT Diffuse emissions - process'!$N$7:$N$19</c:f>
              <c:numCache/>
            </c:numRef>
          </c:val>
        </c:ser>
        <c:axId val="15594768"/>
        <c:axId val="6135185"/>
      </c:barChart>
      <c:catAx>
        <c:axId val="1559476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135185"/>
        <c:crosses val="autoZero"/>
        <c:auto val="1"/>
        <c:lblOffset val="100"/>
        <c:tickLblSkip val="1"/>
        <c:noMultiLvlLbl val="0"/>
      </c:catAx>
      <c:valAx>
        <c:axId val="61351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594768"/>
        <c:crossesAt val="1"/>
        <c:crossBetween val="between"/>
        <c:dispUnits/>
      </c:valAx>
      <c:spPr>
        <a:noFill/>
        <a:ln w="12700">
          <a:solidFill>
            <a:srgbClr val="808080"/>
          </a:solidFill>
        </a:ln>
      </c:spPr>
    </c:plotArea>
    <c:legend>
      <c:legendPos val="r"/>
      <c:layout>
        <c:manualLayout>
          <c:xMode val="edge"/>
          <c:yMode val="edge"/>
          <c:x val="0.88975"/>
          <c:y val="0.347"/>
          <c:w val="0.1045"/>
          <c:h val="0.071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1675"/>
          <c:w val="0.8405"/>
          <c:h val="0.96625"/>
        </c:manualLayout>
      </c:layout>
      <c:barChart>
        <c:barDir val="col"/>
        <c:grouping val="clustered"/>
        <c:varyColors val="0"/>
        <c:ser>
          <c:idx val="1"/>
          <c:order val="0"/>
          <c:tx>
            <c:strRef>
              <c:f>'PT Diffuse emissions - process'!$M$6</c:f>
              <c:strCache>
                <c:ptCount val="1"/>
                <c:pt idx="0">
                  <c:v>PM10</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'PT Diffuse emissions - process'!$K$7:$K$19</c:f>
              <c:strCache/>
            </c:strRef>
          </c:cat>
          <c:val>
            <c:numRef>
              <c:f>'PT Diffuse emissions - process'!$O$7:$O$19</c:f>
              <c:numCache/>
            </c:numRef>
          </c:val>
        </c:ser>
        <c:axId val="55216666"/>
        <c:axId val="27187947"/>
      </c:barChart>
      <c:lineChart>
        <c:grouping val="standard"/>
        <c:varyColors val="0"/>
        <c:ser>
          <c:idx val="0"/>
          <c:order val="1"/>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'PT Diffuse emissions - process'!$P$7:$P$19</c:f>
              <c:numCache/>
            </c:numRef>
          </c:val>
          <c:smooth val="0"/>
        </c:ser>
        <c:axId val="43364932"/>
        <c:axId val="54740069"/>
      </c:lineChart>
      <c:catAx>
        <c:axId val="55216666"/>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7187947"/>
        <c:crosses val="autoZero"/>
        <c:auto val="0"/>
        <c:lblOffset val="100"/>
        <c:tickLblSkip val="1"/>
        <c:noMultiLvlLbl val="0"/>
      </c:catAx>
      <c:valAx>
        <c:axId val="27187947"/>
        <c:scaling>
          <c:orientation val="minMax"/>
          <c:max val="1"/>
        </c:scaling>
        <c:axPos val="l"/>
        <c:delete val="0"/>
        <c:numFmt formatCode="General" sourceLinked="1"/>
        <c:majorTickMark val="cross"/>
        <c:minorTickMark val="none"/>
        <c:tickLblPos val="nextTo"/>
        <c:spPr>
          <a:ln w="3175">
            <a:solidFill>
              <a:srgbClr val="000000"/>
            </a:solidFill>
          </a:ln>
        </c:spPr>
        <c:crossAx val="55216666"/>
        <c:crossesAt val="1"/>
        <c:crossBetween val="between"/>
        <c:dispUnits/>
      </c:valAx>
      <c:catAx>
        <c:axId val="43364932"/>
        <c:scaling>
          <c:orientation val="minMax"/>
        </c:scaling>
        <c:axPos val="b"/>
        <c:delete val="1"/>
        <c:majorTickMark val="out"/>
        <c:minorTickMark val="none"/>
        <c:tickLblPos val="none"/>
        <c:crossAx val="54740069"/>
        <c:crosses val="autoZero"/>
        <c:auto val="0"/>
        <c:lblOffset val="100"/>
        <c:tickLblSkip val="1"/>
        <c:noMultiLvlLbl val="0"/>
      </c:catAx>
      <c:valAx>
        <c:axId val="54740069"/>
        <c:scaling>
          <c:orientation val="minMax"/>
        </c:scaling>
        <c:axPos val="l"/>
        <c:delete val="1"/>
        <c:majorTickMark val="out"/>
        <c:minorTickMark val="none"/>
        <c:tickLblPos val="none"/>
        <c:crossAx val="43364932"/>
        <c:crossesAt val="1"/>
        <c:crossBetween val="between"/>
        <c:dispUnits/>
      </c:valAx>
      <c:spPr>
        <a:noFill/>
        <a:ln w="12700">
          <a:solidFill>
            <a:srgbClr val="808080"/>
          </a:solidFill>
        </a:ln>
      </c:spPr>
    </c:plotArea>
    <c:legend>
      <c:legendPos val="r"/>
      <c:layout>
        <c:manualLayout>
          <c:xMode val="edge"/>
          <c:yMode val="edge"/>
          <c:x val="0.87075"/>
          <c:y val="0.3475"/>
          <c:w val="0.12325"/>
          <c:h val="0.076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275"/>
        </c:manualLayout>
      </c:layout>
      <c:spPr>
        <a:noFill/>
        <a:ln>
          <a:noFill/>
        </a:ln>
      </c:spPr>
      <c:txPr>
        <a:bodyPr vert="horz" rot="0"/>
        <a:lstStyle/>
        <a:p>
          <a:pPr>
            <a:defRPr lang="en-US" cap="none" sz="1750" b="0" i="0" u="none" baseline="0">
              <a:solidFill>
                <a:srgbClr val="000000"/>
              </a:solidFill>
              <a:latin typeface="Arial"/>
              <a:ea typeface="Arial"/>
              <a:cs typeface="Arial"/>
            </a:defRPr>
          </a:pPr>
        </a:p>
      </c:txPr>
    </c:title>
    <c:plotArea>
      <c:layout>
        <c:manualLayout>
          <c:xMode val="edge"/>
          <c:yMode val="edge"/>
          <c:x val="0.215"/>
          <c:y val="0.2515"/>
          <c:w val="0.58125"/>
          <c:h val="0.60775"/>
        </c:manualLayout>
      </c:layout>
      <c:pieChart>
        <c:varyColors val="1"/>
        <c:ser>
          <c:idx val="0"/>
          <c:order val="0"/>
          <c:tx>
            <c:strRef>
              <c:f>'PT Overall PM '!$F$3</c:f>
              <c:strCache>
                <c:ptCount val="1"/>
                <c:pt idx="0">
                  <c:v>TSP</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850" b="0" i="0" u="none" baseline="0">
                    <a:solidFill>
                      <a:srgbClr val="000000"/>
                    </a:solidFill>
                    <a:latin typeface="Arial"/>
                    <a:ea typeface="Arial"/>
                    <a:cs typeface="Arial"/>
                  </a:defRPr>
                </a:pPr>
              </a:p>
            </c:txPr>
            <c:showLegendKey val="0"/>
            <c:showVal val="1"/>
            <c:showBubbleSize val="0"/>
            <c:showCatName val="1"/>
            <c:showSerName val="0"/>
            <c:showLeaderLines val="1"/>
            <c:showPercent val="0"/>
          </c:dLbls>
          <c:cat>
            <c:strRef>
              <c:f>'PT Overall PM '!$B$4:$B$7</c:f>
              <c:strCache/>
            </c:strRef>
          </c:cat>
          <c:val>
            <c:numRef>
              <c:f>'PT Overall PM '!$F$4:$F$6</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750" b="0" i="0" u="none" baseline="0">
              <a:solidFill>
                <a:srgbClr val="000000"/>
              </a:solidFill>
              <a:latin typeface="Arial"/>
              <a:ea typeface="Arial"/>
              <a:cs typeface="Arial"/>
            </a:defRPr>
          </a:pPr>
        </a:p>
      </c:txPr>
    </c:title>
    <c:plotArea>
      <c:layout>
        <c:manualLayout>
          <c:xMode val="edge"/>
          <c:yMode val="edge"/>
          <c:x val="0.1895"/>
          <c:y val="0.234"/>
          <c:w val="0.6115"/>
          <c:h val="0.639"/>
        </c:manualLayout>
      </c:layout>
      <c:pieChart>
        <c:varyColors val="1"/>
        <c:ser>
          <c:idx val="0"/>
          <c:order val="0"/>
          <c:tx>
            <c:strRef>
              <c:f>'PT Overall PM '!$G$3</c:f>
              <c:strCache>
                <c:ptCount val="1"/>
                <c:pt idx="0">
                  <c:v>PM10</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85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850" b="0" i="0" u="none" baseline="0">
                    <a:solidFill>
                      <a:srgbClr val="000000"/>
                    </a:solidFill>
                    <a:latin typeface="Arial"/>
                    <a:ea typeface="Arial"/>
                    <a:cs typeface="Arial"/>
                  </a:defRPr>
                </a:pPr>
              </a:p>
            </c:txPr>
            <c:showLegendKey val="0"/>
            <c:showVal val="1"/>
            <c:showBubbleSize val="0"/>
            <c:showCatName val="1"/>
            <c:showSerName val="0"/>
            <c:showLeaderLines val="1"/>
            <c:showPercent val="0"/>
          </c:dLbls>
          <c:cat>
            <c:strRef>
              <c:f>'PT Overall PM '!$B$4:$B$7</c:f>
              <c:strCache/>
            </c:strRef>
          </c:cat>
          <c:val>
            <c:numRef>
              <c:f>'PT Overall PM '!$G$4:$G$6</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275"/>
        </c:manualLayout>
      </c:layout>
      <c:spPr>
        <a:noFill/>
        <a:ln>
          <a:noFill/>
        </a:ln>
      </c:spPr>
      <c:txPr>
        <a:bodyPr vert="horz" rot="0"/>
        <a:lstStyle/>
        <a:p>
          <a:pPr>
            <a:defRPr lang="en-US" cap="none" sz="1750" b="0" i="0" u="none" baseline="0">
              <a:solidFill>
                <a:srgbClr val="000000"/>
              </a:solidFill>
              <a:latin typeface="Arial"/>
              <a:ea typeface="Arial"/>
              <a:cs typeface="Arial"/>
            </a:defRPr>
          </a:pPr>
        </a:p>
      </c:txPr>
    </c:title>
    <c:plotArea>
      <c:layout>
        <c:manualLayout>
          <c:xMode val="edge"/>
          <c:yMode val="edge"/>
          <c:x val="0.18925"/>
          <c:y val="0.25875"/>
          <c:w val="0.579"/>
          <c:h val="0.61175"/>
        </c:manualLayout>
      </c:layout>
      <c:pieChart>
        <c:varyColors val="1"/>
        <c:ser>
          <c:idx val="0"/>
          <c:order val="0"/>
          <c:tx>
            <c:strRef>
              <c:f>'PT Overall PM '!$H$3</c:f>
              <c:strCache>
                <c:ptCount val="1"/>
                <c:pt idx="0">
                  <c:v>PM2.5</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1"/>
            <c:showSerName val="0"/>
            <c:showLeaderLines val="1"/>
            <c:showPercent val="0"/>
          </c:dLbls>
          <c:cat>
            <c:strRef>
              <c:f>'PT Overall PM '!$B$4:$B$7</c:f>
              <c:strCache/>
            </c:strRef>
          </c:cat>
          <c:val>
            <c:numRef>
              <c:f>'PT Overall PM '!$H$4:$H$6</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275"/>
        </c:manualLayout>
      </c:layout>
      <c:spPr>
        <a:noFill/>
        <a:ln>
          <a:noFill/>
        </a:ln>
      </c:spPr>
      <c:txPr>
        <a:bodyPr vert="horz" rot="0"/>
        <a:lstStyle/>
        <a:p>
          <a:pPr>
            <a:defRPr lang="en-US" cap="none" sz="1750" b="0" i="0" u="none" baseline="0">
              <a:solidFill>
                <a:srgbClr val="000000"/>
              </a:solidFill>
              <a:latin typeface="Arial"/>
              <a:ea typeface="Arial"/>
              <a:cs typeface="Arial"/>
            </a:defRPr>
          </a:pPr>
        </a:p>
      </c:txPr>
    </c:title>
    <c:plotArea>
      <c:layout>
        <c:manualLayout>
          <c:xMode val="edge"/>
          <c:yMode val="edge"/>
          <c:x val="0.2105"/>
          <c:y val="0.3055"/>
          <c:w val="0.53"/>
          <c:h val="0.56025"/>
        </c:manualLayout>
      </c:layout>
      <c:pieChart>
        <c:varyColors val="1"/>
        <c:ser>
          <c:idx val="0"/>
          <c:order val="0"/>
          <c:tx>
            <c:strRef>
              <c:f>'PT Overall PM '!$R$3</c:f>
              <c:strCache>
                <c:ptCount val="1"/>
                <c:pt idx="0">
                  <c:v>TSP</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'PT Overall PM '!$N$4:$N$12</c:f>
              <c:strCache/>
            </c:strRef>
          </c:cat>
          <c:val>
            <c:numRef>
              <c:f>'PT Overall PM '!$R$4:$R$12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275"/>
        </c:manualLayout>
      </c:layout>
      <c:spPr>
        <a:noFill/>
        <a:ln>
          <a:noFill/>
        </a:ln>
      </c:spPr>
      <c:txPr>
        <a:bodyPr vert="horz" rot="0"/>
        <a:lstStyle/>
        <a:p>
          <a:pPr>
            <a:defRPr lang="en-US" cap="none" sz="1750" b="0" i="0" u="none" baseline="0">
              <a:solidFill>
                <a:srgbClr val="000000"/>
              </a:solidFill>
              <a:latin typeface="Arial"/>
              <a:ea typeface="Arial"/>
              <a:cs typeface="Arial"/>
            </a:defRPr>
          </a:pPr>
        </a:p>
      </c:txPr>
    </c:title>
    <c:plotArea>
      <c:layout>
        <c:manualLayout>
          <c:xMode val="edge"/>
          <c:yMode val="edge"/>
          <c:x val="0.24975"/>
          <c:y val="0.30475"/>
          <c:w val="0.544"/>
          <c:h val="0.574"/>
        </c:manualLayout>
      </c:layout>
      <c:pieChart>
        <c:varyColors val="1"/>
        <c:ser>
          <c:idx val="0"/>
          <c:order val="0"/>
          <c:tx>
            <c:strRef>
              <c:f>'PT Overall PM '!$S$3</c:f>
              <c:strCache>
                <c:ptCount val="1"/>
                <c:pt idx="0">
                  <c:v>PM10</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7"/>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8"/>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8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'PT Overall PM '!$N$4:$N$12</c:f>
              <c:strCache/>
            </c:strRef>
          </c:cat>
          <c:val>
            <c:numRef>
              <c:f>'PT Overall PM '!$S$4:$S$12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1750" b="0" i="0" u="none" baseline="0">
              <a:solidFill>
                <a:srgbClr val="000000"/>
              </a:solidFill>
              <a:latin typeface="Arial"/>
              <a:ea typeface="Arial"/>
              <a:cs typeface="Arial"/>
            </a:defRPr>
          </a:pPr>
        </a:p>
      </c:txPr>
    </c:title>
    <c:plotArea>
      <c:layout>
        <c:manualLayout>
          <c:xMode val="edge"/>
          <c:yMode val="edge"/>
          <c:x val="0.233"/>
          <c:y val="0.332"/>
          <c:w val="0.564"/>
          <c:h val="0.59575"/>
        </c:manualLayout>
      </c:layout>
      <c:pieChart>
        <c:varyColors val="1"/>
        <c:ser>
          <c:idx val="0"/>
          <c:order val="0"/>
          <c:tx>
            <c:strRef>
              <c:f>'PT Overall PM '!$T$3</c:f>
              <c:strCache>
                <c:ptCount val="1"/>
                <c:pt idx="0">
                  <c:v>PM2.5</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'PT Overall PM '!$N$4:$N$12</c:f>
              <c:strCache/>
            </c:strRef>
          </c:cat>
          <c:val>
            <c:numRef>
              <c:f>'PT Overall PM '!$T$4:$T$12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00275"/>
        </c:manualLayout>
      </c:layout>
      <c:spPr>
        <a:noFill/>
        <a:ln>
          <a:noFill/>
        </a:ln>
      </c:spPr>
      <c:txPr>
        <a:bodyPr vert="horz" rot="0"/>
        <a:lstStyle/>
        <a:p>
          <a:pPr>
            <a:defRPr lang="en-US" cap="none" sz="1225" b="0" i="0" u="none" baseline="0">
              <a:solidFill>
                <a:srgbClr val="000000"/>
              </a:solidFill>
              <a:latin typeface="Arial"/>
              <a:ea typeface="Arial"/>
              <a:cs typeface="Arial"/>
            </a:defRPr>
          </a:pPr>
        </a:p>
      </c:txPr>
    </c:title>
    <c:plotArea>
      <c:layout>
        <c:manualLayout>
          <c:xMode val="edge"/>
          <c:yMode val="edge"/>
          <c:x val="0.243"/>
          <c:y val="0.443"/>
          <c:w val="0.53325"/>
          <c:h val="0.41825"/>
        </c:manualLayout>
      </c:layout>
      <c:pieChart>
        <c:varyColors val="1"/>
        <c:ser>
          <c:idx val="0"/>
          <c:order val="0"/>
          <c:tx>
            <c:strRef>
              <c:f>'Point sources'!$I$54</c:f>
              <c:strCache>
                <c:ptCount val="1"/>
                <c:pt idx="0">
                  <c:v>PM10</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Lbls>
            <c:dLbl>
              <c:idx val="0"/>
              <c:layout>
                <c:manualLayout>
                  <c:x val="0"/>
                  <c:y val="0"/>
                </c:manualLayout>
              </c:layout>
              <c:txPr>
                <a:bodyPr vert="horz" rot="0" anchor="ctr"/>
                <a:lstStyle/>
                <a:p>
                  <a:pPr algn="ctr">
                    <a:defRPr lang="en-US" cap="none" sz="525"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dLbl>
              <c:idx val="1"/>
              <c:txPr>
                <a:bodyPr vert="horz" rot="0" anchor="ctr"/>
                <a:lstStyle/>
                <a:p>
                  <a:pPr algn="ctr">
                    <a:defRPr lang="en-US" cap="none" sz="525"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525"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525"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525"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525"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525"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numFmt formatCode="General" sourceLinked="1"/>
            <c:spPr>
              <a:noFill/>
              <a:ln>
                <a:noFill/>
              </a:ln>
            </c:spPr>
            <c:showLegendKey val="0"/>
            <c:showVal val="1"/>
            <c:showBubbleSize val="0"/>
            <c:showCatName val="1"/>
            <c:showSerName val="0"/>
            <c:showLeaderLines val="1"/>
            <c:showPercent val="0"/>
          </c:dLbls>
          <c:cat>
            <c:multiLvlStrRef>
              <c:f>'Point sources'!$A$55:$G$61</c:f>
              <c:multiLvlStrCache/>
            </c:multiLvlStrRef>
          </c:cat>
          <c:val>
            <c:numRef>
              <c:f>'Point sources'!$I$55:$I$61</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275"/>
        </c:manualLayout>
      </c:layout>
      <c:spPr>
        <a:noFill/>
        <a:ln>
          <a:noFill/>
        </a:ln>
      </c:spPr>
      <c:txPr>
        <a:bodyPr vert="horz" rot="0"/>
        <a:lstStyle/>
        <a:p>
          <a:pPr>
            <a:defRPr lang="en-US" cap="none" sz="1500" b="0" i="0" u="none" baseline="0">
              <a:solidFill>
                <a:srgbClr val="000000"/>
              </a:solidFill>
              <a:latin typeface="Arial"/>
              <a:ea typeface="Arial"/>
              <a:cs typeface="Arial"/>
            </a:defRPr>
          </a:pPr>
        </a:p>
      </c:txPr>
    </c:title>
    <c:plotArea>
      <c:layout>
        <c:manualLayout>
          <c:xMode val="edge"/>
          <c:yMode val="edge"/>
          <c:x val="0.221"/>
          <c:y val="0.365"/>
          <c:w val="0.56125"/>
          <c:h val="0.53975"/>
        </c:manualLayout>
      </c:layout>
      <c:pieChart>
        <c:varyColors val="1"/>
        <c:ser>
          <c:idx val="0"/>
          <c:order val="0"/>
          <c:tx>
            <c:strRef>
              <c:f>'Point sources'!$J$54</c:f>
              <c:strCache>
                <c:ptCount val="1"/>
                <c:pt idx="0">
                  <c:v>PM2.5</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showLegendKey val="0"/>
            <c:showVal val="1"/>
            <c:showBubbleSize val="0"/>
            <c:showCatName val="1"/>
            <c:showSerName val="0"/>
            <c:showLeaderLines val="1"/>
            <c:showPercent val="0"/>
          </c:dLbls>
          <c:cat>
            <c:multiLvlStrRef>
              <c:f>'Point sources'!$A$55:$G$61</c:f>
              <c:multiLvlStrCache/>
            </c:multiLvlStrRef>
          </c:cat>
          <c:val>
            <c:numRef>
              <c:f>'Point sources'!$J$55:$J$61</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075"/>
          <c:w val="0.86525"/>
          <c:h val="0.9785"/>
        </c:manualLayout>
      </c:layout>
      <c:barChart>
        <c:barDir val="col"/>
        <c:grouping val="clustered"/>
        <c:varyColors val="0"/>
        <c:ser>
          <c:idx val="0"/>
          <c:order val="0"/>
          <c:tx>
            <c:v>PM10</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('Point sources'!$C$3:$C$6,'Point sources'!$C$8:$C$10,'Point sources'!$C$12:$C$25,'Point sources'!$C$27:$C$37,'Point sources'!$C$39:$C$44,'Point sources'!$C$46:$C$47,'Point sources'!$C$49:$C$50)</c:f>
              <c:strCache/>
            </c:strRef>
          </c:cat>
          <c:val>
            <c:numRef>
              <c:f>('Point sources'!$I$3:$I$6,'Point sources'!$I$8:$I$10,'Point sources'!$I$12:$I$25,'Point sources'!$I$27:$I$37,'Point sources'!$I$39:$I$44,'Point sources'!$I$46:$I$47,'Point sources'!$I$49:$I$50)</c:f>
              <c:numCache/>
            </c:numRef>
          </c:val>
        </c:ser>
        <c:ser>
          <c:idx val="1"/>
          <c:order val="1"/>
          <c:tx>
            <c:v>PM2.5</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('Point sources'!$J$3:$J$6,'Point sources'!$J$8:$J$10,'Point sources'!$J$12:$J$25,'Point sources'!$J$27:$J$37,'Point sources'!$J$39:$J$44,'Point sources'!$J$46:$J$47,'Point sources'!$J$49:$J$50)</c:f>
              <c:numCache/>
            </c:numRef>
          </c:val>
        </c:ser>
        <c:axId val="33766492"/>
        <c:axId val="35462973"/>
      </c:barChart>
      <c:catAx>
        <c:axId val="3376649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462973"/>
        <c:crosses val="autoZero"/>
        <c:auto val="1"/>
        <c:lblOffset val="100"/>
        <c:tickLblSkip val="1"/>
        <c:noMultiLvlLbl val="0"/>
      </c:catAx>
      <c:valAx>
        <c:axId val="3546297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766492"/>
        <c:crossesAt val="1"/>
        <c:crossBetween val="between"/>
        <c:dispUnits/>
      </c:valAx>
      <c:spPr>
        <a:noFill/>
        <a:ln w="12700">
          <a:solidFill>
            <a:srgbClr val="808080"/>
          </a:solidFill>
        </a:ln>
      </c:spPr>
    </c:plotArea>
    <c:legend>
      <c:legendPos val="r"/>
      <c:layout>
        <c:manualLayout>
          <c:xMode val="edge"/>
          <c:yMode val="edge"/>
          <c:x val="0.89175"/>
          <c:y val="0.35725"/>
          <c:w val="0.10325"/>
          <c:h val="0.0695"/>
        </c:manualLayout>
      </c:layout>
      <c:overlay val="0"/>
      <c:spPr>
        <a:solidFill>
          <a:srgbClr val="FFFFFF"/>
        </a:solidFill>
        <a:ln w="3175">
          <a:solidFill>
            <a:srgbClr val="000000"/>
          </a:solidFill>
        </a:ln>
      </c:spPr>
      <c:txPr>
        <a:bodyPr vert="horz" rot="0"/>
        <a:lstStyle/>
        <a:p>
          <a:pPr>
            <a:defRPr lang="en-US" cap="none" sz="13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825" b="0" i="0" u="none" baseline="0">
              <a:solidFill>
                <a:srgbClr val="000000"/>
              </a:solidFill>
              <a:latin typeface="Arial"/>
              <a:ea typeface="Arial"/>
              <a:cs typeface="Arial"/>
            </a:defRPr>
          </a:pPr>
        </a:p>
      </c:txPr>
    </c:title>
    <c:plotArea>
      <c:layout>
        <c:manualLayout>
          <c:xMode val="edge"/>
          <c:yMode val="edge"/>
          <c:x val="0.195"/>
          <c:y val="0.23875"/>
          <c:w val="0.56925"/>
          <c:h val="0.66475"/>
        </c:manualLayout>
      </c:layout>
      <c:pieChart>
        <c:varyColors val="1"/>
        <c:ser>
          <c:idx val="0"/>
          <c:order val="0"/>
          <c:tx>
            <c:strRef>
              <c:f>'Diffuse emissions summary'!$K$49</c:f>
              <c:strCache>
                <c:ptCount val="1"/>
                <c:pt idx="0">
                  <c:v>TSP</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Lbls>
            <c:dLbl>
              <c:idx val="0"/>
              <c:txPr>
                <a:bodyPr vert="horz" rot="0" anchor="ctr"/>
                <a:lstStyle/>
                <a:p>
                  <a:pPr algn="ctr">
                    <a:defRPr lang="en-US" cap="none" sz="9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9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9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9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9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txPr>
                <a:bodyPr vert="horz" rot="0" anchor="ctr"/>
                <a:lstStyle/>
                <a:p>
                  <a:pPr algn="ctr">
                    <a:defRPr lang="en-US" cap="none" sz="9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txPr>
                <a:bodyPr vert="horz" rot="0" anchor="ctr"/>
                <a:lstStyle/>
                <a:p>
                  <a:pPr algn="ctr">
                    <a:defRPr lang="en-US" cap="none" sz="9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7"/>
              <c:txPr>
                <a:bodyPr vert="horz" rot="0" anchor="ctr"/>
                <a:lstStyle/>
                <a:p>
                  <a:pPr algn="ctr">
                    <a:defRPr lang="en-US" cap="none" sz="9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8"/>
              <c:txPr>
                <a:bodyPr vert="horz" rot="0" anchor="ctr"/>
                <a:lstStyle/>
                <a:p>
                  <a:pPr algn="ctr">
                    <a:defRPr lang="en-US" cap="none" sz="9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9"/>
              <c:txPr>
                <a:bodyPr vert="horz" rot="0" anchor="ctr"/>
                <a:lstStyle/>
                <a:p>
                  <a:pPr algn="ctr">
                    <a:defRPr lang="en-US" cap="none" sz="9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0"/>
              <c:txPr>
                <a:bodyPr vert="horz" rot="0" anchor="ctr"/>
                <a:lstStyle/>
                <a:p>
                  <a:pPr algn="ctr">
                    <a:defRPr lang="en-US" cap="none" sz="9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'Diffuse emissions summary'!$J$50:$J$60</c:f>
              <c:strCache/>
            </c:strRef>
          </c:cat>
          <c:val>
            <c:numRef>
              <c:f>'Diffuse emissions summary'!$K$50:$K$60</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800" b="0" i="0" u="none" baseline="0">
              <a:solidFill>
                <a:srgbClr val="000000"/>
              </a:solidFill>
              <a:latin typeface="Arial"/>
              <a:ea typeface="Arial"/>
              <a:cs typeface="Arial"/>
            </a:defRPr>
          </a:pPr>
        </a:p>
      </c:txPr>
    </c:title>
    <c:plotArea>
      <c:layout>
        <c:manualLayout>
          <c:xMode val="edge"/>
          <c:yMode val="edge"/>
          <c:x val="0.2515"/>
          <c:y val="0.2365"/>
          <c:w val="0.5505"/>
          <c:h val="0.644"/>
        </c:manualLayout>
      </c:layout>
      <c:pieChart>
        <c:varyColors val="1"/>
        <c:ser>
          <c:idx val="0"/>
          <c:order val="0"/>
          <c:tx>
            <c:strRef>
              <c:f>'Diffuse emissions summary'!$L$49</c:f>
              <c:strCache>
                <c:ptCount val="1"/>
                <c:pt idx="0">
                  <c:v>PM10</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Lbls>
            <c:dLbl>
              <c:idx val="0"/>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7"/>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8"/>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9"/>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0"/>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'Diffuse emissions summary'!$J$50:$J$60</c:f>
              <c:strCache/>
            </c:strRef>
          </c:cat>
          <c:val>
            <c:numRef>
              <c:f>'Diffuse emissions summary'!$L$50:$L$60</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675" b="0" i="0" u="none" baseline="0">
              <a:solidFill>
                <a:srgbClr val="000000"/>
              </a:solidFill>
              <a:latin typeface="Arial"/>
              <a:ea typeface="Arial"/>
              <a:cs typeface="Arial"/>
            </a:defRPr>
          </a:pPr>
        </a:p>
      </c:txPr>
    </c:title>
    <c:plotArea>
      <c:layout>
        <c:manualLayout>
          <c:xMode val="edge"/>
          <c:yMode val="edge"/>
          <c:x val="0.2475"/>
          <c:y val="0.2665"/>
          <c:w val="0.58625"/>
          <c:h val="0.619"/>
        </c:manualLayout>
      </c:layout>
      <c:pieChart>
        <c:varyColors val="1"/>
        <c:ser>
          <c:idx val="0"/>
          <c:order val="0"/>
          <c:tx>
            <c:strRef>
              <c:f>'Diffuse emissions summary'!$M$49</c:f>
              <c:strCache>
                <c:ptCount val="1"/>
                <c:pt idx="0">
                  <c:v>PM2.5</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Lbls>
            <c:dLbl>
              <c:idx val="0"/>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7"/>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8"/>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9"/>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0"/>
              <c:txPr>
                <a:bodyPr vert="horz" rot="0" anchor="ctr"/>
                <a:lstStyle/>
                <a:p>
                  <a:pPr algn="ctr">
                    <a:defRPr lang="en-US" cap="none" sz="82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8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'Diffuse emissions summary'!$J$50:$J$60</c:f>
              <c:strCache/>
            </c:strRef>
          </c:cat>
          <c:val>
            <c:numRef>
              <c:f>'Diffuse emissions summary'!$M$50:$M$60</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800" b="0" i="0" u="none" baseline="0">
              <a:solidFill>
                <a:srgbClr val="000000"/>
              </a:solidFill>
              <a:latin typeface="Arial"/>
              <a:ea typeface="Arial"/>
              <a:cs typeface="Arial"/>
            </a:defRPr>
          </a:pPr>
        </a:p>
      </c:txPr>
    </c:title>
    <c:plotArea>
      <c:layout>
        <c:manualLayout>
          <c:xMode val="edge"/>
          <c:yMode val="edge"/>
          <c:x val="0.02075"/>
          <c:y val="0.10375"/>
          <c:w val="0.9585"/>
          <c:h val="0.874"/>
        </c:manualLayout>
      </c:layout>
      <c:barChart>
        <c:barDir val="col"/>
        <c:grouping val="clustered"/>
        <c:varyColors val="0"/>
        <c:ser>
          <c:idx val="0"/>
          <c:order val="0"/>
          <c:tx>
            <c:strRef>
              <c:f>'Diffuse emissions summary'!$T$49</c:f>
              <c:strCache>
                <c:ptCount val="1"/>
                <c:pt idx="0">
                  <c:v>PM2.5:PM10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'Diffuse emissions summary'!$P$50:$P$54</c:f>
              <c:strCache/>
            </c:strRef>
          </c:cat>
          <c:val>
            <c:numRef>
              <c:f>'Diffuse emissions summary'!$T$50:$T$54</c:f>
              <c:numCache/>
            </c:numRef>
          </c:val>
        </c:ser>
        <c:axId val="50731302"/>
        <c:axId val="53928535"/>
      </c:barChart>
      <c:catAx>
        <c:axId val="50731302"/>
        <c:scaling>
          <c:orientation val="minMax"/>
        </c:scaling>
        <c:axPos val="b"/>
        <c:delete val="0"/>
        <c:numFmt formatCode="General" sourceLinked="1"/>
        <c:majorTickMark val="out"/>
        <c:minorTickMark val="none"/>
        <c:tickLblPos val="nextTo"/>
        <c:spPr>
          <a:ln w="3175">
            <a:solidFill>
              <a:srgbClr val="000000"/>
            </a:solidFill>
          </a:ln>
        </c:spPr>
        <c:crossAx val="53928535"/>
        <c:crosses val="autoZero"/>
        <c:auto val="1"/>
        <c:lblOffset val="100"/>
        <c:tickLblSkip val="1"/>
        <c:noMultiLvlLbl val="0"/>
      </c:catAx>
      <c:valAx>
        <c:axId val="53928535"/>
        <c:scaling>
          <c:orientation val="minMax"/>
          <c:max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731302"/>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025"/>
          <c:y val="0"/>
        </c:manualLayout>
      </c:layout>
      <c:spPr>
        <a:noFill/>
        <a:ln>
          <a:noFill/>
        </a:ln>
      </c:spPr>
      <c:txPr>
        <a:bodyPr vert="horz" rot="0"/>
        <a:lstStyle/>
        <a:p>
          <a:pPr>
            <a:defRPr lang="en-US" cap="none" sz="775" b="0" i="0" u="none" baseline="0">
              <a:solidFill>
                <a:srgbClr val="000000"/>
              </a:solidFill>
              <a:latin typeface="Arial"/>
              <a:ea typeface="Arial"/>
              <a:cs typeface="Arial"/>
            </a:defRPr>
          </a:pPr>
        </a:p>
      </c:txPr>
    </c:title>
    <c:plotArea>
      <c:layout>
        <c:manualLayout>
          <c:xMode val="edge"/>
          <c:yMode val="edge"/>
          <c:x val="0.08075"/>
          <c:y val="0.4055"/>
          <c:w val="0.585"/>
          <c:h val="0.26125"/>
        </c:manualLayout>
      </c:layout>
      <c:pieChart>
        <c:varyColors val="1"/>
        <c:ser>
          <c:idx val="0"/>
          <c:order val="0"/>
          <c:tx>
            <c:strRef>
              <c:f>'PT Diffuse emissions - process'!$C$55</c:f>
              <c:strCache>
                <c:ptCount val="1"/>
                <c:pt idx="0">
                  <c:v>TSP</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cat>
            <c:strRef>
              <c:f>'PT Diffuse emissions - process'!$B$56:$B$60</c:f>
              <c:strCache/>
            </c:strRef>
          </c:cat>
          <c:val>
            <c:numRef>
              <c:f>'PT Diffuse emissions - process'!$C$56:$C$60</c:f>
              <c:numCache/>
            </c:numRef>
          </c:val>
        </c:ser>
      </c:pieChart>
      <c:spPr>
        <a:noFill/>
        <a:ln>
          <a:noFill/>
        </a:ln>
      </c:spPr>
    </c:plotArea>
    <c:legend>
      <c:legendPos val="r"/>
      <c:layout>
        <c:manualLayout>
          <c:xMode val="edge"/>
          <c:yMode val="edge"/>
          <c:x val="0.772"/>
          <c:y val="0.47925"/>
          <c:w val="0.2125"/>
          <c:h val="0.10175"/>
        </c:manualLayout>
      </c:layout>
      <c:overlay val="0"/>
      <c:spPr>
        <a:solidFill>
          <a:srgbClr val="FFFFFF"/>
        </a:solidFill>
        <a:ln w="3175">
          <a:solidFill>
            <a:srgbClr val="000000"/>
          </a:solidFill>
        </a:ln>
      </c:spPr>
      <c:txPr>
        <a:bodyPr vert="horz" rot="0"/>
        <a:lstStyle/>
        <a:p>
          <a:pPr>
            <a:defRPr lang="en-US" cap="none" sz="3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0</xdr:colOff>
      <xdr:row>19</xdr:row>
      <xdr:rowOff>0</xdr:rowOff>
    </xdr:from>
    <xdr:to>
      <xdr:col>38</xdr:col>
      <xdr:colOff>257175</xdr:colOff>
      <xdr:row>22</xdr:row>
      <xdr:rowOff>76200</xdr:rowOff>
    </xdr:to>
    <xdr:pic>
      <xdr:nvPicPr>
        <xdr:cNvPr id="1" name="Picture 3"/>
        <xdr:cNvPicPr preferRelativeResize="1">
          <a:picLocks noChangeAspect="1"/>
        </xdr:cNvPicPr>
      </xdr:nvPicPr>
      <xdr:blipFill>
        <a:blip r:embed="rId1"/>
        <a:stretch>
          <a:fillRect/>
        </a:stretch>
      </xdr:blipFill>
      <xdr:spPr>
        <a:xfrm>
          <a:off x="37118925" y="4572000"/>
          <a:ext cx="8162925" cy="676275"/>
        </a:xfrm>
        <a:prstGeom prst="rect">
          <a:avLst/>
        </a:prstGeom>
        <a:noFill/>
        <a:ln w="9525" cmpd="sng">
          <a:noFill/>
        </a:ln>
      </xdr:spPr>
    </xdr:pic>
    <xdr:clientData/>
  </xdr:twoCellAnchor>
  <xdr:twoCellAnchor editAs="oneCell">
    <xdr:from>
      <xdr:col>31</xdr:col>
      <xdr:colOff>0</xdr:colOff>
      <xdr:row>24</xdr:row>
      <xdr:rowOff>0</xdr:rowOff>
    </xdr:from>
    <xdr:to>
      <xdr:col>41</xdr:col>
      <xdr:colOff>238125</xdr:colOff>
      <xdr:row>26</xdr:row>
      <xdr:rowOff>209550</xdr:rowOff>
    </xdr:to>
    <xdr:pic>
      <xdr:nvPicPr>
        <xdr:cNvPr id="2" name="Picture 4"/>
        <xdr:cNvPicPr preferRelativeResize="1">
          <a:picLocks noChangeAspect="1"/>
        </xdr:cNvPicPr>
      </xdr:nvPicPr>
      <xdr:blipFill>
        <a:blip r:embed="rId2"/>
        <a:stretch>
          <a:fillRect/>
        </a:stretch>
      </xdr:blipFill>
      <xdr:spPr>
        <a:xfrm>
          <a:off x="37118925" y="5600700"/>
          <a:ext cx="10201275" cy="647700"/>
        </a:xfrm>
        <a:prstGeom prst="rect">
          <a:avLst/>
        </a:prstGeom>
        <a:noFill/>
        <a:ln w="9525" cmpd="sng">
          <a:noFill/>
        </a:ln>
      </xdr:spPr>
    </xdr:pic>
    <xdr:clientData/>
  </xdr:twoCellAnchor>
  <xdr:twoCellAnchor editAs="oneCell">
    <xdr:from>
      <xdr:col>31</xdr:col>
      <xdr:colOff>0</xdr:colOff>
      <xdr:row>29</xdr:row>
      <xdr:rowOff>0</xdr:rowOff>
    </xdr:from>
    <xdr:to>
      <xdr:col>33</xdr:col>
      <xdr:colOff>161925</xdr:colOff>
      <xdr:row>32</xdr:row>
      <xdr:rowOff>9525</xdr:rowOff>
    </xdr:to>
    <xdr:pic>
      <xdr:nvPicPr>
        <xdr:cNvPr id="3" name="Picture 5"/>
        <xdr:cNvPicPr preferRelativeResize="1">
          <a:picLocks noChangeAspect="1"/>
        </xdr:cNvPicPr>
      </xdr:nvPicPr>
      <xdr:blipFill>
        <a:blip r:embed="rId3"/>
        <a:stretch>
          <a:fillRect/>
        </a:stretch>
      </xdr:blipFill>
      <xdr:spPr>
        <a:xfrm>
          <a:off x="37118925" y="6715125"/>
          <a:ext cx="34099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62</xdr:row>
      <xdr:rowOff>152400</xdr:rowOff>
    </xdr:from>
    <xdr:to>
      <xdr:col>4</xdr:col>
      <xdr:colOff>971550</xdr:colOff>
      <xdr:row>81</xdr:row>
      <xdr:rowOff>142875</xdr:rowOff>
    </xdr:to>
    <xdr:graphicFrame>
      <xdr:nvGraphicFramePr>
        <xdr:cNvPr id="1" name="Chart 12"/>
        <xdr:cNvGraphicFramePr/>
      </xdr:nvGraphicFramePr>
      <xdr:xfrm>
        <a:off x="1123950" y="12106275"/>
        <a:ext cx="4124325" cy="3429000"/>
      </xdr:xfrm>
      <a:graphic>
        <a:graphicData uri="http://schemas.openxmlformats.org/drawingml/2006/chart">
          <c:chart xmlns:c="http://schemas.openxmlformats.org/drawingml/2006/chart" r:id="rId1"/>
        </a:graphicData>
      </a:graphic>
    </xdr:graphicFrame>
    <xdr:clientData/>
  </xdr:twoCellAnchor>
  <xdr:twoCellAnchor>
    <xdr:from>
      <xdr:col>4</xdr:col>
      <xdr:colOff>1276350</xdr:colOff>
      <xdr:row>62</xdr:row>
      <xdr:rowOff>161925</xdr:rowOff>
    </xdr:from>
    <xdr:to>
      <xdr:col>9</xdr:col>
      <xdr:colOff>419100</xdr:colOff>
      <xdr:row>81</xdr:row>
      <xdr:rowOff>161925</xdr:rowOff>
    </xdr:to>
    <xdr:graphicFrame>
      <xdr:nvGraphicFramePr>
        <xdr:cNvPr id="2" name="Chart 13"/>
        <xdr:cNvGraphicFramePr/>
      </xdr:nvGraphicFramePr>
      <xdr:xfrm>
        <a:off x="5553075" y="12115800"/>
        <a:ext cx="2857500" cy="3438525"/>
      </xdr:xfrm>
      <a:graphic>
        <a:graphicData uri="http://schemas.openxmlformats.org/drawingml/2006/chart">
          <c:chart xmlns:c="http://schemas.openxmlformats.org/drawingml/2006/chart" r:id="rId2"/>
        </a:graphicData>
      </a:graphic>
    </xdr:graphicFrame>
    <xdr:clientData/>
  </xdr:twoCellAnchor>
  <xdr:twoCellAnchor>
    <xdr:from>
      <xdr:col>2</xdr:col>
      <xdr:colOff>1781175</xdr:colOff>
      <xdr:row>83</xdr:row>
      <xdr:rowOff>95250</xdr:rowOff>
    </xdr:from>
    <xdr:to>
      <xdr:col>7</xdr:col>
      <xdr:colOff>352425</xdr:colOff>
      <xdr:row>102</xdr:row>
      <xdr:rowOff>104775</xdr:rowOff>
    </xdr:to>
    <xdr:graphicFrame>
      <xdr:nvGraphicFramePr>
        <xdr:cNvPr id="3" name="Chart 14"/>
        <xdr:cNvGraphicFramePr/>
      </xdr:nvGraphicFramePr>
      <xdr:xfrm>
        <a:off x="3705225" y="15849600"/>
        <a:ext cx="3495675" cy="3448050"/>
      </xdr:xfrm>
      <a:graphic>
        <a:graphicData uri="http://schemas.openxmlformats.org/drawingml/2006/chart">
          <c:chart xmlns:c="http://schemas.openxmlformats.org/drawingml/2006/chart" r:id="rId3"/>
        </a:graphicData>
      </a:graphic>
    </xdr:graphicFrame>
    <xdr:clientData/>
  </xdr:twoCellAnchor>
  <xdr:twoCellAnchor>
    <xdr:from>
      <xdr:col>13</xdr:col>
      <xdr:colOff>609600</xdr:colOff>
      <xdr:row>19</xdr:row>
      <xdr:rowOff>85725</xdr:rowOff>
    </xdr:from>
    <xdr:to>
      <xdr:col>25</xdr:col>
      <xdr:colOff>123825</xdr:colOff>
      <xdr:row>60</xdr:row>
      <xdr:rowOff>38100</xdr:rowOff>
    </xdr:to>
    <xdr:graphicFrame>
      <xdr:nvGraphicFramePr>
        <xdr:cNvPr id="4" name="Chart 16"/>
        <xdr:cNvGraphicFramePr/>
      </xdr:nvGraphicFramePr>
      <xdr:xfrm>
        <a:off x="11229975" y="3848100"/>
        <a:ext cx="7743825" cy="776287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xdr:row>
      <xdr:rowOff>57150</xdr:rowOff>
    </xdr:from>
    <xdr:to>
      <xdr:col>14</xdr:col>
      <xdr:colOff>323850</xdr:colOff>
      <xdr:row>22</xdr:row>
      <xdr:rowOff>19050</xdr:rowOff>
    </xdr:to>
    <xdr:graphicFrame>
      <xdr:nvGraphicFramePr>
        <xdr:cNvPr id="1" name="Chart 12"/>
        <xdr:cNvGraphicFramePr/>
      </xdr:nvGraphicFramePr>
      <xdr:xfrm>
        <a:off x="8286750" y="238125"/>
        <a:ext cx="4476750" cy="3848100"/>
      </xdr:xfrm>
      <a:graphic>
        <a:graphicData uri="http://schemas.openxmlformats.org/drawingml/2006/chart">
          <c:chart xmlns:c="http://schemas.openxmlformats.org/drawingml/2006/chart" r:id="rId1"/>
        </a:graphicData>
      </a:graphic>
    </xdr:graphicFrame>
    <xdr:clientData/>
  </xdr:twoCellAnchor>
  <xdr:twoCellAnchor>
    <xdr:from>
      <xdr:col>8</xdr:col>
      <xdr:colOff>142875</xdr:colOff>
      <xdr:row>23</xdr:row>
      <xdr:rowOff>104775</xdr:rowOff>
    </xdr:from>
    <xdr:to>
      <xdr:col>14</xdr:col>
      <xdr:colOff>333375</xdr:colOff>
      <xdr:row>45</xdr:row>
      <xdr:rowOff>57150</xdr:rowOff>
    </xdr:to>
    <xdr:graphicFrame>
      <xdr:nvGraphicFramePr>
        <xdr:cNvPr id="2" name="Chart 13"/>
        <xdr:cNvGraphicFramePr/>
      </xdr:nvGraphicFramePr>
      <xdr:xfrm>
        <a:off x="8286750" y="4352925"/>
        <a:ext cx="4486275" cy="3848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23</xdr:row>
      <xdr:rowOff>104775</xdr:rowOff>
    </xdr:from>
    <xdr:to>
      <xdr:col>20</xdr:col>
      <xdr:colOff>257175</xdr:colOff>
      <xdr:row>45</xdr:row>
      <xdr:rowOff>76200</xdr:rowOff>
    </xdr:to>
    <xdr:graphicFrame>
      <xdr:nvGraphicFramePr>
        <xdr:cNvPr id="3" name="Chart 14"/>
        <xdr:cNvGraphicFramePr/>
      </xdr:nvGraphicFramePr>
      <xdr:xfrm>
        <a:off x="13125450" y="4352925"/>
        <a:ext cx="4076700" cy="3867150"/>
      </xdr:xfrm>
      <a:graphic>
        <a:graphicData uri="http://schemas.openxmlformats.org/drawingml/2006/chart">
          <c:chart xmlns:c="http://schemas.openxmlformats.org/drawingml/2006/chart" r:id="rId3"/>
        </a:graphicData>
      </a:graphic>
    </xdr:graphicFrame>
    <xdr:clientData/>
  </xdr:twoCellAnchor>
  <xdr:twoCellAnchor>
    <xdr:from>
      <xdr:col>14</xdr:col>
      <xdr:colOff>647700</xdr:colOff>
      <xdr:row>1</xdr:row>
      <xdr:rowOff>47625</xdr:rowOff>
    </xdr:from>
    <xdr:to>
      <xdr:col>20</xdr:col>
      <xdr:colOff>285750</xdr:colOff>
      <xdr:row>22</xdr:row>
      <xdr:rowOff>66675</xdr:rowOff>
    </xdr:to>
    <xdr:graphicFrame>
      <xdr:nvGraphicFramePr>
        <xdr:cNvPr id="4" name="Chart 27"/>
        <xdr:cNvGraphicFramePr/>
      </xdr:nvGraphicFramePr>
      <xdr:xfrm>
        <a:off x="13087350" y="228600"/>
        <a:ext cx="4143375" cy="390525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64</xdr:row>
      <xdr:rowOff>133350</xdr:rowOff>
    </xdr:from>
    <xdr:to>
      <xdr:col>2</xdr:col>
      <xdr:colOff>581025</xdr:colOff>
      <xdr:row>87</xdr:row>
      <xdr:rowOff>171450</xdr:rowOff>
    </xdr:to>
    <xdr:graphicFrame>
      <xdr:nvGraphicFramePr>
        <xdr:cNvPr id="1" name="Chart 24"/>
        <xdr:cNvGraphicFramePr/>
      </xdr:nvGraphicFramePr>
      <xdr:xfrm>
        <a:off x="666750" y="12582525"/>
        <a:ext cx="1924050" cy="4200525"/>
      </xdr:xfrm>
      <a:graphic>
        <a:graphicData uri="http://schemas.openxmlformats.org/drawingml/2006/chart">
          <c:chart xmlns:c="http://schemas.openxmlformats.org/drawingml/2006/chart" r:id="rId1"/>
        </a:graphicData>
      </a:graphic>
    </xdr:graphicFrame>
    <xdr:clientData/>
  </xdr:twoCellAnchor>
  <xdr:twoCellAnchor>
    <xdr:from>
      <xdr:col>2</xdr:col>
      <xdr:colOff>790575</xdr:colOff>
      <xdr:row>64</xdr:row>
      <xdr:rowOff>123825</xdr:rowOff>
    </xdr:from>
    <xdr:to>
      <xdr:col>6</xdr:col>
      <xdr:colOff>0</xdr:colOff>
      <xdr:row>87</xdr:row>
      <xdr:rowOff>171450</xdr:rowOff>
    </xdr:to>
    <xdr:graphicFrame>
      <xdr:nvGraphicFramePr>
        <xdr:cNvPr id="2" name="Chart 25"/>
        <xdr:cNvGraphicFramePr/>
      </xdr:nvGraphicFramePr>
      <xdr:xfrm>
        <a:off x="2800350" y="12573000"/>
        <a:ext cx="4800600" cy="42100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90</xdr:row>
      <xdr:rowOff>0</xdr:rowOff>
    </xdr:from>
    <xdr:to>
      <xdr:col>4</xdr:col>
      <xdr:colOff>981075</xdr:colOff>
      <xdr:row>113</xdr:row>
      <xdr:rowOff>57150</xdr:rowOff>
    </xdr:to>
    <xdr:graphicFrame>
      <xdr:nvGraphicFramePr>
        <xdr:cNvPr id="3" name="Chart 26"/>
        <xdr:cNvGraphicFramePr/>
      </xdr:nvGraphicFramePr>
      <xdr:xfrm>
        <a:off x="1047750" y="17154525"/>
        <a:ext cx="4533900" cy="4219575"/>
      </xdr:xfrm>
      <a:graphic>
        <a:graphicData uri="http://schemas.openxmlformats.org/drawingml/2006/chart">
          <c:chart xmlns:c="http://schemas.openxmlformats.org/drawingml/2006/chart" r:id="rId3"/>
        </a:graphicData>
      </a:graphic>
    </xdr:graphicFrame>
    <xdr:clientData/>
  </xdr:twoCellAnchor>
  <xdr:twoCellAnchor>
    <xdr:from>
      <xdr:col>16</xdr:col>
      <xdr:colOff>409575</xdr:colOff>
      <xdr:row>3</xdr:row>
      <xdr:rowOff>123825</xdr:rowOff>
    </xdr:from>
    <xdr:to>
      <xdr:col>26</xdr:col>
      <xdr:colOff>114300</xdr:colOff>
      <xdr:row>34</xdr:row>
      <xdr:rowOff>95250</xdr:rowOff>
    </xdr:to>
    <xdr:graphicFrame>
      <xdr:nvGraphicFramePr>
        <xdr:cNvPr id="4" name="Chart 29"/>
        <xdr:cNvGraphicFramePr/>
      </xdr:nvGraphicFramePr>
      <xdr:xfrm>
        <a:off x="17897475" y="847725"/>
        <a:ext cx="6562725" cy="6096000"/>
      </xdr:xfrm>
      <a:graphic>
        <a:graphicData uri="http://schemas.openxmlformats.org/drawingml/2006/chart">
          <c:chart xmlns:c="http://schemas.openxmlformats.org/drawingml/2006/chart" r:id="rId4"/>
        </a:graphicData>
      </a:graphic>
    </xdr:graphicFrame>
    <xdr:clientData/>
  </xdr:twoCellAnchor>
  <xdr:twoCellAnchor>
    <xdr:from>
      <xdr:col>16</xdr:col>
      <xdr:colOff>419100</xdr:colOff>
      <xdr:row>35</xdr:row>
      <xdr:rowOff>76200</xdr:rowOff>
    </xdr:from>
    <xdr:to>
      <xdr:col>26</xdr:col>
      <xdr:colOff>133350</xdr:colOff>
      <xdr:row>62</xdr:row>
      <xdr:rowOff>66675</xdr:rowOff>
    </xdr:to>
    <xdr:graphicFrame>
      <xdr:nvGraphicFramePr>
        <xdr:cNvPr id="5" name="Chart 30"/>
        <xdr:cNvGraphicFramePr/>
      </xdr:nvGraphicFramePr>
      <xdr:xfrm>
        <a:off x="17907000" y="7105650"/>
        <a:ext cx="6572250" cy="5048250"/>
      </xdr:xfrm>
      <a:graphic>
        <a:graphicData uri="http://schemas.openxmlformats.org/drawingml/2006/chart">
          <c:chart xmlns:c="http://schemas.openxmlformats.org/drawingml/2006/chart" r:id="rId5"/>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9</xdr:row>
      <xdr:rowOff>133350</xdr:rowOff>
    </xdr:from>
    <xdr:to>
      <xdr:col>6</xdr:col>
      <xdr:colOff>200025</xdr:colOff>
      <xdr:row>29</xdr:row>
      <xdr:rowOff>123825</xdr:rowOff>
    </xdr:to>
    <xdr:graphicFrame>
      <xdr:nvGraphicFramePr>
        <xdr:cNvPr id="1" name="Chart 1"/>
        <xdr:cNvGraphicFramePr/>
      </xdr:nvGraphicFramePr>
      <xdr:xfrm>
        <a:off x="904875" y="1847850"/>
        <a:ext cx="3810000" cy="3648075"/>
      </xdr:xfrm>
      <a:graphic>
        <a:graphicData uri="http://schemas.openxmlformats.org/drawingml/2006/chart">
          <c:chart xmlns:c="http://schemas.openxmlformats.org/drawingml/2006/chart" r:id="rId1"/>
        </a:graphicData>
      </a:graphic>
    </xdr:graphicFrame>
    <xdr:clientData/>
  </xdr:twoCellAnchor>
  <xdr:twoCellAnchor>
    <xdr:from>
      <xdr:col>6</xdr:col>
      <xdr:colOff>495300</xdr:colOff>
      <xdr:row>9</xdr:row>
      <xdr:rowOff>133350</xdr:rowOff>
    </xdr:from>
    <xdr:to>
      <xdr:col>12</xdr:col>
      <xdr:colOff>200025</xdr:colOff>
      <xdr:row>29</xdr:row>
      <xdr:rowOff>133350</xdr:rowOff>
    </xdr:to>
    <xdr:graphicFrame>
      <xdr:nvGraphicFramePr>
        <xdr:cNvPr id="2" name="Chart 2"/>
        <xdr:cNvGraphicFramePr/>
      </xdr:nvGraphicFramePr>
      <xdr:xfrm>
        <a:off x="5010150" y="1847850"/>
        <a:ext cx="3819525" cy="365760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31</xdr:row>
      <xdr:rowOff>0</xdr:rowOff>
    </xdr:from>
    <xdr:to>
      <xdr:col>8</xdr:col>
      <xdr:colOff>428625</xdr:colOff>
      <xdr:row>51</xdr:row>
      <xdr:rowOff>9525</xdr:rowOff>
    </xdr:to>
    <xdr:graphicFrame>
      <xdr:nvGraphicFramePr>
        <xdr:cNvPr id="3" name="Chart 3"/>
        <xdr:cNvGraphicFramePr/>
      </xdr:nvGraphicFramePr>
      <xdr:xfrm>
        <a:off x="2486025" y="5734050"/>
        <a:ext cx="3829050" cy="3629025"/>
      </xdr:xfrm>
      <a:graphic>
        <a:graphicData uri="http://schemas.openxmlformats.org/drawingml/2006/chart">
          <c:chart xmlns:c="http://schemas.openxmlformats.org/drawingml/2006/chart" r:id="rId3"/>
        </a:graphicData>
      </a:graphic>
    </xdr:graphicFrame>
    <xdr:clientData/>
  </xdr:twoCellAnchor>
  <xdr:twoCellAnchor>
    <xdr:from>
      <xdr:col>13</xdr:col>
      <xdr:colOff>0</xdr:colOff>
      <xdr:row>15</xdr:row>
      <xdr:rowOff>0</xdr:rowOff>
    </xdr:from>
    <xdr:to>
      <xdr:col>16</xdr:col>
      <xdr:colOff>247650</xdr:colOff>
      <xdr:row>35</xdr:row>
      <xdr:rowOff>19050</xdr:rowOff>
    </xdr:to>
    <xdr:graphicFrame>
      <xdr:nvGraphicFramePr>
        <xdr:cNvPr id="4" name="Chart 4"/>
        <xdr:cNvGraphicFramePr/>
      </xdr:nvGraphicFramePr>
      <xdr:xfrm>
        <a:off x="9315450" y="2838450"/>
        <a:ext cx="3838575" cy="3638550"/>
      </xdr:xfrm>
      <a:graphic>
        <a:graphicData uri="http://schemas.openxmlformats.org/drawingml/2006/chart">
          <c:chart xmlns:c="http://schemas.openxmlformats.org/drawingml/2006/chart" r:id="rId4"/>
        </a:graphicData>
      </a:graphic>
    </xdr:graphicFrame>
    <xdr:clientData/>
  </xdr:twoCellAnchor>
  <xdr:twoCellAnchor>
    <xdr:from>
      <xdr:col>16</xdr:col>
      <xdr:colOff>533400</xdr:colOff>
      <xdr:row>15</xdr:row>
      <xdr:rowOff>0</xdr:rowOff>
    </xdr:from>
    <xdr:to>
      <xdr:col>22</xdr:col>
      <xdr:colOff>266700</xdr:colOff>
      <xdr:row>35</xdr:row>
      <xdr:rowOff>28575</xdr:rowOff>
    </xdr:to>
    <xdr:graphicFrame>
      <xdr:nvGraphicFramePr>
        <xdr:cNvPr id="5" name="Chart 5"/>
        <xdr:cNvGraphicFramePr/>
      </xdr:nvGraphicFramePr>
      <xdr:xfrm>
        <a:off x="13439775" y="2838450"/>
        <a:ext cx="3848100" cy="3648075"/>
      </xdr:xfrm>
      <a:graphic>
        <a:graphicData uri="http://schemas.openxmlformats.org/drawingml/2006/chart">
          <c:chart xmlns:c="http://schemas.openxmlformats.org/drawingml/2006/chart" r:id="rId5"/>
        </a:graphicData>
      </a:graphic>
    </xdr:graphicFrame>
    <xdr:clientData/>
  </xdr:twoCellAnchor>
  <xdr:twoCellAnchor>
    <xdr:from>
      <xdr:col>14</xdr:col>
      <xdr:colOff>0</xdr:colOff>
      <xdr:row>35</xdr:row>
      <xdr:rowOff>76200</xdr:rowOff>
    </xdr:from>
    <xdr:to>
      <xdr:col>19</xdr:col>
      <xdr:colOff>428625</xdr:colOff>
      <xdr:row>55</xdr:row>
      <xdr:rowOff>114300</xdr:rowOff>
    </xdr:to>
    <xdr:graphicFrame>
      <xdr:nvGraphicFramePr>
        <xdr:cNvPr id="6" name="Chart 6"/>
        <xdr:cNvGraphicFramePr/>
      </xdr:nvGraphicFramePr>
      <xdr:xfrm>
        <a:off x="11534775" y="6534150"/>
        <a:ext cx="3857625" cy="365760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049024\Local%20Settings\Temporary%20Internet%20Files\Content.Outlook\2OQ9OK6T\Info%20for%20for%20PI%20from%20J%20Heatman\BLASTDATA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1%2012%20project%20work\Post%20group%20env\93008%20AQ%20theme\02%20Inventory\Port%20Talbot\Background%20information\Info%20from%20Port%20Talbot\Operational%20factors%20from%20J%20Heatman\BLASTDATA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1%2012%20project%20work\Post%20group%20env\93008%20AQ%20theme\02%20Inventory\Port%20Talbot\Background%20information\Info%20from%20Port%20Talbot\Operational%20factors%20from%20J%20Heatman\BOSdata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1%2012%20project%20work\Post%20group%20env\93008%20AQ%20theme\02%20Inventory\Port%20Talbot\Background%20information\Info%20from%20Port%20Talbot\Operational%20factors%20from%20J%20Heatman\COKEDATA20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1%2012%20project%20work\Post%20group%20env\93008%20AQ%20theme\02%20Inventory\Port%20Talbot\Background%20information\Info%20from%20Port%20Talbot\Operational%20factors%20from%20J%20Heatman\SINTDATA20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b005651\LOCALS~1\Temp\notes735633\~88450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B049024\Local%20Settings\Temporary%20Internet%20Files\Content.Outlook\2OQ9OK6T\BOSGR%20data%20rev%201%20-%20with%20calculation%20of%20Fb%20and%20F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sheetNames>
    <sheetDataSet>
      <sheetData sheetId="0">
        <row r="14">
          <cell r="B14">
            <v>8760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s>
    <sheetDataSet>
      <sheetData sheetId="0">
        <row r="14">
          <cell r="B14">
            <v>8760</v>
          </cell>
          <cell r="E14">
            <v>8760</v>
          </cell>
          <cell r="N14">
            <v>8760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s>
    <sheetDataSet>
      <sheetData sheetId="0">
        <row r="12">
          <cell r="H12">
            <v>8760</v>
          </cell>
          <cell r="K12">
            <v>8760</v>
          </cell>
          <cell r="N12">
            <v>8760</v>
          </cell>
          <cell r="Q12">
            <v>8760</v>
          </cell>
          <cell r="T12">
            <v>8760</v>
          </cell>
          <cell r="W12">
            <v>8760</v>
          </cell>
          <cell r="Z12">
            <v>648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s>
    <sheetDataSet>
      <sheetData sheetId="0">
        <row r="14">
          <cell r="B14">
            <v>8760</v>
          </cell>
          <cell r="F14">
            <v>8541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
    </sheetNames>
    <sheetDataSet>
      <sheetData sheetId="0">
        <row r="28">
          <cell r="B28">
            <v>7480</v>
          </cell>
          <cell r="E28">
            <v>7480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A"/>
      <sheetName val="Summary"/>
      <sheetName val="A"/>
      <sheetName val="Sheet1"/>
      <sheetName val="GRAPHS"/>
      <sheetName val="Fuel Combustion"/>
    </sheetNames>
    <sheetDataSet>
      <sheetData sheetId="2">
        <row r="98">
          <cell r="M98">
            <v>17.306125</v>
          </cell>
          <cell r="X98">
            <v>3.254611787587807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OS flare density"/>
      <sheetName val="Fb FM"/>
      <sheetName val="Sheet2"/>
      <sheetName val="Sheet3"/>
    </sheetNames>
    <sheetDataSet>
      <sheetData sheetId="1">
        <row r="56">
          <cell r="S56">
            <v>25.64381716649216</v>
          </cell>
        </row>
        <row r="61">
          <cell r="V61">
            <v>0.06712295977612887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drawing" Target="../drawings/drawing4.x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 Id="rId3" Type="http://schemas.openxmlformats.org/officeDocument/2006/relationships/drawing" Target="../drawings/drawing5.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B2:K32"/>
  <sheetViews>
    <sheetView zoomScalePageLayoutView="0" workbookViewId="0" topLeftCell="A1">
      <selection activeCell="O15" sqref="O15"/>
    </sheetView>
  </sheetViews>
  <sheetFormatPr defaultColWidth="9.00390625" defaultRowHeight="14.25"/>
  <cols>
    <col min="2" max="2" width="9.875" style="0" bestFit="1" customWidth="1"/>
  </cols>
  <sheetData>
    <row r="2" ht="14.25">
      <c r="B2" t="s">
        <v>797</v>
      </c>
    </row>
    <row r="4" spans="2:11" ht="14.25">
      <c r="B4" s="362" t="s">
        <v>1324</v>
      </c>
      <c r="C4" s="362"/>
      <c r="D4" s="362"/>
      <c r="E4" s="362"/>
      <c r="F4" s="362"/>
      <c r="G4" s="362"/>
      <c r="H4" s="362"/>
      <c r="I4" s="362"/>
      <c r="J4" s="362"/>
      <c r="K4" s="362"/>
    </row>
    <row r="5" spans="2:11" ht="14.25">
      <c r="B5" s="362"/>
      <c r="C5" s="362"/>
      <c r="D5" s="362"/>
      <c r="E5" s="362"/>
      <c r="F5" s="362"/>
      <c r="G5" s="362"/>
      <c r="H5" s="362"/>
      <c r="I5" s="362"/>
      <c r="J5" s="362"/>
      <c r="K5" s="362"/>
    </row>
    <row r="6" spans="2:11" ht="14.25">
      <c r="B6" s="362" t="s">
        <v>380</v>
      </c>
      <c r="C6" s="362"/>
      <c r="D6" s="362"/>
      <c r="E6" s="362"/>
      <c r="F6" s="362"/>
      <c r="G6" s="362"/>
      <c r="H6" s="362"/>
      <c r="I6" s="362"/>
      <c r="J6" s="362"/>
      <c r="K6" s="362"/>
    </row>
    <row r="7" spans="2:11" ht="14.25">
      <c r="B7" s="362"/>
      <c r="C7" s="362" t="s">
        <v>1592</v>
      </c>
      <c r="D7" s="362"/>
      <c r="E7" s="362"/>
      <c r="F7" s="362"/>
      <c r="G7" s="362"/>
      <c r="H7" s="362"/>
      <c r="I7" s="362"/>
      <c r="J7" s="362"/>
      <c r="K7" s="362"/>
    </row>
    <row r="8" spans="2:11" ht="14.25">
      <c r="B8" s="362"/>
      <c r="C8" s="362" t="s">
        <v>1594</v>
      </c>
      <c r="D8" s="362"/>
      <c r="E8" s="362"/>
      <c r="F8" s="362"/>
      <c r="G8" s="362"/>
      <c r="H8" s="362"/>
      <c r="I8" s="362"/>
      <c r="J8" s="362"/>
      <c r="K8" s="362"/>
    </row>
    <row r="9" spans="2:11" ht="14.25">
      <c r="B9" s="362"/>
      <c r="C9" s="362" t="s">
        <v>364</v>
      </c>
      <c r="D9" s="362"/>
      <c r="E9" s="362"/>
      <c r="F9" s="362"/>
      <c r="G9" s="362"/>
      <c r="H9" s="362"/>
      <c r="I9" s="362"/>
      <c r="J9" s="362"/>
      <c r="K9" s="362"/>
    </row>
    <row r="10" spans="2:11" ht="14.25">
      <c r="B10" s="362"/>
      <c r="C10" s="362" t="s">
        <v>365</v>
      </c>
      <c r="D10" s="362"/>
      <c r="E10" s="362"/>
      <c r="F10" s="362"/>
      <c r="G10" s="362"/>
      <c r="H10" s="362"/>
      <c r="I10" s="362"/>
      <c r="J10" s="362"/>
      <c r="K10" s="362"/>
    </row>
    <row r="11" spans="2:11" ht="14.25">
      <c r="B11" s="362"/>
      <c r="C11" s="362" t="s">
        <v>366</v>
      </c>
      <c r="D11" s="362"/>
      <c r="E11" s="362"/>
      <c r="F11" s="362"/>
      <c r="G11" s="362"/>
      <c r="H11" s="362"/>
      <c r="I11" s="362"/>
      <c r="J11" s="362"/>
      <c r="K11" s="362"/>
    </row>
    <row r="12" spans="2:11" ht="14.25">
      <c r="B12" s="362"/>
      <c r="C12" s="362" t="s">
        <v>707</v>
      </c>
      <c r="D12" s="362"/>
      <c r="E12" s="362"/>
      <c r="F12" s="362"/>
      <c r="G12" s="362"/>
      <c r="H12" s="362"/>
      <c r="I12" s="362"/>
      <c r="J12" s="362"/>
      <c r="K12" s="362"/>
    </row>
    <row r="13" spans="2:11" ht="14.25">
      <c r="B13" s="362"/>
      <c r="C13" s="362"/>
      <c r="D13" s="362"/>
      <c r="E13" s="362"/>
      <c r="F13" s="362"/>
      <c r="G13" s="362"/>
      <c r="H13" s="362"/>
      <c r="I13" s="362"/>
      <c r="J13" s="362"/>
      <c r="K13" s="362"/>
    </row>
    <row r="14" spans="2:11" ht="14.25">
      <c r="B14" s="362"/>
      <c r="C14" s="362"/>
      <c r="D14" s="362"/>
      <c r="E14" s="362"/>
      <c r="F14" s="362"/>
      <c r="G14" s="362"/>
      <c r="H14" s="362"/>
      <c r="I14" s="362"/>
      <c r="J14" s="362"/>
      <c r="K14" s="362"/>
    </row>
    <row r="15" spans="2:11" ht="14.25">
      <c r="B15" s="526" t="s">
        <v>383</v>
      </c>
      <c r="C15" s="362"/>
      <c r="D15" s="362"/>
      <c r="E15" s="362"/>
      <c r="F15" s="362"/>
      <c r="G15" s="362"/>
      <c r="H15" s="362"/>
      <c r="I15" s="362"/>
      <c r="J15" s="362"/>
      <c r="K15" s="362"/>
    </row>
    <row r="16" spans="2:11" ht="14.25">
      <c r="B16" s="362"/>
      <c r="C16" s="362"/>
      <c r="D16" s="362"/>
      <c r="E16" s="362"/>
      <c r="F16" s="362"/>
      <c r="G16" s="362"/>
      <c r="H16" s="362"/>
      <c r="I16" s="362"/>
      <c r="J16" s="362"/>
      <c r="K16" s="362"/>
    </row>
    <row r="17" spans="2:11" ht="14.25">
      <c r="B17" s="526" t="s">
        <v>1559</v>
      </c>
      <c r="C17" s="362"/>
      <c r="D17" s="362"/>
      <c r="E17" s="362"/>
      <c r="F17" s="362"/>
      <c r="G17" s="362"/>
      <c r="H17" s="362"/>
      <c r="I17" s="362"/>
      <c r="J17" s="362"/>
      <c r="K17" s="362"/>
    </row>
    <row r="18" spans="2:11" ht="14.25">
      <c r="B18" s="362"/>
      <c r="C18" s="362"/>
      <c r="D18" s="362"/>
      <c r="E18" s="362"/>
      <c r="F18" s="362"/>
      <c r="G18" s="362"/>
      <c r="H18" s="362"/>
      <c r="I18" s="362"/>
      <c r="J18" s="362"/>
      <c r="K18" s="362"/>
    </row>
    <row r="19" spans="2:11" ht="14.25">
      <c r="B19" s="362" t="s">
        <v>1319</v>
      </c>
      <c r="C19" s="362"/>
      <c r="D19" s="362"/>
      <c r="E19" s="362"/>
      <c r="F19" s="362"/>
      <c r="G19" s="362"/>
      <c r="H19" s="362"/>
      <c r="I19" s="362"/>
      <c r="J19" s="362"/>
      <c r="K19" s="362"/>
    </row>
    <row r="20" spans="2:11" ht="14.25">
      <c r="B20" s="362"/>
      <c r="C20" s="362" t="s">
        <v>972</v>
      </c>
      <c r="D20" s="362"/>
      <c r="E20" s="362"/>
      <c r="F20" s="362"/>
      <c r="G20" s="362"/>
      <c r="H20" s="362"/>
      <c r="I20" s="362"/>
      <c r="J20" s="362"/>
      <c r="K20" s="362"/>
    </row>
    <row r="21" spans="2:11" ht="14.25">
      <c r="B21" s="362"/>
      <c r="C21" s="362"/>
      <c r="D21" s="362"/>
      <c r="E21" s="362"/>
      <c r="F21" s="362"/>
      <c r="G21" s="362"/>
      <c r="H21" s="362"/>
      <c r="I21" s="362"/>
      <c r="J21" s="362"/>
      <c r="K21" s="362"/>
    </row>
    <row r="22" spans="2:11" ht="14.25">
      <c r="B22" s="362" t="s">
        <v>5</v>
      </c>
      <c r="C22" s="362"/>
      <c r="D22" s="362"/>
      <c r="E22" s="362"/>
      <c r="F22" s="362"/>
      <c r="G22" s="362"/>
      <c r="H22" s="362"/>
      <c r="I22" s="362"/>
      <c r="J22" s="362"/>
      <c r="K22" s="362"/>
    </row>
    <row r="23" spans="2:11" ht="14.25">
      <c r="B23" s="362"/>
      <c r="C23" s="362" t="s">
        <v>1368</v>
      </c>
      <c r="D23" s="362"/>
      <c r="E23" s="362"/>
      <c r="F23" s="362"/>
      <c r="G23" s="362"/>
      <c r="H23" s="362"/>
      <c r="I23" s="362"/>
      <c r="J23" s="362"/>
      <c r="K23" s="362"/>
    </row>
    <row r="25" spans="2:3" ht="14.25">
      <c r="B25" s="198">
        <v>41659</v>
      </c>
      <c r="C25" t="s">
        <v>575</v>
      </c>
    </row>
    <row r="26" spans="2:3" ht="14.25">
      <c r="B26" s="198"/>
      <c r="C26" t="s">
        <v>1229</v>
      </c>
    </row>
    <row r="27" ht="14.25">
      <c r="C27" t="s">
        <v>798</v>
      </c>
    </row>
    <row r="28" ht="14.25">
      <c r="C28" t="s">
        <v>576</v>
      </c>
    </row>
    <row r="29" ht="14.25">
      <c r="C29" t="s">
        <v>78</v>
      </c>
    </row>
    <row r="30" ht="14.25">
      <c r="C30" t="s">
        <v>1232</v>
      </c>
    </row>
    <row r="31" ht="14.25">
      <c r="C31" t="s">
        <v>796</v>
      </c>
    </row>
    <row r="32" ht="15">
      <c r="C32" s="10" t="s">
        <v>116</v>
      </c>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B1:V92"/>
  <sheetViews>
    <sheetView zoomScalePageLayoutView="0" workbookViewId="0" topLeftCell="A1">
      <selection activeCell="E19" sqref="E19"/>
    </sheetView>
  </sheetViews>
  <sheetFormatPr defaultColWidth="9.00390625" defaultRowHeight="14.25"/>
  <cols>
    <col min="3" max="3" width="10.875" style="0" customWidth="1"/>
    <col min="4" max="4" width="19.50390625" style="0" bestFit="1" customWidth="1"/>
    <col min="7" max="7" width="13.25390625" style="0" customWidth="1"/>
    <col min="8" max="8" width="13.125" style="0" customWidth="1"/>
    <col min="9" max="9" width="26.00390625" style="0" bestFit="1" customWidth="1"/>
    <col min="10" max="10" width="18.375" style="0" bestFit="1" customWidth="1"/>
    <col min="11" max="11" width="18.375" style="0" customWidth="1"/>
    <col min="12" max="12" width="18.75390625" style="0" bestFit="1" customWidth="1"/>
    <col min="13" max="13" width="10.00390625" style="0" customWidth="1"/>
    <col min="14" max="14" width="10.25390625" style="0" customWidth="1"/>
    <col min="15" max="15" width="11.25390625" style="0" customWidth="1"/>
    <col min="16" max="16" width="15.625" style="0" customWidth="1"/>
    <col min="17" max="18" width="17.375" style="0" customWidth="1"/>
    <col min="19" max="19" width="11.625" style="0" customWidth="1"/>
    <col min="20" max="20" width="8.75390625" style="0" bestFit="1" customWidth="1"/>
    <col min="21" max="21" width="14.375" style="0" bestFit="1" customWidth="1"/>
  </cols>
  <sheetData>
    <row r="1" spans="5:7" ht="14.25">
      <c r="E1" s="9"/>
      <c r="F1" s="9"/>
      <c r="G1" s="9"/>
    </row>
    <row r="2" spans="2:13" ht="15">
      <c r="B2" s="10" t="s">
        <v>1274</v>
      </c>
      <c r="C2" s="34"/>
      <c r="D2" s="473">
        <v>2009</v>
      </c>
      <c r="E2" s="757" t="s">
        <v>1036</v>
      </c>
      <c r="F2" s="757"/>
      <c r="G2" s="757"/>
      <c r="I2" s="400" t="s">
        <v>1553</v>
      </c>
      <c r="K2" s="758" t="s">
        <v>749</v>
      </c>
      <c r="L2" s="758"/>
      <c r="M2" s="758"/>
    </row>
    <row r="3" spans="4:16" ht="48" customHeight="1" thickBot="1">
      <c r="D3" s="473">
        <f>Production!E21</f>
        <v>2634880</v>
      </c>
      <c r="E3" s="12" t="s">
        <v>1041</v>
      </c>
      <c r="F3" s="12" t="s">
        <v>1042</v>
      </c>
      <c r="G3" s="12" t="s">
        <v>1043</v>
      </c>
      <c r="J3" s="34" t="s">
        <v>126</v>
      </c>
      <c r="K3" s="12" t="s">
        <v>632</v>
      </c>
      <c r="L3" s="12" t="s">
        <v>633</v>
      </c>
      <c r="M3" s="12" t="s">
        <v>634</v>
      </c>
      <c r="P3" s="10" t="s">
        <v>125</v>
      </c>
    </row>
    <row r="4" spans="3:21" ht="45" customHeight="1">
      <c r="C4" t="s">
        <v>597</v>
      </c>
      <c r="D4" s="13" t="s">
        <v>746</v>
      </c>
      <c r="E4" s="464">
        <f>(SUM(K23:K24))/D3*1000000</f>
        <v>91.71644847157832</v>
      </c>
      <c r="F4" s="464">
        <f>(SUM(L23:L24))/D3*1000000</f>
        <v>37.970609667233425</v>
      </c>
      <c r="G4" s="464">
        <f>(E4*G15)/D3*1000000</f>
        <v>5.569373844521394</v>
      </c>
      <c r="H4" s="468" t="s">
        <v>1029</v>
      </c>
      <c r="I4" t="s">
        <v>597</v>
      </c>
      <c r="J4" s="13" t="s">
        <v>746</v>
      </c>
      <c r="K4" s="12">
        <v>220</v>
      </c>
      <c r="L4" s="12">
        <v>105</v>
      </c>
      <c r="M4" s="29">
        <v>25</v>
      </c>
      <c r="P4" s="315" t="s">
        <v>316</v>
      </c>
      <c r="Q4" s="316" t="s">
        <v>317</v>
      </c>
      <c r="R4" s="316" t="s">
        <v>318</v>
      </c>
      <c r="S4" s="316" t="s">
        <v>334</v>
      </c>
      <c r="T4" s="317" t="s">
        <v>119</v>
      </c>
      <c r="U4" s="317" t="s">
        <v>118</v>
      </c>
    </row>
    <row r="5" spans="4:21" ht="15">
      <c r="D5" s="13" t="s">
        <v>747</v>
      </c>
      <c r="E5" s="464">
        <f>(SUM(K26,K32,K35,K40)+(K25/2))/D3*1000000</f>
        <v>39.623031169218244</v>
      </c>
      <c r="F5" s="464">
        <f>(SUM(L26,L32,L35,L40)+(L25/2))/D3*1000000</f>
        <v>16.40393490405635</v>
      </c>
      <c r="G5" s="464">
        <f>(E5*G15)/D3*1000000</f>
        <v>2.4060621307516543</v>
      </c>
      <c r="H5" s="468" t="s">
        <v>1029</v>
      </c>
      <c r="J5" s="13" t="s">
        <v>747</v>
      </c>
      <c r="K5" s="12">
        <v>110</v>
      </c>
      <c r="L5" s="12">
        <v>49</v>
      </c>
      <c r="M5" s="12">
        <v>12</v>
      </c>
      <c r="P5" s="318" t="s">
        <v>319</v>
      </c>
      <c r="Q5" s="13" t="s">
        <v>324</v>
      </c>
      <c r="R5" s="13" t="s">
        <v>328</v>
      </c>
      <c r="S5" s="13" t="s">
        <v>333</v>
      </c>
      <c r="T5" s="356" t="e">
        <f>U5/0.414</f>
        <v>#VALUE!</v>
      </c>
      <c r="U5" s="357" t="s">
        <v>338</v>
      </c>
    </row>
    <row r="6" spans="4:21" ht="15">
      <c r="D6" s="442" t="s">
        <v>748</v>
      </c>
      <c r="E6" s="464">
        <f>(E4+E5)/D3*1000000</f>
        <v>49.84647484545655</v>
      </c>
      <c r="F6" s="464">
        <f>(F4+F5)/D3*1000000</f>
        <v>20.636440586019013</v>
      </c>
      <c r="G6" s="464">
        <f>(G4+G5)/D3*1000000</f>
        <v>3.0268687664231573</v>
      </c>
      <c r="H6" s="468" t="s">
        <v>1029</v>
      </c>
      <c r="J6" s="64" t="s">
        <v>748</v>
      </c>
      <c r="K6" s="65">
        <f>K4+K5</f>
        <v>330</v>
      </c>
      <c r="L6" s="65">
        <f>L4+L5</f>
        <v>154</v>
      </c>
      <c r="M6" s="65">
        <f>M4+M5</f>
        <v>37</v>
      </c>
      <c r="P6" s="318" t="s">
        <v>320</v>
      </c>
      <c r="Q6" s="13" t="s">
        <v>324</v>
      </c>
      <c r="R6" s="13" t="s">
        <v>329</v>
      </c>
      <c r="S6" s="13" t="s">
        <v>335</v>
      </c>
      <c r="T6" s="356" t="e">
        <f aca="true" t="shared" si="0" ref="T6:T11">U6/0.414</f>
        <v>#VALUE!</v>
      </c>
      <c r="U6" s="357" t="s">
        <v>338</v>
      </c>
    </row>
    <row r="7" spans="4:21" ht="15">
      <c r="D7" s="13" t="s">
        <v>637</v>
      </c>
      <c r="E7" s="464">
        <f>(SUM(K27,K28,K29,K30,K31,K33,K34,K36:K39,K41:K84)+(K25/2))/D3*1000000</f>
        <v>120.40119675811029</v>
      </c>
      <c r="F7" s="464">
        <f>(SUM(L27,L28,L29,L30,L31,L33,L34,L36:L39,L41:L84,L89:L92,L89:L92)+(L25/2))/D3*1000000</f>
        <v>52.859667233422414</v>
      </c>
      <c r="G7" s="464">
        <f>(E7*G15)/D3*1000000</f>
        <v>7.311221566560014</v>
      </c>
      <c r="H7" s="468" t="s">
        <v>1029</v>
      </c>
      <c r="J7" s="13" t="s">
        <v>637</v>
      </c>
      <c r="K7" s="28">
        <f>L7*(100/41.4)</f>
        <v>292.2705314009662</v>
      </c>
      <c r="L7" s="28">
        <v>121</v>
      </c>
      <c r="M7" s="29">
        <f>(10.6/100)*K7</f>
        <v>30.980676328502415</v>
      </c>
      <c r="P7" s="318" t="s">
        <v>321</v>
      </c>
      <c r="Q7" s="13" t="s">
        <v>325</v>
      </c>
      <c r="R7" s="13" t="s">
        <v>330</v>
      </c>
      <c r="S7" s="13" t="s">
        <v>333</v>
      </c>
      <c r="T7" s="358">
        <f t="shared" si="0"/>
        <v>2415.458937198068</v>
      </c>
      <c r="U7" s="357">
        <v>1000</v>
      </c>
    </row>
    <row r="8" spans="4:21" ht="15">
      <c r="D8" s="469" t="s">
        <v>1554</v>
      </c>
      <c r="E8" s="467">
        <f>E6+E7</f>
        <v>170.24767160356683</v>
      </c>
      <c r="F8" s="467">
        <f>F6+F7</f>
        <v>73.49610781944142</v>
      </c>
      <c r="G8" s="467">
        <f>G6+G7</f>
        <v>10.338090332983171</v>
      </c>
      <c r="J8" s="13" t="s">
        <v>733</v>
      </c>
      <c r="K8" s="12">
        <f>K6+K7</f>
        <v>622.2705314009662</v>
      </c>
      <c r="L8" s="12">
        <f>L6+L7</f>
        <v>275</v>
      </c>
      <c r="M8" s="29">
        <f>M6+M7</f>
        <v>67.98067632850241</v>
      </c>
      <c r="P8" s="318" t="s">
        <v>322</v>
      </c>
      <c r="Q8" s="13" t="s">
        <v>326</v>
      </c>
      <c r="R8" s="13" t="s">
        <v>331</v>
      </c>
      <c r="S8" s="13" t="s">
        <v>336</v>
      </c>
      <c r="T8" s="358">
        <f t="shared" si="0"/>
        <v>120.77294685990339</v>
      </c>
      <c r="U8" s="357">
        <v>50</v>
      </c>
    </row>
    <row r="9" spans="5:21" ht="15">
      <c r="E9" s="9"/>
      <c r="F9" s="9"/>
      <c r="G9" s="9"/>
      <c r="K9" s="9"/>
      <c r="L9" s="9"/>
      <c r="M9" s="9"/>
      <c r="P9" s="318" t="s">
        <v>323</v>
      </c>
      <c r="Q9" s="13" t="s">
        <v>327</v>
      </c>
      <c r="R9" s="13" t="s">
        <v>332</v>
      </c>
      <c r="S9" s="13" t="s">
        <v>335</v>
      </c>
      <c r="T9" s="358">
        <f t="shared" si="0"/>
        <v>60.38647342995169</v>
      </c>
      <c r="U9" s="357">
        <v>25</v>
      </c>
    </row>
    <row r="10" spans="3:21" ht="15">
      <c r="C10" t="s">
        <v>598</v>
      </c>
      <c r="D10" s="13" t="s">
        <v>745</v>
      </c>
      <c r="E10" s="366">
        <f>E6*(Production!$E$9/Production!$D$9)</f>
        <v>55.00432636847145</v>
      </c>
      <c r="F10" s="366">
        <f>F6*(Production!$E$9/Production!$D$9)</f>
        <v>22.771791116547185</v>
      </c>
      <c r="G10" s="366">
        <f>G6*(Production!$E$9/Production!$D$9)</f>
        <v>3.340073255311602</v>
      </c>
      <c r="I10" t="s">
        <v>598</v>
      </c>
      <c r="J10" s="13" t="s">
        <v>745</v>
      </c>
      <c r="K10" s="50">
        <f>K6*(Production!$E$9/Production!$D$9)</f>
        <v>364.1466675</v>
      </c>
      <c r="L10" s="50">
        <f>L6*(Production!$E$9/Production!$D$9)</f>
        <v>169.9351115</v>
      </c>
      <c r="M10" s="50">
        <f>M6*(Production!$E$9/Production!$D$9)</f>
        <v>40.828565749999996</v>
      </c>
      <c r="P10" s="318" t="s">
        <v>337</v>
      </c>
      <c r="Q10" s="13" t="s">
        <v>338</v>
      </c>
      <c r="R10" s="13" t="s">
        <v>338</v>
      </c>
      <c r="S10" s="13" t="s">
        <v>338</v>
      </c>
      <c r="T10" s="358">
        <f t="shared" si="0"/>
        <v>241.54589371980677</v>
      </c>
      <c r="U10" s="357">
        <v>100</v>
      </c>
    </row>
    <row r="11" spans="4:21" ht="15.75" thickBot="1">
      <c r="D11" s="13" t="s">
        <v>637</v>
      </c>
      <c r="E11" s="366">
        <f>E7*(Production!$E$9/Production!$D$9)</f>
        <v>132.85968049235655</v>
      </c>
      <c r="F11" s="366">
        <f>F7*(Production!$E$9/Production!$D$9)</f>
        <v>58.32930808548399</v>
      </c>
      <c r="G11" s="366">
        <f>G7*(Production!$E$9/Production!$D$9)</f>
        <v>8.067748390354419</v>
      </c>
      <c r="J11" s="13" t="s">
        <v>637</v>
      </c>
      <c r="K11" s="50">
        <f>K7*(Production!$E$9/Production!$D$9)</f>
        <v>322.5131515700483</v>
      </c>
      <c r="L11" s="50">
        <f>L7*(Production!$E$9/Production!$D$9)</f>
        <v>133.52044475</v>
      </c>
      <c r="M11" s="50">
        <f>M7*(Production!$E$9/Production!$D$9)</f>
        <v>34.186394066425116</v>
      </c>
      <c r="P11" s="319" t="s">
        <v>339</v>
      </c>
      <c r="Q11" s="314" t="s">
        <v>338</v>
      </c>
      <c r="R11" s="314" t="s">
        <v>338</v>
      </c>
      <c r="S11" s="314" t="s">
        <v>338</v>
      </c>
      <c r="T11" s="359">
        <f t="shared" si="0"/>
        <v>12.077294685990339</v>
      </c>
      <c r="U11" s="360">
        <v>5</v>
      </c>
    </row>
    <row r="12" spans="4:16" ht="15">
      <c r="D12" s="13" t="s">
        <v>733</v>
      </c>
      <c r="E12" s="52">
        <f>E8*(Production!$E$9/Production!$D$9)</f>
        <v>187.864006860828</v>
      </c>
      <c r="F12" s="52">
        <f>F8*(Production!$E$9/Production!$D$9)</f>
        <v>81.10109920203116</v>
      </c>
      <c r="G12" s="52">
        <f>G8*(Production!$E$9/Production!$D$9)</f>
        <v>11.40782164566602</v>
      </c>
      <c r="J12" s="13" t="s">
        <v>733</v>
      </c>
      <c r="K12" s="52">
        <f>K8*(Production!$E$9/Production!$D$9)</f>
        <v>686.6598190700483</v>
      </c>
      <c r="L12" s="52">
        <f>L8*(Production!$E$9/Production!$D$9)</f>
        <v>303.45555625</v>
      </c>
      <c r="M12" s="52">
        <f>M8*(Production!$E$9/Production!$D$9)</f>
        <v>75.01495981642512</v>
      </c>
      <c r="P12" s="34" t="s">
        <v>117</v>
      </c>
    </row>
    <row r="13" ht="15">
      <c r="P13" s="34" t="s">
        <v>120</v>
      </c>
    </row>
    <row r="14" spans="4:16" ht="15">
      <c r="D14" s="13" t="s">
        <v>1266</v>
      </c>
      <c r="E14" s="12" t="s">
        <v>632</v>
      </c>
      <c r="F14" s="12" t="s">
        <v>633</v>
      </c>
      <c r="G14" s="12" t="s">
        <v>634</v>
      </c>
      <c r="P14" s="382" t="s">
        <v>1369</v>
      </c>
    </row>
    <row r="15" spans="4:7" ht="14.25">
      <c r="D15" s="13" t="s">
        <v>1261</v>
      </c>
      <c r="E15" s="41">
        <v>1</v>
      </c>
      <c r="F15" s="41">
        <v>0.414</v>
      </c>
      <c r="G15" s="41">
        <v>0.16</v>
      </c>
    </row>
    <row r="16" ht="48" customHeight="1"/>
    <row r="17" ht="15">
      <c r="P17" s="10" t="s">
        <v>1371</v>
      </c>
    </row>
    <row r="18" ht="15" thickBot="1">
      <c r="P18" t="s">
        <v>1370</v>
      </c>
    </row>
    <row r="19" spans="2:22" ht="15.75">
      <c r="B19" s="296" t="s">
        <v>181</v>
      </c>
      <c r="C19" s="297"/>
      <c r="E19" s="327"/>
      <c r="F19" s="297"/>
      <c r="G19" s="297"/>
      <c r="P19" s="370" t="s">
        <v>1340</v>
      </c>
      <c r="Q19" s="371"/>
      <c r="R19" s="371"/>
      <c r="S19" s="371" t="s">
        <v>1341</v>
      </c>
      <c r="T19" s="371"/>
      <c r="U19" s="371"/>
      <c r="V19" s="372"/>
    </row>
    <row r="20" spans="2:22" ht="15" thickBot="1">
      <c r="B20" s="298"/>
      <c r="C20" s="299"/>
      <c r="E20" s="300"/>
      <c r="F20" s="301"/>
      <c r="G20" s="302"/>
      <c r="P20" s="373" t="s">
        <v>1342</v>
      </c>
      <c r="Q20" s="313"/>
      <c r="R20" s="313"/>
      <c r="S20" s="313"/>
      <c r="T20" s="313"/>
      <c r="U20" s="313"/>
      <c r="V20" s="374"/>
    </row>
    <row r="21" spans="2:22" ht="60.75" thickBot="1">
      <c r="B21" s="303" t="s">
        <v>182</v>
      </c>
      <c r="C21" s="304" t="s">
        <v>183</v>
      </c>
      <c r="D21" s="305" t="s">
        <v>184</v>
      </c>
      <c r="E21" s="306" t="s">
        <v>185</v>
      </c>
      <c r="F21" s="307" t="s">
        <v>186</v>
      </c>
      <c r="G21" s="307" t="s">
        <v>187</v>
      </c>
      <c r="H21" s="305" t="s">
        <v>188</v>
      </c>
      <c r="I21" s="305" t="s">
        <v>189</v>
      </c>
      <c r="J21" s="305" t="s">
        <v>190</v>
      </c>
      <c r="K21" s="305" t="s">
        <v>121</v>
      </c>
      <c r="L21" s="305" t="s">
        <v>122</v>
      </c>
      <c r="P21" s="373" t="s">
        <v>1343</v>
      </c>
      <c r="Q21" s="313"/>
      <c r="R21" s="313"/>
      <c r="S21" s="313"/>
      <c r="T21" s="313"/>
      <c r="U21" s="313"/>
      <c r="V21" s="374"/>
    </row>
    <row r="22" spans="2:22" ht="19.5" thickBot="1">
      <c r="B22" s="308"/>
      <c r="C22" s="307" t="s">
        <v>191</v>
      </c>
      <c r="D22" s="309"/>
      <c r="E22" s="310"/>
      <c r="F22" s="311"/>
      <c r="G22" s="307"/>
      <c r="H22" s="305" t="s">
        <v>192</v>
      </c>
      <c r="I22" s="309" t="s">
        <v>192</v>
      </c>
      <c r="J22" s="309" t="s">
        <v>193</v>
      </c>
      <c r="K22" s="309" t="s">
        <v>194</v>
      </c>
      <c r="L22" s="309" t="s">
        <v>194</v>
      </c>
      <c r="P22" s="373" t="s">
        <v>1344</v>
      </c>
      <c r="Q22" s="313"/>
      <c r="R22" s="313"/>
      <c r="S22" s="313"/>
      <c r="T22" s="313"/>
      <c r="U22" s="313"/>
      <c r="V22" s="374"/>
    </row>
    <row r="23" spans="2:22" ht="25.5">
      <c r="B23" s="328" t="s">
        <v>195</v>
      </c>
      <c r="C23" s="329" t="s">
        <v>196</v>
      </c>
      <c r="D23" s="330" t="s">
        <v>197</v>
      </c>
      <c r="E23" s="331"/>
      <c r="F23" s="332" t="s">
        <v>198</v>
      </c>
      <c r="G23" s="333">
        <v>166</v>
      </c>
      <c r="H23" s="334">
        <v>7.4</v>
      </c>
      <c r="I23" s="295">
        <f aca="true" t="shared" si="1" ref="I23:I84">(G23*52*H23)</f>
        <v>63876.8</v>
      </c>
      <c r="J23" s="295">
        <v>1000</v>
      </c>
      <c r="K23" s="320">
        <f>L23/0.414</f>
        <v>154.29178743961353</v>
      </c>
      <c r="L23" s="321">
        <f aca="true" t="shared" si="2" ref="L23:L54">(G23*52*H23*J23/1000000)</f>
        <v>63.8768</v>
      </c>
      <c r="P23" s="373" t="s">
        <v>1345</v>
      </c>
      <c r="Q23" s="313"/>
      <c r="R23" s="313"/>
      <c r="S23" s="313"/>
      <c r="T23" s="313"/>
      <c r="U23" s="313"/>
      <c r="V23" s="374"/>
    </row>
    <row r="24" spans="2:22" ht="25.5">
      <c r="B24" s="335" t="s">
        <v>199</v>
      </c>
      <c r="C24" s="336" t="s">
        <v>196</v>
      </c>
      <c r="D24" s="337" t="s">
        <v>197</v>
      </c>
      <c r="E24" s="338"/>
      <c r="F24" s="339" t="s">
        <v>198</v>
      </c>
      <c r="G24" s="340">
        <v>94</v>
      </c>
      <c r="H24" s="341">
        <v>7.4</v>
      </c>
      <c r="I24" s="13">
        <f t="shared" si="1"/>
        <v>36171.200000000004</v>
      </c>
      <c r="J24" s="13">
        <v>1000</v>
      </c>
      <c r="K24" s="320">
        <f aca="true" t="shared" si="3" ref="K24:K87">L24/0.414</f>
        <v>87.37004830917876</v>
      </c>
      <c r="L24" s="322">
        <f t="shared" si="2"/>
        <v>36.171200000000006</v>
      </c>
      <c r="P24" s="373" t="s">
        <v>1346</v>
      </c>
      <c r="Q24" s="313">
        <v>0.15</v>
      </c>
      <c r="R24" s="313" t="s">
        <v>1347</v>
      </c>
      <c r="S24" s="313" t="s">
        <v>1348</v>
      </c>
      <c r="T24" s="313"/>
      <c r="U24" s="313"/>
      <c r="V24" s="374"/>
    </row>
    <row r="25" spans="2:22" ht="38.25">
      <c r="B25" s="335" t="s">
        <v>200</v>
      </c>
      <c r="C25" s="336" t="s">
        <v>201</v>
      </c>
      <c r="D25" s="337" t="s">
        <v>202</v>
      </c>
      <c r="E25" s="338">
        <v>15</v>
      </c>
      <c r="F25" s="339" t="s">
        <v>203</v>
      </c>
      <c r="G25" s="342">
        <v>375</v>
      </c>
      <c r="H25" s="341">
        <v>2.4</v>
      </c>
      <c r="I25" s="13">
        <f t="shared" si="1"/>
        <v>46800</v>
      </c>
      <c r="J25" s="13">
        <v>550</v>
      </c>
      <c r="K25" s="320">
        <f t="shared" si="3"/>
        <v>62.17391304347826</v>
      </c>
      <c r="L25" s="322">
        <f t="shared" si="2"/>
        <v>25.74</v>
      </c>
      <c r="P25" s="373" t="s">
        <v>1346</v>
      </c>
      <c r="Q25" s="313">
        <v>0.62</v>
      </c>
      <c r="R25" s="313" t="s">
        <v>633</v>
      </c>
      <c r="S25" s="313" t="s">
        <v>1348</v>
      </c>
      <c r="T25" s="313"/>
      <c r="U25" s="313"/>
      <c r="V25" s="374"/>
    </row>
    <row r="26" spans="2:22" ht="25.5">
      <c r="B26" s="335" t="s">
        <v>204</v>
      </c>
      <c r="C26" s="336" t="s">
        <v>205</v>
      </c>
      <c r="D26" s="337" t="s">
        <v>197</v>
      </c>
      <c r="E26" s="338">
        <v>50</v>
      </c>
      <c r="F26" s="339" t="s">
        <v>203</v>
      </c>
      <c r="G26" s="342">
        <v>1250</v>
      </c>
      <c r="H26" s="341">
        <v>0.25</v>
      </c>
      <c r="I26" s="13">
        <f t="shared" si="1"/>
        <v>16250</v>
      </c>
      <c r="J26" s="13">
        <v>1000</v>
      </c>
      <c r="K26" s="320">
        <f t="shared" si="3"/>
        <v>39.251207729468604</v>
      </c>
      <c r="L26" s="322">
        <f t="shared" si="2"/>
        <v>16.25</v>
      </c>
      <c r="P26" s="373" t="s">
        <v>1346</v>
      </c>
      <c r="Q26" s="313">
        <v>3.23</v>
      </c>
      <c r="R26" s="313" t="s">
        <v>1349</v>
      </c>
      <c r="S26" s="313" t="s">
        <v>1348</v>
      </c>
      <c r="T26" s="313"/>
      <c r="U26" s="313"/>
      <c r="V26" s="374"/>
    </row>
    <row r="27" spans="2:22" ht="25.5">
      <c r="B27" s="335" t="s">
        <v>206</v>
      </c>
      <c r="C27" s="336" t="s">
        <v>207</v>
      </c>
      <c r="D27" s="337" t="s">
        <v>1325</v>
      </c>
      <c r="E27" s="338">
        <v>14</v>
      </c>
      <c r="F27" s="339" t="s">
        <v>208</v>
      </c>
      <c r="G27" s="340">
        <v>560</v>
      </c>
      <c r="H27" s="341">
        <v>11</v>
      </c>
      <c r="I27" s="13">
        <f t="shared" si="1"/>
        <v>320320</v>
      </c>
      <c r="J27" s="13">
        <v>50</v>
      </c>
      <c r="K27" s="320">
        <f t="shared" si="3"/>
        <v>38.685990338164245</v>
      </c>
      <c r="L27" s="322">
        <f t="shared" si="2"/>
        <v>16.016</v>
      </c>
      <c r="P27" s="373" t="s">
        <v>1350</v>
      </c>
      <c r="Q27" s="313">
        <v>30</v>
      </c>
      <c r="R27" s="313"/>
      <c r="S27" s="313"/>
      <c r="T27" s="313"/>
      <c r="U27" s="313"/>
      <c r="V27" s="374"/>
    </row>
    <row r="28" spans="2:22" ht="25.5">
      <c r="B28" s="335" t="s">
        <v>209</v>
      </c>
      <c r="C28" s="336" t="s">
        <v>210</v>
      </c>
      <c r="D28" s="337" t="s">
        <v>1325</v>
      </c>
      <c r="E28" s="338">
        <v>18</v>
      </c>
      <c r="F28" s="339" t="s">
        <v>208</v>
      </c>
      <c r="G28" s="340">
        <v>720</v>
      </c>
      <c r="H28" s="341">
        <v>7.6</v>
      </c>
      <c r="I28" s="13">
        <f t="shared" si="1"/>
        <v>284544</v>
      </c>
      <c r="J28" s="13">
        <v>50</v>
      </c>
      <c r="K28" s="320">
        <f t="shared" si="3"/>
        <v>34.36521739130435</v>
      </c>
      <c r="L28" s="322">
        <f t="shared" si="2"/>
        <v>14.2272</v>
      </c>
      <c r="P28" s="373" t="s">
        <v>1351</v>
      </c>
      <c r="Q28" s="313">
        <v>40</v>
      </c>
      <c r="R28" s="313">
        <v>24.860161591050343</v>
      </c>
      <c r="S28" s="313"/>
      <c r="T28" s="313"/>
      <c r="U28" s="313"/>
      <c r="V28" s="374"/>
    </row>
    <row r="29" spans="2:22" ht="25.5">
      <c r="B29" s="335" t="s">
        <v>211</v>
      </c>
      <c r="C29" s="336" t="s">
        <v>212</v>
      </c>
      <c r="D29" s="337" t="s">
        <v>1325</v>
      </c>
      <c r="E29" s="338"/>
      <c r="F29" s="339" t="s">
        <v>213</v>
      </c>
      <c r="G29" s="340">
        <v>385</v>
      </c>
      <c r="H29" s="341">
        <v>12</v>
      </c>
      <c r="I29" s="13">
        <f t="shared" si="1"/>
        <v>240240</v>
      </c>
      <c r="J29" s="13">
        <v>50</v>
      </c>
      <c r="K29" s="320">
        <f t="shared" si="3"/>
        <v>29.01449275362319</v>
      </c>
      <c r="L29" s="322">
        <f t="shared" si="2"/>
        <v>12.012</v>
      </c>
      <c r="P29" s="373" t="s">
        <v>1352</v>
      </c>
      <c r="Q29" s="313">
        <v>0.45359237</v>
      </c>
      <c r="R29" s="313"/>
      <c r="S29" s="313"/>
      <c r="T29" s="313"/>
      <c r="U29" s="313"/>
      <c r="V29" s="374"/>
    </row>
    <row r="30" spans="2:22" ht="51">
      <c r="B30" s="335" t="s">
        <v>177</v>
      </c>
      <c r="C30" s="340" t="s">
        <v>214</v>
      </c>
      <c r="D30" s="337" t="s">
        <v>1325</v>
      </c>
      <c r="E30" s="338"/>
      <c r="F30" s="339" t="s">
        <v>215</v>
      </c>
      <c r="G30" s="340">
        <v>650</v>
      </c>
      <c r="H30" s="341">
        <v>4</v>
      </c>
      <c r="I30" s="13">
        <f t="shared" si="1"/>
        <v>135200</v>
      </c>
      <c r="J30" s="13">
        <v>50</v>
      </c>
      <c r="K30" s="320">
        <f t="shared" si="3"/>
        <v>16.32850241545894</v>
      </c>
      <c r="L30" s="322">
        <f t="shared" si="2"/>
        <v>6.76</v>
      </c>
      <c r="P30" s="373" t="s">
        <v>1353</v>
      </c>
      <c r="Q30" s="313">
        <v>1.609</v>
      </c>
      <c r="R30" s="313"/>
      <c r="S30" s="313"/>
      <c r="T30" s="313"/>
      <c r="U30" s="313"/>
      <c r="V30" s="374"/>
    </row>
    <row r="31" spans="2:22" ht="38.25">
      <c r="B31" s="335" t="s">
        <v>216</v>
      </c>
      <c r="C31" s="336" t="s">
        <v>217</v>
      </c>
      <c r="D31" s="337" t="s">
        <v>1325</v>
      </c>
      <c r="E31" s="338">
        <v>5.5</v>
      </c>
      <c r="F31" s="339" t="s">
        <v>208</v>
      </c>
      <c r="G31" s="340">
        <v>220</v>
      </c>
      <c r="H31" s="341">
        <v>11</v>
      </c>
      <c r="I31" s="13">
        <f t="shared" si="1"/>
        <v>125840</v>
      </c>
      <c r="J31" s="13">
        <v>50</v>
      </c>
      <c r="K31" s="320">
        <f t="shared" si="3"/>
        <v>15.198067632850242</v>
      </c>
      <c r="L31" s="322">
        <f t="shared" si="2"/>
        <v>6.292</v>
      </c>
      <c r="P31" s="373" t="s">
        <v>1367</v>
      </c>
      <c r="Q31" s="313" t="s">
        <v>1354</v>
      </c>
      <c r="R31" s="313" t="s">
        <v>1355</v>
      </c>
      <c r="S31" s="313" t="s">
        <v>136</v>
      </c>
      <c r="T31" s="313" t="s">
        <v>1385</v>
      </c>
      <c r="U31" s="313"/>
      <c r="V31" s="374"/>
    </row>
    <row r="32" spans="2:22" ht="38.25">
      <c r="B32" s="335" t="s">
        <v>178</v>
      </c>
      <c r="C32" s="336" t="s">
        <v>218</v>
      </c>
      <c r="D32" s="337" t="s">
        <v>197</v>
      </c>
      <c r="E32" s="338"/>
      <c r="F32" s="339" t="s">
        <v>219</v>
      </c>
      <c r="G32" s="340">
        <v>225</v>
      </c>
      <c r="H32" s="341">
        <v>0.5</v>
      </c>
      <c r="I32" s="13">
        <f t="shared" si="1"/>
        <v>5850</v>
      </c>
      <c r="J32" s="13">
        <v>1000</v>
      </c>
      <c r="K32" s="320">
        <f t="shared" si="3"/>
        <v>14.130434782608695</v>
      </c>
      <c r="L32" s="322">
        <f t="shared" si="2"/>
        <v>5.85</v>
      </c>
      <c r="P32" s="373" t="s">
        <v>1356</v>
      </c>
      <c r="Q32" s="375" t="s">
        <v>1357</v>
      </c>
      <c r="R32" s="375" t="s">
        <v>1358</v>
      </c>
      <c r="S32" s="375" t="s">
        <v>1359</v>
      </c>
      <c r="T32" s="375" t="s">
        <v>1360</v>
      </c>
      <c r="U32" s="313"/>
      <c r="V32" s="374"/>
    </row>
    <row r="33" spans="2:22" ht="26.25" thickBot="1">
      <c r="B33" s="335" t="s">
        <v>220</v>
      </c>
      <c r="C33" s="340" t="s">
        <v>221</v>
      </c>
      <c r="D33" s="337" t="s">
        <v>1325</v>
      </c>
      <c r="E33" s="338">
        <v>20</v>
      </c>
      <c r="F33" s="339" t="s">
        <v>215</v>
      </c>
      <c r="G33" s="340">
        <v>790</v>
      </c>
      <c r="H33" s="341">
        <v>2.5</v>
      </c>
      <c r="I33" s="13">
        <f t="shared" si="1"/>
        <v>102700</v>
      </c>
      <c r="J33" s="13">
        <v>50</v>
      </c>
      <c r="K33" s="320">
        <f t="shared" si="3"/>
        <v>12.403381642512077</v>
      </c>
      <c r="L33" s="322">
        <f t="shared" si="2"/>
        <v>5.135</v>
      </c>
      <c r="P33" s="373" t="s">
        <v>1361</v>
      </c>
      <c r="Q33" s="313">
        <v>1</v>
      </c>
      <c r="R33" s="313">
        <v>3</v>
      </c>
      <c r="S33" s="313">
        <v>7</v>
      </c>
      <c r="T33" s="313">
        <v>20</v>
      </c>
      <c r="U33" s="313"/>
      <c r="V33" s="374"/>
    </row>
    <row r="34" spans="2:22" ht="26.25" thickBot="1">
      <c r="B34" s="335" t="s">
        <v>222</v>
      </c>
      <c r="C34" s="336" t="s">
        <v>223</v>
      </c>
      <c r="D34" s="337" t="s">
        <v>1325</v>
      </c>
      <c r="E34" s="338">
        <v>13</v>
      </c>
      <c r="F34" s="343" t="s">
        <v>224</v>
      </c>
      <c r="G34" s="342">
        <v>325</v>
      </c>
      <c r="H34" s="341">
        <v>3</v>
      </c>
      <c r="I34" s="13">
        <f t="shared" si="1"/>
        <v>50700</v>
      </c>
      <c r="J34" s="13">
        <v>100</v>
      </c>
      <c r="K34" s="320">
        <f t="shared" si="3"/>
        <v>12.246376811594205</v>
      </c>
      <c r="L34" s="322">
        <f t="shared" si="2"/>
        <v>5.07</v>
      </c>
      <c r="P34" s="373"/>
      <c r="Q34" s="376">
        <v>0.15</v>
      </c>
      <c r="R34" s="376">
        <v>0.25</v>
      </c>
      <c r="S34" s="376">
        <v>0.85</v>
      </c>
      <c r="T34" s="377">
        <v>2</v>
      </c>
      <c r="U34" s="313" t="s">
        <v>1362</v>
      </c>
      <c r="V34" s="374"/>
    </row>
    <row r="35" spans="2:22" ht="26.25" thickTop="1">
      <c r="B35" s="335" t="s">
        <v>225</v>
      </c>
      <c r="C35" s="336" t="s">
        <v>196</v>
      </c>
      <c r="D35" s="337" t="s">
        <v>197</v>
      </c>
      <c r="E35" s="338"/>
      <c r="F35" s="339" t="s">
        <v>198</v>
      </c>
      <c r="G35" s="340">
        <v>13</v>
      </c>
      <c r="H35" s="341">
        <v>7.4</v>
      </c>
      <c r="I35" s="13">
        <f t="shared" si="1"/>
        <v>5002.400000000001</v>
      </c>
      <c r="J35" s="13">
        <v>1000</v>
      </c>
      <c r="K35" s="320">
        <f t="shared" si="3"/>
        <v>12.083091787439615</v>
      </c>
      <c r="L35" s="322">
        <f t="shared" si="2"/>
        <v>5.002400000000001</v>
      </c>
      <c r="P35" s="373" t="s">
        <v>1366</v>
      </c>
      <c r="Q35" s="380">
        <v>100</v>
      </c>
      <c r="R35" s="380">
        <v>280</v>
      </c>
      <c r="S35" s="380">
        <v>610</v>
      </c>
      <c r="T35" s="380">
        <v>1580</v>
      </c>
      <c r="U35" s="313" t="s">
        <v>1363</v>
      </c>
      <c r="V35" s="374"/>
    </row>
    <row r="36" spans="2:22" ht="25.5">
      <c r="B36" s="335" t="s">
        <v>226</v>
      </c>
      <c r="C36" s="340"/>
      <c r="D36" s="337" t="s">
        <v>1325</v>
      </c>
      <c r="E36" s="338">
        <v>7</v>
      </c>
      <c r="F36" s="339" t="s">
        <v>215</v>
      </c>
      <c r="G36" s="340">
        <v>280</v>
      </c>
      <c r="H36" s="341">
        <v>6</v>
      </c>
      <c r="I36" s="13">
        <f t="shared" si="1"/>
        <v>87360</v>
      </c>
      <c r="J36" s="13">
        <v>50</v>
      </c>
      <c r="K36" s="320">
        <f t="shared" si="3"/>
        <v>10.55072463768116</v>
      </c>
      <c r="L36" s="322">
        <f t="shared" si="2"/>
        <v>4.368</v>
      </c>
      <c r="P36" s="373" t="s">
        <v>1365</v>
      </c>
      <c r="Q36" s="313">
        <v>20</v>
      </c>
      <c r="R36" s="313">
        <v>54</v>
      </c>
      <c r="S36" s="313">
        <v>117</v>
      </c>
      <c r="T36" s="313">
        <v>304</v>
      </c>
      <c r="U36" s="313"/>
      <c r="V36" s="374"/>
    </row>
    <row r="37" spans="2:22" ht="38.25">
      <c r="B37" s="335" t="s">
        <v>179</v>
      </c>
      <c r="C37" s="336" t="s">
        <v>227</v>
      </c>
      <c r="D37" s="337" t="s">
        <v>1325</v>
      </c>
      <c r="E37" s="338">
        <v>10</v>
      </c>
      <c r="F37" s="339" t="s">
        <v>203</v>
      </c>
      <c r="G37" s="342">
        <v>250</v>
      </c>
      <c r="H37" s="341">
        <v>3</v>
      </c>
      <c r="I37" s="13">
        <f t="shared" si="1"/>
        <v>39000</v>
      </c>
      <c r="J37" s="13">
        <v>100</v>
      </c>
      <c r="K37" s="320">
        <f t="shared" si="3"/>
        <v>9.420289855072465</v>
      </c>
      <c r="L37" s="322">
        <f t="shared" si="2"/>
        <v>3.9</v>
      </c>
      <c r="P37" s="384" t="s">
        <v>1364</v>
      </c>
      <c r="Q37" s="385"/>
      <c r="R37" s="386">
        <v>50</v>
      </c>
      <c r="S37" s="387">
        <v>50</v>
      </c>
      <c r="T37" s="385"/>
      <c r="U37" s="385"/>
      <c r="V37" s="388"/>
    </row>
    <row r="38" spans="2:22" ht="25.5">
      <c r="B38" s="335" t="s">
        <v>206</v>
      </c>
      <c r="C38" s="336" t="s">
        <v>228</v>
      </c>
      <c r="D38" s="337" t="s">
        <v>1325</v>
      </c>
      <c r="E38" s="338">
        <v>10</v>
      </c>
      <c r="F38" s="339" t="s">
        <v>208</v>
      </c>
      <c r="G38" s="340">
        <v>400</v>
      </c>
      <c r="H38" s="341">
        <v>3.6</v>
      </c>
      <c r="I38" s="13">
        <f t="shared" si="1"/>
        <v>74880</v>
      </c>
      <c r="J38" s="13">
        <v>50</v>
      </c>
      <c r="K38" s="320">
        <f t="shared" si="3"/>
        <v>9.043478260869566</v>
      </c>
      <c r="L38" s="322">
        <f t="shared" si="2"/>
        <v>3.744</v>
      </c>
      <c r="P38" s="381" t="s">
        <v>1373</v>
      </c>
      <c r="Q38" s="313"/>
      <c r="R38" s="313"/>
      <c r="S38" s="313"/>
      <c r="T38" s="313"/>
      <c r="U38" s="313"/>
      <c r="V38" s="374"/>
    </row>
    <row r="39" spans="2:22" ht="39" thickBot="1">
      <c r="B39" s="335" t="s">
        <v>229</v>
      </c>
      <c r="C39" s="336" t="s">
        <v>230</v>
      </c>
      <c r="D39" s="337" t="s">
        <v>1325</v>
      </c>
      <c r="E39" s="338">
        <v>3.2</v>
      </c>
      <c r="F39" s="339" t="s">
        <v>208</v>
      </c>
      <c r="G39" s="340">
        <v>128</v>
      </c>
      <c r="H39" s="341">
        <v>11</v>
      </c>
      <c r="I39" s="13">
        <f t="shared" si="1"/>
        <v>73216</v>
      </c>
      <c r="J39" s="13">
        <v>50</v>
      </c>
      <c r="K39" s="320">
        <f t="shared" si="3"/>
        <v>8.842512077294687</v>
      </c>
      <c r="L39" s="322">
        <f t="shared" si="2"/>
        <v>3.6608</v>
      </c>
      <c r="P39" s="383" t="s">
        <v>1372</v>
      </c>
      <c r="Q39" s="378"/>
      <c r="R39" s="378"/>
      <c r="S39" s="378"/>
      <c r="T39" s="378"/>
      <c r="U39" s="378"/>
      <c r="V39" s="379"/>
    </row>
    <row r="40" spans="2:12" ht="38.25">
      <c r="B40" s="335" t="s">
        <v>180</v>
      </c>
      <c r="C40" s="336" t="s">
        <v>231</v>
      </c>
      <c r="D40" s="337" t="s">
        <v>197</v>
      </c>
      <c r="E40" s="338">
        <v>10</v>
      </c>
      <c r="F40" s="339" t="s">
        <v>203</v>
      </c>
      <c r="G40" s="342">
        <v>250</v>
      </c>
      <c r="H40" s="341">
        <v>0.25</v>
      </c>
      <c r="I40" s="13">
        <f t="shared" si="1"/>
        <v>3250</v>
      </c>
      <c r="J40" s="13">
        <v>1000</v>
      </c>
      <c r="K40" s="320">
        <f t="shared" si="3"/>
        <v>7.85024154589372</v>
      </c>
      <c r="L40" s="322">
        <f t="shared" si="2"/>
        <v>3.25</v>
      </c>
    </row>
    <row r="41" spans="2:12" ht="26.25">
      <c r="B41" s="335" t="s">
        <v>232</v>
      </c>
      <c r="C41" s="340"/>
      <c r="D41" s="337" t="s">
        <v>1325</v>
      </c>
      <c r="E41" s="338">
        <v>12</v>
      </c>
      <c r="F41" s="339" t="s">
        <v>215</v>
      </c>
      <c r="G41" s="340">
        <v>480</v>
      </c>
      <c r="H41" s="341">
        <v>2.6</v>
      </c>
      <c r="I41" s="13">
        <f t="shared" si="1"/>
        <v>64896</v>
      </c>
      <c r="J41" s="13">
        <v>50</v>
      </c>
      <c r="K41" s="320">
        <f t="shared" si="3"/>
        <v>7.83768115942029</v>
      </c>
      <c r="L41" s="322">
        <f t="shared" si="2"/>
        <v>3.2448</v>
      </c>
    </row>
    <row r="42" spans="2:12" ht="26.25">
      <c r="B42" s="335" t="s">
        <v>233</v>
      </c>
      <c r="C42" s="336" t="s">
        <v>234</v>
      </c>
      <c r="D42" s="337" t="s">
        <v>1325</v>
      </c>
      <c r="E42" s="338">
        <v>3.5</v>
      </c>
      <c r="F42" s="339" t="s">
        <v>208</v>
      </c>
      <c r="G42" s="340">
        <v>140</v>
      </c>
      <c r="H42" s="341">
        <v>8</v>
      </c>
      <c r="I42" s="13">
        <f t="shared" si="1"/>
        <v>58240</v>
      </c>
      <c r="J42" s="13">
        <v>50</v>
      </c>
      <c r="K42" s="320">
        <f t="shared" si="3"/>
        <v>7.033816425120773</v>
      </c>
      <c r="L42" s="322">
        <f t="shared" si="2"/>
        <v>2.912</v>
      </c>
    </row>
    <row r="43" spans="2:12" ht="26.25">
      <c r="B43" s="335" t="s">
        <v>235</v>
      </c>
      <c r="C43" s="340" t="s">
        <v>236</v>
      </c>
      <c r="D43" s="337" t="s">
        <v>1325</v>
      </c>
      <c r="E43" s="338"/>
      <c r="F43" s="339" t="s">
        <v>215</v>
      </c>
      <c r="G43" s="340">
        <v>140</v>
      </c>
      <c r="H43" s="341">
        <v>6</v>
      </c>
      <c r="I43" s="13">
        <f t="shared" si="1"/>
        <v>43680</v>
      </c>
      <c r="J43" s="13">
        <v>50</v>
      </c>
      <c r="K43" s="320">
        <f t="shared" si="3"/>
        <v>5.27536231884058</v>
      </c>
      <c r="L43" s="322">
        <f t="shared" si="2"/>
        <v>2.184</v>
      </c>
    </row>
    <row r="44" spans="2:12" ht="51.75">
      <c r="B44" s="335" t="s">
        <v>237</v>
      </c>
      <c r="C44" s="336" t="s">
        <v>238</v>
      </c>
      <c r="D44" s="337" t="s">
        <v>1325</v>
      </c>
      <c r="E44" s="338">
        <v>5</v>
      </c>
      <c r="F44" s="339" t="s">
        <v>208</v>
      </c>
      <c r="G44" s="340">
        <v>200</v>
      </c>
      <c r="H44" s="341">
        <v>4</v>
      </c>
      <c r="I44" s="13">
        <f t="shared" si="1"/>
        <v>41600</v>
      </c>
      <c r="J44" s="13">
        <v>50</v>
      </c>
      <c r="K44" s="320">
        <f t="shared" si="3"/>
        <v>5.024154589371981</v>
      </c>
      <c r="L44" s="322">
        <f t="shared" si="2"/>
        <v>2.08</v>
      </c>
    </row>
    <row r="45" spans="2:12" ht="26.25">
      <c r="B45" s="335" t="s">
        <v>239</v>
      </c>
      <c r="C45" s="340" t="s">
        <v>239</v>
      </c>
      <c r="D45" s="337" t="s">
        <v>1325</v>
      </c>
      <c r="E45" s="338">
        <v>6.5</v>
      </c>
      <c r="F45" s="339" t="s">
        <v>215</v>
      </c>
      <c r="G45" s="340">
        <v>290</v>
      </c>
      <c r="H45" s="341">
        <v>2.5</v>
      </c>
      <c r="I45" s="13">
        <f t="shared" si="1"/>
        <v>37700</v>
      </c>
      <c r="J45" s="13">
        <v>50</v>
      </c>
      <c r="K45" s="320">
        <f t="shared" si="3"/>
        <v>4.553140096618358</v>
      </c>
      <c r="L45" s="322">
        <f t="shared" si="2"/>
        <v>1.885</v>
      </c>
    </row>
    <row r="46" spans="2:12" ht="26.25">
      <c r="B46" s="335" t="s">
        <v>240</v>
      </c>
      <c r="C46" s="336" t="s">
        <v>241</v>
      </c>
      <c r="D46" s="337" t="s">
        <v>1325</v>
      </c>
      <c r="E46" s="338">
        <v>4</v>
      </c>
      <c r="F46" s="339" t="s">
        <v>208</v>
      </c>
      <c r="G46" s="340">
        <v>160</v>
      </c>
      <c r="H46" s="341">
        <v>4</v>
      </c>
      <c r="I46" s="13">
        <f t="shared" si="1"/>
        <v>33280</v>
      </c>
      <c r="J46" s="13">
        <v>50</v>
      </c>
      <c r="K46" s="320">
        <f t="shared" si="3"/>
        <v>4.019323671497585</v>
      </c>
      <c r="L46" s="322">
        <f t="shared" si="2"/>
        <v>1.664</v>
      </c>
    </row>
    <row r="47" spans="2:12" ht="26.25">
      <c r="B47" s="335" t="s">
        <v>237</v>
      </c>
      <c r="C47" s="336" t="s">
        <v>242</v>
      </c>
      <c r="D47" s="337" t="s">
        <v>1325</v>
      </c>
      <c r="E47" s="338">
        <v>4</v>
      </c>
      <c r="F47" s="339" t="s">
        <v>208</v>
      </c>
      <c r="G47" s="340">
        <v>160</v>
      </c>
      <c r="H47" s="341">
        <v>3.6</v>
      </c>
      <c r="I47" s="13">
        <f t="shared" si="1"/>
        <v>29952</v>
      </c>
      <c r="J47" s="13">
        <v>50</v>
      </c>
      <c r="K47" s="320">
        <f t="shared" si="3"/>
        <v>3.6173913043478265</v>
      </c>
      <c r="L47" s="322">
        <f t="shared" si="2"/>
        <v>1.4976</v>
      </c>
    </row>
    <row r="48" spans="2:12" ht="26.25">
      <c r="B48" s="335" t="s">
        <v>243</v>
      </c>
      <c r="C48" s="336" t="s">
        <v>244</v>
      </c>
      <c r="D48" s="337" t="s">
        <v>1325</v>
      </c>
      <c r="E48" s="338"/>
      <c r="F48" s="339" t="s">
        <v>245</v>
      </c>
      <c r="G48" s="342">
        <v>55</v>
      </c>
      <c r="H48" s="341">
        <v>5</v>
      </c>
      <c r="I48" s="13">
        <f t="shared" si="1"/>
        <v>14300</v>
      </c>
      <c r="J48" s="13">
        <v>100</v>
      </c>
      <c r="K48" s="320">
        <f t="shared" si="3"/>
        <v>3.454106280193237</v>
      </c>
      <c r="L48" s="322">
        <f t="shared" si="2"/>
        <v>1.43</v>
      </c>
    </row>
    <row r="49" spans="2:12" ht="26.25">
      <c r="B49" s="335" t="s">
        <v>246</v>
      </c>
      <c r="C49" s="336" t="s">
        <v>247</v>
      </c>
      <c r="D49" s="337" t="s">
        <v>1325</v>
      </c>
      <c r="E49" s="338">
        <v>2</v>
      </c>
      <c r="F49" s="339" t="s">
        <v>208</v>
      </c>
      <c r="G49" s="340">
        <v>80</v>
      </c>
      <c r="H49" s="341">
        <v>6.4</v>
      </c>
      <c r="I49" s="13">
        <f t="shared" si="1"/>
        <v>26624</v>
      </c>
      <c r="J49" s="13">
        <v>50</v>
      </c>
      <c r="K49" s="320">
        <f t="shared" si="3"/>
        <v>3.2154589371980675</v>
      </c>
      <c r="L49" s="322">
        <f t="shared" si="2"/>
        <v>1.3312</v>
      </c>
    </row>
    <row r="50" spans="2:12" ht="26.25">
      <c r="B50" s="335" t="s">
        <v>248</v>
      </c>
      <c r="C50" s="336" t="s">
        <v>249</v>
      </c>
      <c r="D50" s="337" t="s">
        <v>1325</v>
      </c>
      <c r="E50" s="338">
        <v>2</v>
      </c>
      <c r="F50" s="343" t="s">
        <v>250</v>
      </c>
      <c r="G50" s="340">
        <v>80</v>
      </c>
      <c r="H50" s="341">
        <v>6</v>
      </c>
      <c r="I50" s="13">
        <f t="shared" si="1"/>
        <v>24960</v>
      </c>
      <c r="J50" s="13">
        <v>50</v>
      </c>
      <c r="K50" s="320">
        <f t="shared" si="3"/>
        <v>3.0144927536231885</v>
      </c>
      <c r="L50" s="322">
        <f t="shared" si="2"/>
        <v>1.248</v>
      </c>
    </row>
    <row r="51" spans="2:12" ht="51.75">
      <c r="B51" s="335" t="s">
        <v>251</v>
      </c>
      <c r="C51" s="340" t="s">
        <v>252</v>
      </c>
      <c r="D51" s="337" t="s">
        <v>1325</v>
      </c>
      <c r="E51" s="338"/>
      <c r="F51" s="339" t="s">
        <v>215</v>
      </c>
      <c r="G51" s="340">
        <v>156</v>
      </c>
      <c r="H51" s="341">
        <v>3</v>
      </c>
      <c r="I51" s="13">
        <f t="shared" si="1"/>
        <v>24336</v>
      </c>
      <c r="J51" s="13">
        <v>50</v>
      </c>
      <c r="K51" s="320">
        <f t="shared" si="3"/>
        <v>2.939130434782609</v>
      </c>
      <c r="L51" s="322">
        <f t="shared" si="2"/>
        <v>1.2168</v>
      </c>
    </row>
    <row r="52" spans="2:12" ht="26.25">
      <c r="B52" s="335" t="s">
        <v>253</v>
      </c>
      <c r="C52" s="336" t="s">
        <v>254</v>
      </c>
      <c r="D52" s="337" t="s">
        <v>1325</v>
      </c>
      <c r="E52" s="338"/>
      <c r="F52" s="339" t="s">
        <v>255</v>
      </c>
      <c r="G52" s="340">
        <v>37</v>
      </c>
      <c r="H52" s="341">
        <v>12</v>
      </c>
      <c r="I52" s="13">
        <f t="shared" si="1"/>
        <v>23088</v>
      </c>
      <c r="J52" s="13">
        <v>50</v>
      </c>
      <c r="K52" s="320">
        <f t="shared" si="3"/>
        <v>2.7884057971014498</v>
      </c>
      <c r="L52" s="322">
        <f t="shared" si="2"/>
        <v>1.1544</v>
      </c>
    </row>
    <row r="53" spans="2:12" ht="26.25">
      <c r="B53" s="335" t="s">
        <v>256</v>
      </c>
      <c r="C53" s="336" t="s">
        <v>257</v>
      </c>
      <c r="D53" s="337" t="s">
        <v>1325</v>
      </c>
      <c r="E53" s="338">
        <v>3</v>
      </c>
      <c r="F53" s="339" t="s">
        <v>208</v>
      </c>
      <c r="G53" s="340">
        <v>120</v>
      </c>
      <c r="H53" s="341">
        <v>3.6</v>
      </c>
      <c r="I53" s="13">
        <f t="shared" si="1"/>
        <v>22464</v>
      </c>
      <c r="J53" s="13">
        <v>50</v>
      </c>
      <c r="K53" s="320">
        <f t="shared" si="3"/>
        <v>2.7130434782608694</v>
      </c>
      <c r="L53" s="322">
        <f t="shared" si="2"/>
        <v>1.1232</v>
      </c>
    </row>
    <row r="54" spans="2:12" ht="26.25">
      <c r="B54" s="335" t="s">
        <v>258</v>
      </c>
      <c r="C54" s="336" t="s">
        <v>259</v>
      </c>
      <c r="D54" s="337" t="s">
        <v>1325</v>
      </c>
      <c r="E54" s="338">
        <v>2.5</v>
      </c>
      <c r="F54" s="343" t="s">
        <v>260</v>
      </c>
      <c r="G54" s="340">
        <v>100</v>
      </c>
      <c r="H54" s="341">
        <v>4</v>
      </c>
      <c r="I54" s="13">
        <f t="shared" si="1"/>
        <v>20800</v>
      </c>
      <c r="J54" s="13">
        <v>50</v>
      </c>
      <c r="K54" s="320">
        <f t="shared" si="3"/>
        <v>2.5120772946859904</v>
      </c>
      <c r="L54" s="322">
        <f t="shared" si="2"/>
        <v>1.04</v>
      </c>
    </row>
    <row r="55" spans="2:12" ht="39">
      <c r="B55" s="335" t="s">
        <v>261</v>
      </c>
      <c r="C55" s="336" t="s">
        <v>262</v>
      </c>
      <c r="D55" s="337" t="s">
        <v>1325</v>
      </c>
      <c r="E55" s="338">
        <v>5</v>
      </c>
      <c r="F55" s="339" t="s">
        <v>203</v>
      </c>
      <c r="G55" s="342">
        <v>125</v>
      </c>
      <c r="H55" s="341">
        <v>1.6</v>
      </c>
      <c r="I55" s="13">
        <f t="shared" si="1"/>
        <v>10400</v>
      </c>
      <c r="J55" s="13">
        <v>100</v>
      </c>
      <c r="K55" s="320">
        <f t="shared" si="3"/>
        <v>2.5120772946859904</v>
      </c>
      <c r="L55" s="322">
        <f aca="true" t="shared" si="4" ref="L55:L84">(G55*52*H55*J55/1000000)</f>
        <v>1.04</v>
      </c>
    </row>
    <row r="56" spans="2:12" ht="26.25">
      <c r="B56" s="335" t="s">
        <v>206</v>
      </c>
      <c r="C56" s="336" t="s">
        <v>263</v>
      </c>
      <c r="D56" s="337" t="s">
        <v>1325</v>
      </c>
      <c r="E56" s="338">
        <v>1</v>
      </c>
      <c r="F56" s="339" t="s">
        <v>208</v>
      </c>
      <c r="G56" s="340">
        <v>40</v>
      </c>
      <c r="H56" s="341">
        <v>9.8</v>
      </c>
      <c r="I56" s="13">
        <f t="shared" si="1"/>
        <v>20384</v>
      </c>
      <c r="J56" s="13">
        <v>50</v>
      </c>
      <c r="K56" s="320">
        <f t="shared" si="3"/>
        <v>2.461835748792271</v>
      </c>
      <c r="L56" s="322">
        <f t="shared" si="4"/>
        <v>1.0192</v>
      </c>
    </row>
    <row r="57" spans="2:12" ht="26.25">
      <c r="B57" s="335" t="s">
        <v>264</v>
      </c>
      <c r="C57" s="340" t="s">
        <v>265</v>
      </c>
      <c r="D57" s="337" t="s">
        <v>1325</v>
      </c>
      <c r="E57" s="338"/>
      <c r="F57" s="339" t="s">
        <v>215</v>
      </c>
      <c r="G57" s="340">
        <v>65</v>
      </c>
      <c r="H57" s="341">
        <v>6</v>
      </c>
      <c r="I57" s="13">
        <f t="shared" si="1"/>
        <v>20280</v>
      </c>
      <c r="J57" s="13">
        <v>50</v>
      </c>
      <c r="K57" s="320">
        <f t="shared" si="3"/>
        <v>2.449275362318841</v>
      </c>
      <c r="L57" s="322">
        <f t="shared" si="4"/>
        <v>1.014</v>
      </c>
    </row>
    <row r="58" spans="2:12" ht="51.75">
      <c r="B58" s="335" t="s">
        <v>266</v>
      </c>
      <c r="C58" s="336" t="s">
        <v>267</v>
      </c>
      <c r="D58" s="337" t="s">
        <v>1325</v>
      </c>
      <c r="E58" s="338"/>
      <c r="F58" s="339" t="s">
        <v>213</v>
      </c>
      <c r="G58" s="340">
        <v>27</v>
      </c>
      <c r="H58" s="341">
        <v>14</v>
      </c>
      <c r="I58" s="13">
        <f t="shared" si="1"/>
        <v>19656</v>
      </c>
      <c r="J58" s="13">
        <v>50</v>
      </c>
      <c r="K58" s="320">
        <f t="shared" si="3"/>
        <v>2.373913043478261</v>
      </c>
      <c r="L58" s="322">
        <f t="shared" si="4"/>
        <v>0.9828</v>
      </c>
    </row>
    <row r="59" spans="2:12" ht="26.25">
      <c r="B59" s="335" t="s">
        <v>268</v>
      </c>
      <c r="C59" s="336" t="s">
        <v>241</v>
      </c>
      <c r="D59" s="337" t="s">
        <v>1325</v>
      </c>
      <c r="E59" s="344">
        <v>2</v>
      </c>
      <c r="F59" s="339" t="s">
        <v>208</v>
      </c>
      <c r="G59" s="340">
        <v>80</v>
      </c>
      <c r="H59" s="341">
        <v>4</v>
      </c>
      <c r="I59" s="13">
        <f t="shared" si="1"/>
        <v>16640</v>
      </c>
      <c r="J59" s="13">
        <v>50</v>
      </c>
      <c r="K59" s="320">
        <f t="shared" si="3"/>
        <v>2.0096618357487923</v>
      </c>
      <c r="L59" s="322">
        <f t="shared" si="4"/>
        <v>0.832</v>
      </c>
    </row>
    <row r="60" spans="2:12" ht="26.25">
      <c r="B60" s="335" t="s">
        <v>269</v>
      </c>
      <c r="C60" s="336" t="s">
        <v>270</v>
      </c>
      <c r="D60" s="337" t="s">
        <v>1325</v>
      </c>
      <c r="E60" s="338">
        <v>1</v>
      </c>
      <c r="F60" s="339" t="s">
        <v>203</v>
      </c>
      <c r="G60" s="342">
        <v>25</v>
      </c>
      <c r="H60" s="341">
        <v>6.2</v>
      </c>
      <c r="I60" s="13">
        <f t="shared" si="1"/>
        <v>8060</v>
      </c>
      <c r="J60" s="13">
        <v>100</v>
      </c>
      <c r="K60" s="320">
        <f t="shared" si="3"/>
        <v>1.9468599033816427</v>
      </c>
      <c r="L60" s="322">
        <f t="shared" si="4"/>
        <v>0.806</v>
      </c>
    </row>
    <row r="61" spans="2:12" ht="26.25">
      <c r="B61" s="335" t="s">
        <v>271</v>
      </c>
      <c r="C61" s="336" t="s">
        <v>272</v>
      </c>
      <c r="D61" s="337" t="s">
        <v>1325</v>
      </c>
      <c r="E61" s="338">
        <v>18</v>
      </c>
      <c r="F61" s="339" t="s">
        <v>208</v>
      </c>
      <c r="G61" s="340">
        <v>600</v>
      </c>
      <c r="H61" s="341">
        <v>0.5</v>
      </c>
      <c r="I61" s="13">
        <f t="shared" si="1"/>
        <v>15600</v>
      </c>
      <c r="J61" s="13">
        <v>50</v>
      </c>
      <c r="K61" s="320">
        <f t="shared" si="3"/>
        <v>1.884057971014493</v>
      </c>
      <c r="L61" s="322">
        <f t="shared" si="4"/>
        <v>0.78</v>
      </c>
    </row>
    <row r="62" spans="2:12" ht="26.25">
      <c r="B62" s="335" t="s">
        <v>273</v>
      </c>
      <c r="C62" s="336" t="s">
        <v>274</v>
      </c>
      <c r="D62" s="337" t="s">
        <v>1325</v>
      </c>
      <c r="E62" s="338">
        <v>1.6</v>
      </c>
      <c r="F62" s="339" t="s">
        <v>255</v>
      </c>
      <c r="G62" s="340">
        <v>64</v>
      </c>
      <c r="H62" s="341">
        <v>4.2</v>
      </c>
      <c r="I62" s="13">
        <f t="shared" si="1"/>
        <v>13977.6</v>
      </c>
      <c r="J62" s="13">
        <v>50</v>
      </c>
      <c r="K62" s="320">
        <f t="shared" si="3"/>
        <v>1.6881159420289855</v>
      </c>
      <c r="L62" s="322">
        <f t="shared" si="4"/>
        <v>0.69888</v>
      </c>
    </row>
    <row r="63" spans="2:12" ht="26.25">
      <c r="B63" s="335" t="s">
        <v>275</v>
      </c>
      <c r="C63" s="336" t="s">
        <v>276</v>
      </c>
      <c r="D63" s="337" t="s">
        <v>1325</v>
      </c>
      <c r="E63" s="338">
        <v>1</v>
      </c>
      <c r="F63" s="339" t="s">
        <v>208</v>
      </c>
      <c r="G63" s="340">
        <v>40</v>
      </c>
      <c r="H63" s="341">
        <v>6.2</v>
      </c>
      <c r="I63" s="13">
        <f t="shared" si="1"/>
        <v>12896</v>
      </c>
      <c r="J63" s="13">
        <v>50</v>
      </c>
      <c r="K63" s="320">
        <f t="shared" si="3"/>
        <v>1.5574879227053142</v>
      </c>
      <c r="L63" s="322">
        <f t="shared" si="4"/>
        <v>0.6448</v>
      </c>
    </row>
    <row r="64" spans="2:12" ht="26.25">
      <c r="B64" s="335" t="s">
        <v>277</v>
      </c>
      <c r="C64" s="336" t="s">
        <v>241</v>
      </c>
      <c r="D64" s="337" t="s">
        <v>1325</v>
      </c>
      <c r="E64" s="338">
        <v>1.4</v>
      </c>
      <c r="F64" s="339" t="s">
        <v>208</v>
      </c>
      <c r="G64" s="340">
        <v>56</v>
      </c>
      <c r="H64" s="341">
        <v>4</v>
      </c>
      <c r="I64" s="13">
        <f t="shared" si="1"/>
        <v>11648</v>
      </c>
      <c r="J64" s="13">
        <v>50</v>
      </c>
      <c r="K64" s="320">
        <f t="shared" si="3"/>
        <v>1.4067632850241547</v>
      </c>
      <c r="L64" s="322">
        <f t="shared" si="4"/>
        <v>0.5824</v>
      </c>
    </row>
    <row r="65" spans="2:12" ht="39">
      <c r="B65" s="335" t="s">
        <v>278</v>
      </c>
      <c r="C65" s="336" t="s">
        <v>279</v>
      </c>
      <c r="D65" s="337" t="s">
        <v>1325</v>
      </c>
      <c r="E65" s="338"/>
      <c r="F65" s="339" t="s">
        <v>280</v>
      </c>
      <c r="G65" s="340">
        <v>105</v>
      </c>
      <c r="H65" s="341">
        <v>4</v>
      </c>
      <c r="I65" s="13">
        <f t="shared" si="1"/>
        <v>21840</v>
      </c>
      <c r="J65" s="13">
        <v>25</v>
      </c>
      <c r="K65" s="320">
        <f t="shared" si="3"/>
        <v>1.318840579710145</v>
      </c>
      <c r="L65" s="322">
        <f t="shared" si="4"/>
        <v>0.546</v>
      </c>
    </row>
    <row r="66" spans="2:12" ht="26.25">
      <c r="B66" s="335" t="s">
        <v>246</v>
      </c>
      <c r="C66" s="336" t="s">
        <v>281</v>
      </c>
      <c r="D66" s="337" t="s">
        <v>1325</v>
      </c>
      <c r="E66" s="338">
        <v>10</v>
      </c>
      <c r="F66" s="339" t="s">
        <v>208</v>
      </c>
      <c r="G66" s="340">
        <v>400</v>
      </c>
      <c r="H66" s="341">
        <v>0.5</v>
      </c>
      <c r="I66" s="13">
        <f t="shared" si="1"/>
        <v>10400</v>
      </c>
      <c r="J66" s="13">
        <v>50</v>
      </c>
      <c r="K66" s="320">
        <f t="shared" si="3"/>
        <v>1.2560386473429952</v>
      </c>
      <c r="L66" s="322">
        <f t="shared" si="4"/>
        <v>0.52</v>
      </c>
    </row>
    <row r="67" spans="2:12" ht="26.25">
      <c r="B67" s="335" t="s">
        <v>282</v>
      </c>
      <c r="C67" s="336" t="s">
        <v>283</v>
      </c>
      <c r="D67" s="337" t="s">
        <v>1325</v>
      </c>
      <c r="E67" s="338">
        <v>1.2</v>
      </c>
      <c r="F67" s="339"/>
      <c r="G67" s="340">
        <v>48</v>
      </c>
      <c r="H67" s="341">
        <v>4</v>
      </c>
      <c r="I67" s="13">
        <f t="shared" si="1"/>
        <v>9984</v>
      </c>
      <c r="J67" s="13">
        <v>50</v>
      </c>
      <c r="K67" s="320">
        <f t="shared" si="3"/>
        <v>1.2057971014492754</v>
      </c>
      <c r="L67" s="322">
        <f t="shared" si="4"/>
        <v>0.4992</v>
      </c>
    </row>
    <row r="68" spans="2:12" ht="26.25">
      <c r="B68" s="335" t="s">
        <v>284</v>
      </c>
      <c r="C68" s="340" t="s">
        <v>285</v>
      </c>
      <c r="D68" s="337" t="s">
        <v>1325</v>
      </c>
      <c r="E68" s="338">
        <v>0.7</v>
      </c>
      <c r="F68" s="339" t="s">
        <v>215</v>
      </c>
      <c r="G68" s="340">
        <v>30</v>
      </c>
      <c r="H68" s="341">
        <v>6</v>
      </c>
      <c r="I68" s="13">
        <f t="shared" si="1"/>
        <v>9360</v>
      </c>
      <c r="J68" s="13">
        <v>50</v>
      </c>
      <c r="K68" s="320">
        <f t="shared" si="3"/>
        <v>1.1304347826086958</v>
      </c>
      <c r="L68" s="322">
        <f t="shared" si="4"/>
        <v>0.468</v>
      </c>
    </row>
    <row r="69" spans="2:12" ht="39">
      <c r="B69" s="335" t="s">
        <v>286</v>
      </c>
      <c r="C69" s="336" t="s">
        <v>287</v>
      </c>
      <c r="D69" s="337" t="s">
        <v>1325</v>
      </c>
      <c r="E69" s="338"/>
      <c r="F69" s="339" t="s">
        <v>288</v>
      </c>
      <c r="G69" s="340">
        <v>40</v>
      </c>
      <c r="H69" s="341">
        <v>4</v>
      </c>
      <c r="I69" s="13">
        <f t="shared" si="1"/>
        <v>8320</v>
      </c>
      <c r="J69" s="13">
        <v>50</v>
      </c>
      <c r="K69" s="320">
        <f t="shared" si="3"/>
        <v>1.0048309178743962</v>
      </c>
      <c r="L69" s="322">
        <f t="shared" si="4"/>
        <v>0.416</v>
      </c>
    </row>
    <row r="70" spans="2:12" ht="26.25">
      <c r="B70" s="335" t="s">
        <v>289</v>
      </c>
      <c r="C70" s="336" t="s">
        <v>290</v>
      </c>
      <c r="D70" s="337" t="s">
        <v>1325</v>
      </c>
      <c r="E70" s="338"/>
      <c r="F70" s="339" t="s">
        <v>255</v>
      </c>
      <c r="G70" s="340">
        <v>13</v>
      </c>
      <c r="H70" s="341">
        <v>10.8</v>
      </c>
      <c r="I70" s="13">
        <f t="shared" si="1"/>
        <v>7300.8</v>
      </c>
      <c r="J70" s="13">
        <v>50</v>
      </c>
      <c r="K70" s="320">
        <f t="shared" si="3"/>
        <v>0.8817391304347826</v>
      </c>
      <c r="L70" s="322">
        <f t="shared" si="4"/>
        <v>0.36504</v>
      </c>
    </row>
    <row r="71" spans="2:12" ht="26.25">
      <c r="B71" s="335" t="s">
        <v>291</v>
      </c>
      <c r="C71" s="336" t="s">
        <v>254</v>
      </c>
      <c r="D71" s="337" t="s">
        <v>1325</v>
      </c>
      <c r="E71" s="338"/>
      <c r="F71" s="339" t="s">
        <v>255</v>
      </c>
      <c r="G71" s="340">
        <v>10</v>
      </c>
      <c r="H71" s="341">
        <v>12</v>
      </c>
      <c r="I71" s="13">
        <f t="shared" si="1"/>
        <v>6240</v>
      </c>
      <c r="J71" s="13">
        <v>50</v>
      </c>
      <c r="K71" s="320">
        <f t="shared" si="3"/>
        <v>0.7536231884057971</v>
      </c>
      <c r="L71" s="322">
        <f t="shared" si="4"/>
        <v>0.312</v>
      </c>
    </row>
    <row r="72" spans="2:12" ht="26.25">
      <c r="B72" s="335" t="s">
        <v>292</v>
      </c>
      <c r="C72" s="336" t="s">
        <v>290</v>
      </c>
      <c r="D72" s="337" t="s">
        <v>1325</v>
      </c>
      <c r="E72" s="338"/>
      <c r="F72" s="339" t="s">
        <v>208</v>
      </c>
      <c r="G72" s="340">
        <v>10</v>
      </c>
      <c r="H72" s="341">
        <v>10.8</v>
      </c>
      <c r="I72" s="13">
        <f t="shared" si="1"/>
        <v>5616</v>
      </c>
      <c r="J72" s="13">
        <v>50</v>
      </c>
      <c r="K72" s="320">
        <f t="shared" si="3"/>
        <v>0.6782608695652174</v>
      </c>
      <c r="L72" s="322">
        <f t="shared" si="4"/>
        <v>0.2808</v>
      </c>
    </row>
    <row r="73" spans="2:12" ht="39">
      <c r="B73" s="335" t="s">
        <v>293</v>
      </c>
      <c r="C73" s="336" t="s">
        <v>294</v>
      </c>
      <c r="D73" s="337" t="s">
        <v>1325</v>
      </c>
      <c r="E73" s="338"/>
      <c r="F73" s="339" t="s">
        <v>213</v>
      </c>
      <c r="G73" s="340">
        <v>14</v>
      </c>
      <c r="H73" s="341">
        <v>6.4</v>
      </c>
      <c r="I73" s="13">
        <f t="shared" si="1"/>
        <v>4659.2</v>
      </c>
      <c r="J73" s="13">
        <v>50</v>
      </c>
      <c r="K73" s="320">
        <f t="shared" si="3"/>
        <v>0.5627053140096618</v>
      </c>
      <c r="L73" s="322">
        <f t="shared" si="4"/>
        <v>0.23296</v>
      </c>
    </row>
    <row r="74" spans="2:12" ht="15">
      <c r="B74" s="335" t="s">
        <v>295</v>
      </c>
      <c r="C74" s="336" t="s">
        <v>296</v>
      </c>
      <c r="D74" s="337" t="s">
        <v>1325</v>
      </c>
      <c r="E74" s="338"/>
      <c r="F74" s="339" t="s">
        <v>297</v>
      </c>
      <c r="G74" s="340">
        <v>21</v>
      </c>
      <c r="H74" s="341">
        <v>4</v>
      </c>
      <c r="I74" s="13">
        <f t="shared" si="1"/>
        <v>4368</v>
      </c>
      <c r="J74" s="13">
        <v>50</v>
      </c>
      <c r="K74" s="320">
        <f t="shared" si="3"/>
        <v>0.5275362318840581</v>
      </c>
      <c r="L74" s="322">
        <f t="shared" si="4"/>
        <v>0.2184</v>
      </c>
    </row>
    <row r="75" spans="2:12" ht="26.25">
      <c r="B75" s="335" t="s">
        <v>298</v>
      </c>
      <c r="C75" s="336" t="s">
        <v>299</v>
      </c>
      <c r="D75" s="337" t="s">
        <v>1325</v>
      </c>
      <c r="E75" s="338">
        <v>1</v>
      </c>
      <c r="F75" s="339"/>
      <c r="G75" s="340">
        <v>40</v>
      </c>
      <c r="H75" s="341">
        <v>2</v>
      </c>
      <c r="I75" s="13">
        <f t="shared" si="1"/>
        <v>4160</v>
      </c>
      <c r="J75" s="13">
        <v>50</v>
      </c>
      <c r="K75" s="320">
        <f t="shared" si="3"/>
        <v>0.5024154589371981</v>
      </c>
      <c r="L75" s="322">
        <f t="shared" si="4"/>
        <v>0.208</v>
      </c>
    </row>
    <row r="76" spans="2:12" ht="39">
      <c r="B76" s="335" t="s">
        <v>300</v>
      </c>
      <c r="C76" s="336" t="s">
        <v>247</v>
      </c>
      <c r="D76" s="337" t="s">
        <v>1325</v>
      </c>
      <c r="E76" s="338">
        <v>0.3</v>
      </c>
      <c r="F76" s="339" t="s">
        <v>208</v>
      </c>
      <c r="G76" s="340">
        <v>12</v>
      </c>
      <c r="H76" s="341">
        <v>6.4</v>
      </c>
      <c r="I76" s="13">
        <f t="shared" si="1"/>
        <v>3993.6000000000004</v>
      </c>
      <c r="J76" s="13">
        <v>50</v>
      </c>
      <c r="K76" s="320">
        <f t="shared" si="3"/>
        <v>0.48231884057971025</v>
      </c>
      <c r="L76" s="322">
        <f t="shared" si="4"/>
        <v>0.19968000000000002</v>
      </c>
    </row>
    <row r="77" spans="2:12" ht="26.25">
      <c r="B77" s="335" t="s">
        <v>206</v>
      </c>
      <c r="C77" s="336" t="s">
        <v>281</v>
      </c>
      <c r="D77" s="337" t="s">
        <v>1325</v>
      </c>
      <c r="E77" s="338">
        <v>3</v>
      </c>
      <c r="F77" s="339" t="s">
        <v>208</v>
      </c>
      <c r="G77" s="340">
        <v>120</v>
      </c>
      <c r="H77" s="341">
        <v>0.5</v>
      </c>
      <c r="I77" s="13">
        <f t="shared" si="1"/>
        <v>3120</v>
      </c>
      <c r="J77" s="13">
        <v>50</v>
      </c>
      <c r="K77" s="320">
        <f t="shared" si="3"/>
        <v>0.37681159420289856</v>
      </c>
      <c r="L77" s="322">
        <f t="shared" si="4"/>
        <v>0.156</v>
      </c>
    </row>
    <row r="78" spans="2:12" ht="26.25">
      <c r="B78" s="335" t="s">
        <v>301</v>
      </c>
      <c r="C78" s="336" t="s">
        <v>302</v>
      </c>
      <c r="D78" s="337" t="s">
        <v>1325</v>
      </c>
      <c r="E78" s="338">
        <v>0.5</v>
      </c>
      <c r="F78" s="343" t="s">
        <v>250</v>
      </c>
      <c r="G78" s="340">
        <v>20</v>
      </c>
      <c r="H78" s="341">
        <v>2</v>
      </c>
      <c r="I78" s="13">
        <f t="shared" si="1"/>
        <v>2080</v>
      </c>
      <c r="J78" s="13">
        <v>50</v>
      </c>
      <c r="K78" s="320">
        <f t="shared" si="3"/>
        <v>0.25120772946859904</v>
      </c>
      <c r="L78" s="322">
        <f t="shared" si="4"/>
        <v>0.104</v>
      </c>
    </row>
    <row r="79" spans="2:12" ht="39">
      <c r="B79" s="335" t="s">
        <v>303</v>
      </c>
      <c r="C79" s="336" t="s">
        <v>304</v>
      </c>
      <c r="D79" s="337" t="s">
        <v>1325</v>
      </c>
      <c r="E79" s="338"/>
      <c r="F79" s="339" t="s">
        <v>305</v>
      </c>
      <c r="G79" s="340">
        <v>6</v>
      </c>
      <c r="H79" s="341">
        <v>5.2</v>
      </c>
      <c r="I79" s="13">
        <f t="shared" si="1"/>
        <v>1622.4</v>
      </c>
      <c r="J79" s="13">
        <v>50</v>
      </c>
      <c r="K79" s="320">
        <f t="shared" si="3"/>
        <v>0.19594202898550725</v>
      </c>
      <c r="L79" s="322">
        <f t="shared" si="4"/>
        <v>0.08112</v>
      </c>
    </row>
    <row r="80" spans="2:12" ht="26.25">
      <c r="B80" s="335" t="s">
        <v>306</v>
      </c>
      <c r="C80" s="340" t="s">
        <v>285</v>
      </c>
      <c r="D80" s="337" t="s">
        <v>1325</v>
      </c>
      <c r="E80" s="338">
        <v>1</v>
      </c>
      <c r="F80" s="339" t="s">
        <v>215</v>
      </c>
      <c r="G80" s="340">
        <v>5</v>
      </c>
      <c r="H80" s="341">
        <v>6</v>
      </c>
      <c r="I80" s="13">
        <f t="shared" si="1"/>
        <v>1560</v>
      </c>
      <c r="J80" s="13">
        <v>50</v>
      </c>
      <c r="K80" s="320">
        <f t="shared" si="3"/>
        <v>0.18840579710144928</v>
      </c>
      <c r="L80" s="322">
        <f t="shared" si="4"/>
        <v>0.078</v>
      </c>
    </row>
    <row r="81" spans="2:12" ht="39">
      <c r="B81" s="335" t="s">
        <v>307</v>
      </c>
      <c r="C81" s="336" t="s">
        <v>308</v>
      </c>
      <c r="D81" s="337" t="s">
        <v>1325</v>
      </c>
      <c r="E81" s="338"/>
      <c r="F81" s="339" t="s">
        <v>255</v>
      </c>
      <c r="G81" s="340">
        <v>7</v>
      </c>
      <c r="H81" s="341">
        <v>4</v>
      </c>
      <c r="I81" s="13">
        <f t="shared" si="1"/>
        <v>1456</v>
      </c>
      <c r="J81" s="13">
        <v>50</v>
      </c>
      <c r="K81" s="320">
        <f t="shared" si="3"/>
        <v>0.17584541062801934</v>
      </c>
      <c r="L81" s="322">
        <f t="shared" si="4"/>
        <v>0.0728</v>
      </c>
    </row>
    <row r="82" spans="2:12" ht="26.25">
      <c r="B82" s="335" t="s">
        <v>309</v>
      </c>
      <c r="C82" s="336" t="s">
        <v>304</v>
      </c>
      <c r="D82" s="337" t="s">
        <v>1325</v>
      </c>
      <c r="E82" s="338"/>
      <c r="F82" s="339" t="s">
        <v>215</v>
      </c>
      <c r="G82" s="340">
        <v>4</v>
      </c>
      <c r="H82" s="341">
        <v>5.2</v>
      </c>
      <c r="I82" s="13">
        <f t="shared" si="1"/>
        <v>1081.6000000000001</v>
      </c>
      <c r="J82" s="13">
        <v>50</v>
      </c>
      <c r="K82" s="320">
        <f t="shared" si="3"/>
        <v>0.13062801932367152</v>
      </c>
      <c r="L82" s="322">
        <f t="shared" si="4"/>
        <v>0.05408000000000001</v>
      </c>
    </row>
    <row r="83" spans="2:12" ht="26.25">
      <c r="B83" s="335" t="s">
        <v>246</v>
      </c>
      <c r="C83" s="336" t="s">
        <v>241</v>
      </c>
      <c r="D83" s="337" t="s">
        <v>1325</v>
      </c>
      <c r="E83" s="338">
        <v>0.1</v>
      </c>
      <c r="F83" s="339" t="s">
        <v>208</v>
      </c>
      <c r="G83" s="340">
        <v>4</v>
      </c>
      <c r="H83" s="341">
        <v>4</v>
      </c>
      <c r="I83" s="13">
        <f t="shared" si="1"/>
        <v>832</v>
      </c>
      <c r="J83" s="13">
        <v>50</v>
      </c>
      <c r="K83" s="320">
        <f t="shared" si="3"/>
        <v>0.10048309178743961</v>
      </c>
      <c r="L83" s="322">
        <f t="shared" si="4"/>
        <v>0.0416</v>
      </c>
    </row>
    <row r="84" spans="2:12" ht="26.25">
      <c r="B84" s="335" t="s">
        <v>246</v>
      </c>
      <c r="C84" s="336" t="s">
        <v>228</v>
      </c>
      <c r="D84" s="337" t="s">
        <v>1325</v>
      </c>
      <c r="E84" s="338">
        <v>0.05</v>
      </c>
      <c r="F84" s="339" t="s">
        <v>208</v>
      </c>
      <c r="G84" s="340">
        <v>2</v>
      </c>
      <c r="H84" s="341">
        <v>3.6</v>
      </c>
      <c r="I84" s="13">
        <f t="shared" si="1"/>
        <v>374.40000000000003</v>
      </c>
      <c r="J84" s="13">
        <v>50</v>
      </c>
      <c r="K84" s="320">
        <f t="shared" si="3"/>
        <v>0.04521739130434783</v>
      </c>
      <c r="L84" s="322">
        <f t="shared" si="4"/>
        <v>0.01872</v>
      </c>
    </row>
    <row r="85" spans="2:12" ht="15">
      <c r="B85" s="345"/>
      <c r="C85" s="341"/>
      <c r="D85" s="341"/>
      <c r="E85" s="341"/>
      <c r="F85" s="341"/>
      <c r="G85" s="341"/>
      <c r="H85" s="341"/>
      <c r="I85" s="13"/>
      <c r="J85" s="13"/>
      <c r="K85" s="320">
        <f t="shared" si="3"/>
        <v>0</v>
      </c>
      <c r="L85" s="322"/>
    </row>
    <row r="86" spans="2:12" ht="15">
      <c r="B86" s="345"/>
      <c r="C86" s="341"/>
      <c r="D86" s="337"/>
      <c r="E86" s="341"/>
      <c r="F86" s="341"/>
      <c r="G86" s="346">
        <f>SUM(G23:G84)</f>
        <v>11312</v>
      </c>
      <c r="H86" s="341" t="s">
        <v>733</v>
      </c>
      <c r="I86" s="312">
        <f>SUM(I23:I84)</f>
        <v>2435030</v>
      </c>
      <c r="J86" s="13"/>
      <c r="K86" s="320">
        <f t="shared" si="3"/>
        <v>663.3064734299513</v>
      </c>
      <c r="L86" s="322">
        <f>SUM(L23:L84)</f>
        <v>274.60887999999983</v>
      </c>
    </row>
    <row r="87" spans="2:12" ht="15">
      <c r="B87" s="347"/>
      <c r="C87" s="348"/>
      <c r="D87" s="348"/>
      <c r="E87" s="348"/>
      <c r="F87" s="348"/>
      <c r="G87" s="348"/>
      <c r="H87" s="348"/>
      <c r="I87" s="313"/>
      <c r="J87" s="313"/>
      <c r="K87" s="320">
        <f t="shared" si="3"/>
        <v>0</v>
      </c>
      <c r="L87" s="323"/>
    </row>
    <row r="88" spans="2:12" ht="15">
      <c r="B88" s="347"/>
      <c r="C88" s="348"/>
      <c r="D88" s="348"/>
      <c r="E88" s="348"/>
      <c r="F88" s="348"/>
      <c r="G88" s="348"/>
      <c r="H88" s="348"/>
      <c r="I88" s="313"/>
      <c r="J88" s="313"/>
      <c r="K88" s="320">
        <f>L88/0.414</f>
        <v>0</v>
      </c>
      <c r="L88" s="323"/>
    </row>
    <row r="89" spans="2:12" ht="39">
      <c r="B89" s="335" t="s">
        <v>310</v>
      </c>
      <c r="C89" s="336" t="s">
        <v>311</v>
      </c>
      <c r="D89" s="337" t="s">
        <v>1325</v>
      </c>
      <c r="E89" s="338">
        <v>0.05</v>
      </c>
      <c r="F89" s="339" t="s">
        <v>208</v>
      </c>
      <c r="G89" s="340">
        <v>550</v>
      </c>
      <c r="H89" s="341">
        <v>0.3</v>
      </c>
      <c r="I89" s="13">
        <f>(G89*52*H89)</f>
        <v>8580</v>
      </c>
      <c r="J89" s="13">
        <v>50</v>
      </c>
      <c r="K89" s="320">
        <f>L89/0.414</f>
        <v>1.036231884057971</v>
      </c>
      <c r="L89" s="322">
        <f>(G89*52*H89*J89/1000000)</f>
        <v>0.429</v>
      </c>
    </row>
    <row r="90" spans="2:12" ht="39">
      <c r="B90" s="335" t="s">
        <v>310</v>
      </c>
      <c r="C90" s="348" t="s">
        <v>312</v>
      </c>
      <c r="D90" s="337" t="s">
        <v>1325</v>
      </c>
      <c r="E90" s="338">
        <v>0.05</v>
      </c>
      <c r="F90" s="339" t="s">
        <v>313</v>
      </c>
      <c r="G90" s="340">
        <v>5400</v>
      </c>
      <c r="H90" s="341">
        <v>0.3</v>
      </c>
      <c r="I90" s="13">
        <f>(G90*52*H90)</f>
        <v>84240</v>
      </c>
      <c r="J90" s="13">
        <v>5</v>
      </c>
      <c r="K90" s="320">
        <f>L90/0.414</f>
        <v>1.0173913043478262</v>
      </c>
      <c r="L90" s="322">
        <f>(G90*52*H90*J90/1000000)</f>
        <v>0.4212</v>
      </c>
    </row>
    <row r="91" spans="2:12" ht="39">
      <c r="B91" s="335" t="s">
        <v>310</v>
      </c>
      <c r="C91" s="348" t="s">
        <v>314</v>
      </c>
      <c r="D91" s="337" t="s">
        <v>1325</v>
      </c>
      <c r="E91" s="338">
        <v>0.05</v>
      </c>
      <c r="F91" s="339" t="s">
        <v>208</v>
      </c>
      <c r="G91" s="340">
        <v>200</v>
      </c>
      <c r="H91" s="341">
        <v>0.3</v>
      </c>
      <c r="I91" s="13">
        <f>(G91*52*H91)</f>
        <v>3120</v>
      </c>
      <c r="J91" s="13">
        <v>1000</v>
      </c>
      <c r="K91" s="320">
        <f>L91/0.414</f>
        <v>7.536231884057972</v>
      </c>
      <c r="L91" s="322">
        <f>(G91*52*H91*J91/1000000)</f>
        <v>3.12</v>
      </c>
    </row>
    <row r="92" spans="2:12" ht="39.75" thickBot="1">
      <c r="B92" s="349" t="s">
        <v>310</v>
      </c>
      <c r="C92" s="350" t="s">
        <v>315</v>
      </c>
      <c r="D92" s="351" t="s">
        <v>1325</v>
      </c>
      <c r="E92" s="352">
        <v>0.05</v>
      </c>
      <c r="F92" s="353" t="s">
        <v>208</v>
      </c>
      <c r="G92" s="354">
        <v>0</v>
      </c>
      <c r="H92" s="355">
        <v>0.3</v>
      </c>
      <c r="I92" s="314">
        <f>(G92*52*H92)</f>
        <v>0</v>
      </c>
      <c r="J92" s="314">
        <v>0</v>
      </c>
      <c r="K92" s="320">
        <f>L92/0.414</f>
        <v>0</v>
      </c>
      <c r="L92" s="324">
        <f>(G92*52*H92*J92/1000000)</f>
        <v>0</v>
      </c>
    </row>
  </sheetData>
  <sheetProtection/>
  <mergeCells count="2">
    <mergeCell ref="K2:M2"/>
    <mergeCell ref="E2:G2"/>
  </mergeCells>
  <printOptions/>
  <pageMargins left="0.75" right="0.75" top="1" bottom="1" header="0.5" footer="0.5"/>
  <pageSetup horizontalDpi="600" verticalDpi="600" orientation="portrait" paperSize="9"/>
  <legacyDrawing r:id="rId2"/>
</worksheet>
</file>

<file path=xl/worksheets/sheet11.xml><?xml version="1.0" encoding="utf-8"?>
<worksheet xmlns="http://schemas.openxmlformats.org/spreadsheetml/2006/main" xmlns:r="http://schemas.openxmlformats.org/officeDocument/2006/relationships">
  <dimension ref="A1:Q50"/>
  <sheetViews>
    <sheetView zoomScalePageLayoutView="0" workbookViewId="0" topLeftCell="A1">
      <selection activeCell="E2" sqref="E2:G2"/>
    </sheetView>
  </sheetViews>
  <sheetFormatPr defaultColWidth="9.00390625" defaultRowHeight="14.25"/>
  <cols>
    <col min="1" max="1" width="12.625" style="0" customWidth="1"/>
    <col min="3" max="3" width="11.75390625" style="0" customWidth="1"/>
    <col min="4" max="4" width="9.50390625" style="0" customWidth="1"/>
    <col min="6" max="6" width="9.875" style="0" customWidth="1"/>
    <col min="7" max="7" width="10.00390625" style="0" customWidth="1"/>
    <col min="8" max="8" width="10.50390625" style="0" customWidth="1"/>
    <col min="9" max="9" width="10.75390625" style="0" customWidth="1"/>
    <col min="16" max="16" width="11.625" style="0" customWidth="1"/>
    <col min="17" max="17" width="9.75390625" style="0" customWidth="1"/>
  </cols>
  <sheetData>
    <row r="1" ht="15">
      <c r="D1" s="461"/>
    </row>
    <row r="2" spans="2:8" ht="15">
      <c r="B2" s="10" t="s">
        <v>1275</v>
      </c>
      <c r="D2" s="473">
        <v>2009</v>
      </c>
      <c r="E2" s="757" t="s">
        <v>1036</v>
      </c>
      <c r="F2" s="757"/>
      <c r="G2" s="757"/>
      <c r="H2" t="s">
        <v>6</v>
      </c>
    </row>
    <row r="3" spans="2:9" ht="15">
      <c r="B3" s="34"/>
      <c r="D3" s="473">
        <f>Production!E20</f>
        <v>2359374</v>
      </c>
      <c r="E3" s="12" t="s">
        <v>632</v>
      </c>
      <c r="F3" s="12" t="s">
        <v>633</v>
      </c>
      <c r="G3" s="12" t="s">
        <v>634</v>
      </c>
      <c r="H3" s="284">
        <f>15000000/537213</f>
        <v>27.921885732474827</v>
      </c>
      <c r="I3" s="445" t="s">
        <v>987</v>
      </c>
    </row>
    <row r="4" spans="3:8" ht="15">
      <c r="C4" t="s">
        <v>597</v>
      </c>
      <c r="E4" s="464">
        <f>(100/D3*1000000)</f>
        <v>42.384123924396896</v>
      </c>
      <c r="F4" s="464">
        <f>90/D3*1000000</f>
        <v>38.145711531957204</v>
      </c>
      <c r="G4" s="464">
        <f>10/D3*1000000</f>
        <v>4.23841239243969</v>
      </c>
      <c r="H4" s="32" t="s">
        <v>988</v>
      </c>
    </row>
    <row r="5" spans="5:8" ht="15">
      <c r="E5" s="52"/>
      <c r="F5" s="52"/>
      <c r="G5" s="52"/>
      <c r="H5" s="32" t="s">
        <v>989</v>
      </c>
    </row>
    <row r="7" ht="15">
      <c r="H7" s="34"/>
    </row>
    <row r="8" spans="6:8" ht="15">
      <c r="F8" s="52"/>
      <c r="G8" s="52"/>
      <c r="H8" s="52"/>
    </row>
    <row r="12" ht="15">
      <c r="B12" s="34" t="s">
        <v>1030</v>
      </c>
    </row>
    <row r="13" spans="3:12" ht="14.25">
      <c r="C13" s="416"/>
      <c r="D13" s="417" t="s">
        <v>848</v>
      </c>
      <c r="E13" s="417" t="s">
        <v>849</v>
      </c>
      <c r="F13" s="417" t="s">
        <v>850</v>
      </c>
      <c r="G13" s="417" t="s">
        <v>851</v>
      </c>
      <c r="H13" s="18"/>
      <c r="I13" s="18"/>
      <c r="J13" s="18"/>
      <c r="K13" s="18"/>
      <c r="L13" s="18"/>
    </row>
    <row r="14" spans="3:12" ht="14.25">
      <c r="C14" s="418" t="s">
        <v>852</v>
      </c>
      <c r="D14" s="419" t="s">
        <v>853</v>
      </c>
      <c r="E14" s="419" t="s">
        <v>854</v>
      </c>
      <c r="F14" s="419" t="s">
        <v>855</v>
      </c>
      <c r="G14" s="419" t="s">
        <v>856</v>
      </c>
      <c r="H14" s="419" t="s">
        <v>857</v>
      </c>
      <c r="I14" s="419" t="s">
        <v>858</v>
      </c>
      <c r="J14" s="420" t="s">
        <v>859</v>
      </c>
      <c r="K14" s="18"/>
      <c r="L14" s="18"/>
    </row>
    <row r="15" spans="3:12" ht="14.25">
      <c r="C15" s="418" t="s">
        <v>733</v>
      </c>
      <c r="D15" s="417">
        <v>485164.0575828999</v>
      </c>
      <c r="E15" s="417">
        <v>366646.739530202</v>
      </c>
      <c r="F15" s="417">
        <v>751671.1167253088</v>
      </c>
      <c r="G15" s="417">
        <v>661472.301072795</v>
      </c>
      <c r="H15" s="421">
        <v>518361.51611328125</v>
      </c>
      <c r="I15" s="421">
        <v>526908.3393554688</v>
      </c>
      <c r="J15" s="420">
        <v>3310224.0703799557</v>
      </c>
      <c r="K15" s="18"/>
      <c r="L15" s="18"/>
    </row>
    <row r="16" spans="3:12" ht="14.25">
      <c r="C16" s="40" t="s">
        <v>860</v>
      </c>
      <c r="D16" s="417">
        <v>13546695.377333568</v>
      </c>
      <c r="E16" s="417">
        <v>10237468.365346761</v>
      </c>
      <c r="F16" s="417">
        <v>20988075.02960582</v>
      </c>
      <c r="G16" s="417">
        <v>18469554.005751766</v>
      </c>
      <c r="H16" s="421">
        <v>14473631.021027448</v>
      </c>
      <c r="I16" s="421">
        <v>14712274.442971468</v>
      </c>
      <c r="J16" s="420">
        <v>27.921885732474827</v>
      </c>
      <c r="K16" s="422" t="s">
        <v>861</v>
      </c>
      <c r="L16" s="420"/>
    </row>
    <row r="17" spans="3:11" ht="15">
      <c r="C17" s="34" t="s">
        <v>862</v>
      </c>
      <c r="D17" s="423">
        <v>0.4295628924826727</v>
      </c>
      <c r="E17" s="423">
        <v>0.32462799230551626</v>
      </c>
      <c r="F17" s="423">
        <v>0.6655274933284443</v>
      </c>
      <c r="G17" s="423">
        <v>0.5856657155552945</v>
      </c>
      <c r="H17" s="423">
        <v>0.4589558289265425</v>
      </c>
      <c r="I17" s="423">
        <v>0.46652316219468126</v>
      </c>
      <c r="J17" s="423">
        <f>SUM(D16:I16)/1000000</f>
        <v>92.42769824203684</v>
      </c>
      <c r="K17" s="422" t="s">
        <v>865</v>
      </c>
    </row>
    <row r="18" spans="3:9" ht="14.25">
      <c r="C18" s="424" t="s">
        <v>863</v>
      </c>
      <c r="D18" s="425">
        <v>727</v>
      </c>
      <c r="E18" s="425">
        <v>735</v>
      </c>
      <c r="F18" s="425">
        <v>716</v>
      </c>
      <c r="G18" s="425">
        <v>711</v>
      </c>
      <c r="H18" s="425">
        <v>740</v>
      </c>
      <c r="I18" s="425">
        <v>745</v>
      </c>
    </row>
    <row r="29" ht="15">
      <c r="A29" s="34" t="s">
        <v>864</v>
      </c>
    </row>
    <row r="32" ht="14.25">
      <c r="C32" s="362" t="s">
        <v>130</v>
      </c>
    </row>
    <row r="33" ht="14.25">
      <c r="C33" s="362" t="s">
        <v>128</v>
      </c>
    </row>
    <row r="34" ht="14.25">
      <c r="C34" s="362" t="s">
        <v>129</v>
      </c>
    </row>
    <row r="37" spans="3:17" ht="15">
      <c r="C37" s="34" t="s">
        <v>139</v>
      </c>
      <c r="K37" t="s">
        <v>133</v>
      </c>
      <c r="L37" t="s">
        <v>633</v>
      </c>
      <c r="P37" s="10" t="s">
        <v>152</v>
      </c>
      <c r="Q37" s="10" t="s">
        <v>153</v>
      </c>
    </row>
    <row r="38" spans="3:17" ht="15">
      <c r="C38" s="34" t="s">
        <v>134</v>
      </c>
      <c r="K38" s="58" t="s">
        <v>132</v>
      </c>
      <c r="L38" t="s">
        <v>132</v>
      </c>
      <c r="M38" s="58" t="s">
        <v>1597</v>
      </c>
      <c r="P38" s="361">
        <f>(Production!E3+Production!E6+Production!E31+Production!E32)*K39/1000</f>
        <v>788.58318</v>
      </c>
      <c r="Q38" s="361">
        <f>(Production!E3+Production!E6+Production!E31+Production!E32)*L39/1000</f>
        <v>394.29159</v>
      </c>
    </row>
    <row r="39" spans="3:13" ht="14.25">
      <c r="C39" t="s">
        <v>131</v>
      </c>
      <c r="K39" s="58">
        <v>0.06</v>
      </c>
      <c r="L39">
        <v>0.03</v>
      </c>
      <c r="M39" t="s">
        <v>136</v>
      </c>
    </row>
    <row r="41" ht="15">
      <c r="C41" s="34" t="s">
        <v>138</v>
      </c>
    </row>
    <row r="42" ht="15">
      <c r="C42" s="34" t="s">
        <v>137</v>
      </c>
    </row>
    <row r="43" spans="3:13" ht="14.25">
      <c r="C43" t="s">
        <v>151</v>
      </c>
      <c r="K43" s="58">
        <v>0.011</v>
      </c>
      <c r="L43" t="s">
        <v>338</v>
      </c>
      <c r="M43" t="s">
        <v>135</v>
      </c>
    </row>
    <row r="45" ht="15">
      <c r="C45" s="34" t="s">
        <v>149</v>
      </c>
    </row>
    <row r="46" ht="14.25">
      <c r="C46" t="s">
        <v>142</v>
      </c>
    </row>
    <row r="47" ht="14.25">
      <c r="C47" t="s">
        <v>143</v>
      </c>
    </row>
    <row r="48" spans="3:17" ht="15">
      <c r="C48" t="s">
        <v>140</v>
      </c>
      <c r="K48" t="s">
        <v>144</v>
      </c>
      <c r="L48" t="s">
        <v>148</v>
      </c>
      <c r="M48" t="s">
        <v>147</v>
      </c>
      <c r="N48" t="s">
        <v>146</v>
      </c>
      <c r="O48" t="s">
        <v>145</v>
      </c>
      <c r="P48" s="10" t="s">
        <v>152</v>
      </c>
      <c r="Q48" s="10" t="s">
        <v>153</v>
      </c>
    </row>
    <row r="49" spans="3:17" ht="15">
      <c r="C49" t="s">
        <v>150</v>
      </c>
      <c r="K49" s="58">
        <v>13</v>
      </c>
      <c r="L49">
        <v>9</v>
      </c>
      <c r="M49">
        <v>6.5</v>
      </c>
      <c r="N49">
        <v>4.2</v>
      </c>
      <c r="O49">
        <v>2.3</v>
      </c>
      <c r="P49" s="361">
        <f>(Production!E3+Production!E6+Production!E31+Production!E32)*K49/1000000</f>
        <v>170.859689</v>
      </c>
      <c r="Q49" s="361">
        <f>(Production!E3+Production!E6+Production!E31+Production!E32)*M49/1000000</f>
        <v>85.4298445</v>
      </c>
    </row>
    <row r="50" spans="11:15" ht="14.25">
      <c r="K50" s="58" t="s">
        <v>141</v>
      </c>
      <c r="L50" s="58" t="s">
        <v>141</v>
      </c>
      <c r="M50" s="58" t="s">
        <v>141</v>
      </c>
      <c r="N50" s="58" t="s">
        <v>141</v>
      </c>
      <c r="O50" s="58" t="s">
        <v>141</v>
      </c>
    </row>
  </sheetData>
  <sheetProtection/>
  <mergeCells count="1">
    <mergeCell ref="E2:G2"/>
  </mergeCells>
  <printOptions/>
  <pageMargins left="0.75" right="0.75" top="1" bottom="1" header="0.5" footer="0.5"/>
  <pageSetup horizontalDpi="600" verticalDpi="600" orientation="portrait" paperSize="9"/>
  <legacyDrawing r:id="rId2"/>
</worksheet>
</file>

<file path=xl/worksheets/sheet12.xml><?xml version="1.0" encoding="utf-8"?>
<worksheet xmlns="http://schemas.openxmlformats.org/spreadsheetml/2006/main" xmlns:r="http://schemas.openxmlformats.org/officeDocument/2006/relationships">
  <dimension ref="B1:P43"/>
  <sheetViews>
    <sheetView zoomScalePageLayoutView="0" workbookViewId="0" topLeftCell="A1">
      <selection activeCell="E19" sqref="E19"/>
    </sheetView>
  </sheetViews>
  <sheetFormatPr defaultColWidth="9.00390625" defaultRowHeight="14.25"/>
  <cols>
    <col min="4" max="4" width="10.00390625" style="0" customWidth="1"/>
  </cols>
  <sheetData>
    <row r="1" ht="14.25">
      <c r="H1" s="58" t="s">
        <v>8</v>
      </c>
    </row>
    <row r="2" spans="2:8" ht="15">
      <c r="B2" s="10" t="s">
        <v>1276</v>
      </c>
      <c r="E2" s="758" t="s">
        <v>749</v>
      </c>
      <c r="F2" s="758"/>
      <c r="G2" s="758"/>
      <c r="H2" s="58" t="s">
        <v>7</v>
      </c>
    </row>
    <row r="3" spans="5:8" ht="14.25">
      <c r="E3" s="12" t="s">
        <v>632</v>
      </c>
      <c r="F3" s="12" t="s">
        <v>633</v>
      </c>
      <c r="G3" s="12" t="s">
        <v>634</v>
      </c>
      <c r="H3" s="364" t="s">
        <v>9</v>
      </c>
    </row>
    <row r="4" spans="3:7" ht="14.25">
      <c r="C4" t="s">
        <v>752</v>
      </c>
      <c r="E4" s="50">
        <f>((0.47+1.56+0.91)*60*60*24*365)/1000000</f>
        <v>92.71584000000001</v>
      </c>
      <c r="F4" s="50">
        <f>((1.56+0.47)*60*60*24*365)/1000000</f>
        <v>64.01808000000001</v>
      </c>
      <c r="G4" s="50">
        <f>(0.47*60*60*24*365)/1000000</f>
        <v>14.82192</v>
      </c>
    </row>
    <row r="5" spans="3:7" ht="14.25">
      <c r="C5" t="s">
        <v>753</v>
      </c>
      <c r="E5" s="28">
        <f>F5*(E22/F22)</f>
        <v>33.97154953846153</v>
      </c>
      <c r="F5" s="50">
        <f>(0.72*60*60*24*365)/1000000</f>
        <v>22.705919999999995</v>
      </c>
      <c r="G5" s="28">
        <f>E5*(G22/E22)</f>
        <v>5.501819076923075</v>
      </c>
    </row>
    <row r="6" spans="3:7" ht="14.25">
      <c r="C6" t="s">
        <v>246</v>
      </c>
      <c r="E6" s="28"/>
      <c r="F6" s="50"/>
      <c r="G6" s="28"/>
    </row>
    <row r="7" spans="3:7" ht="14.25">
      <c r="C7" t="s">
        <v>285</v>
      </c>
      <c r="E7" s="28"/>
      <c r="F7" s="50"/>
      <c r="G7" s="28"/>
    </row>
    <row r="8" spans="3:7" ht="14.25">
      <c r="C8" t="s">
        <v>10</v>
      </c>
      <c r="E8" s="13"/>
      <c r="F8" s="13"/>
      <c r="G8" s="13"/>
    </row>
    <row r="9" spans="3:7" ht="14.25">
      <c r="C9" t="s">
        <v>11</v>
      </c>
      <c r="E9" s="28">
        <f>F9*(E22/F22)</f>
        <v>73.60502400000001</v>
      </c>
      <c r="F9" s="50">
        <f>(1.56*60*60*24*365)/1000000</f>
        <v>49.196160000000006</v>
      </c>
      <c r="G9" s="28">
        <f>E9*(G22/E22)</f>
        <v>11.920608000000001</v>
      </c>
    </row>
    <row r="11" spans="4:7" ht="15">
      <c r="D11" s="463" t="s">
        <v>577</v>
      </c>
      <c r="E11" s="757" t="s">
        <v>1036</v>
      </c>
      <c r="F11" s="757"/>
      <c r="G11" s="757"/>
    </row>
    <row r="12" spans="4:7" ht="15">
      <c r="D12" s="473">
        <f>Production!C21</f>
        <v>3813756</v>
      </c>
      <c r="E12" s="12" t="s">
        <v>632</v>
      </c>
      <c r="F12" s="12" t="s">
        <v>633</v>
      </c>
      <c r="G12" s="12" t="s">
        <v>634</v>
      </c>
    </row>
    <row r="13" spans="3:8" ht="14.25">
      <c r="C13" t="s">
        <v>752</v>
      </c>
      <c r="E13" s="464">
        <f>150/D12*1000000</f>
        <v>39.33130488683597</v>
      </c>
      <c r="F13" s="464">
        <f>(E13*F23)/D12*1000000</f>
        <v>6.8930145923963035</v>
      </c>
      <c r="G13" s="464">
        <f>(E13*G23)/D12*1000000</f>
        <v>1.6702304589267962</v>
      </c>
      <c r="H13" t="s">
        <v>1027</v>
      </c>
    </row>
    <row r="14" spans="3:8" ht="14.25">
      <c r="C14" t="s">
        <v>753</v>
      </c>
      <c r="E14" s="464">
        <f>40/D12*1000000</f>
        <v>10.488347969822925</v>
      </c>
      <c r="F14" s="464">
        <f>(E14*F23)/D12*1000000</f>
        <v>1.838137224639014</v>
      </c>
      <c r="G14" s="475">
        <f>(E14*G23)/D12*1000000</f>
        <v>0.44539478904714563</v>
      </c>
      <c r="H14" t="s">
        <v>1027</v>
      </c>
    </row>
    <row r="15" spans="3:8" ht="14.25">
      <c r="C15" t="s">
        <v>246</v>
      </c>
      <c r="E15" s="475"/>
      <c r="F15" s="464"/>
      <c r="G15" s="475"/>
      <c r="H15" t="s">
        <v>1028</v>
      </c>
    </row>
    <row r="16" spans="3:8" ht="14.25">
      <c r="C16" t="s">
        <v>285</v>
      </c>
      <c r="E16" s="475"/>
      <c r="F16" s="464"/>
      <c r="G16" s="475"/>
      <c r="H16" t="s">
        <v>1028</v>
      </c>
    </row>
    <row r="17" spans="3:8" ht="14.25">
      <c r="C17" t="s">
        <v>10</v>
      </c>
      <c r="E17" s="476"/>
      <c r="F17" s="476"/>
      <c r="G17" s="476"/>
      <c r="H17" t="s">
        <v>1028</v>
      </c>
    </row>
    <row r="18" spans="3:8" ht="14.25">
      <c r="C18" t="s">
        <v>11</v>
      </c>
      <c r="E18" s="475">
        <f>F18*(E22/F22)</f>
        <v>19.299877600979194</v>
      </c>
      <c r="F18" s="464">
        <f>((1.56*60*60*24*365)/1000000)/D12*1000000</f>
        <v>12.899661121477095</v>
      </c>
      <c r="G18" s="475">
        <f>E18*(G22/E22)</f>
        <v>3.125687117896373</v>
      </c>
      <c r="H18" t="s">
        <v>1026</v>
      </c>
    </row>
    <row r="19" spans="3:7" ht="15">
      <c r="C19" t="s">
        <v>733</v>
      </c>
      <c r="E19" s="465">
        <f>SUM(E13:E18)</f>
        <v>69.11953045763809</v>
      </c>
      <c r="F19" s="465">
        <f>SUM(F13:F18)</f>
        <v>21.630812938512413</v>
      </c>
      <c r="G19" s="465">
        <f>SUM(G13:G18)</f>
        <v>5.241312365870315</v>
      </c>
    </row>
    <row r="20" spans="5:7" ht="14.25">
      <c r="E20" s="20"/>
      <c r="F20" s="20">
        <f>E5*F23</f>
        <v>22.705919999999995</v>
      </c>
      <c r="G20" s="19">
        <f>E5*G23</f>
        <v>5.501819076923075</v>
      </c>
    </row>
    <row r="21" spans="5:7" ht="14.25">
      <c r="E21" s="20"/>
      <c r="F21" s="20"/>
      <c r="G21" s="20"/>
    </row>
    <row r="22" spans="3:7" ht="14.25">
      <c r="C22" t="s">
        <v>1266</v>
      </c>
      <c r="E22" s="20">
        <v>389</v>
      </c>
      <c r="F22" s="20">
        <v>260</v>
      </c>
      <c r="G22" s="20">
        <v>63</v>
      </c>
    </row>
    <row r="23" spans="3:7" ht="14.25">
      <c r="C23" t="s">
        <v>1261</v>
      </c>
      <c r="E23" s="36">
        <f>E22/E22</f>
        <v>1</v>
      </c>
      <c r="F23" s="36">
        <f>F22/E22</f>
        <v>0.6683804627249358</v>
      </c>
      <c r="G23" s="36">
        <f>G22/E22</f>
        <v>0.16195372750642673</v>
      </c>
    </row>
    <row r="32" spans="2:16" ht="15">
      <c r="B32" s="34" t="s">
        <v>139</v>
      </c>
      <c r="J32" t="s">
        <v>133</v>
      </c>
      <c r="K32" t="s">
        <v>633</v>
      </c>
      <c r="O32" s="10" t="s">
        <v>152</v>
      </c>
      <c r="P32" s="10" t="s">
        <v>153</v>
      </c>
    </row>
    <row r="33" spans="2:16" ht="15">
      <c r="B33" s="34" t="s">
        <v>134</v>
      </c>
      <c r="J33" s="58" t="s">
        <v>132</v>
      </c>
      <c r="K33" t="s">
        <v>132</v>
      </c>
      <c r="L33" s="58" t="s">
        <v>1597</v>
      </c>
      <c r="O33" s="361">
        <f>(Production!D9+Production!D10+Production!D35+Production!D36)*J34/1000</f>
        <v>240</v>
      </c>
      <c r="P33" s="361">
        <f>(Production!D9+Production!D10+Production!D35+Production!D36)*K34/1000</f>
        <v>120</v>
      </c>
    </row>
    <row r="34" spans="2:12" ht="14.25">
      <c r="B34" t="s">
        <v>131</v>
      </c>
      <c r="J34" s="58">
        <v>0.06</v>
      </c>
      <c r="K34">
        <v>0.03</v>
      </c>
      <c r="L34" t="s">
        <v>136</v>
      </c>
    </row>
    <row r="36" ht="15">
      <c r="B36" s="34" t="s">
        <v>0</v>
      </c>
    </row>
    <row r="37" ht="14.25">
      <c r="B37" t="s">
        <v>142</v>
      </c>
    </row>
    <row r="38" spans="2:14" ht="14.25">
      <c r="B38" t="s">
        <v>143</v>
      </c>
      <c r="J38" s="58" t="s">
        <v>141</v>
      </c>
      <c r="K38" s="58" t="s">
        <v>141</v>
      </c>
      <c r="L38" s="58" t="s">
        <v>141</v>
      </c>
      <c r="M38" s="58" t="s">
        <v>141</v>
      </c>
      <c r="N38" s="58" t="s">
        <v>141</v>
      </c>
    </row>
    <row r="39" spans="2:16" ht="15">
      <c r="B39" t="s">
        <v>140</v>
      </c>
      <c r="J39" t="s">
        <v>144</v>
      </c>
      <c r="K39" t="s">
        <v>148</v>
      </c>
      <c r="L39" t="s">
        <v>147</v>
      </c>
      <c r="M39" t="s">
        <v>146</v>
      </c>
      <c r="N39" t="s">
        <v>145</v>
      </c>
      <c r="O39" s="10" t="s">
        <v>152</v>
      </c>
      <c r="P39" s="10" t="s">
        <v>153</v>
      </c>
    </row>
    <row r="40" spans="2:16" ht="15">
      <c r="B40" t="s">
        <v>150</v>
      </c>
      <c r="J40" s="58">
        <v>13</v>
      </c>
      <c r="K40">
        <v>9</v>
      </c>
      <c r="L40">
        <v>6.5</v>
      </c>
      <c r="M40">
        <v>4.2</v>
      </c>
      <c r="N40">
        <v>2.3</v>
      </c>
      <c r="O40" s="361">
        <f>Production!E6*J40/1000000</f>
        <v>57.271695</v>
      </c>
      <c r="P40" s="361">
        <f>Production!E6*Stockyards!L40/1000000</f>
        <v>28.6358475</v>
      </c>
    </row>
    <row r="41" spans="2:14" ht="14.25">
      <c r="B41" t="s">
        <v>3</v>
      </c>
      <c r="J41">
        <v>1.2</v>
      </c>
      <c r="K41">
        <v>0.75</v>
      </c>
      <c r="L41">
        <v>0.55</v>
      </c>
      <c r="M41">
        <v>0.32</v>
      </c>
      <c r="N41">
        <v>0.17</v>
      </c>
    </row>
    <row r="42" spans="2:16" ht="15">
      <c r="B42" t="s">
        <v>1</v>
      </c>
      <c r="J42">
        <v>0.15</v>
      </c>
      <c r="K42">
        <v>0.095</v>
      </c>
      <c r="L42">
        <v>0.075</v>
      </c>
      <c r="M42">
        <v>0.04</v>
      </c>
      <c r="N42">
        <v>0.022</v>
      </c>
      <c r="O42" s="361">
        <f>Production!E31*J41/1000000</f>
        <v>6.8188884</v>
      </c>
      <c r="P42" s="361">
        <f>Production!E31*Stockyards!L41/1000000</f>
        <v>3.12532385</v>
      </c>
    </row>
    <row r="43" spans="2:16" ht="15">
      <c r="B43" t="s">
        <v>2</v>
      </c>
      <c r="J43">
        <v>0.055</v>
      </c>
      <c r="K43">
        <v>0.034</v>
      </c>
      <c r="L43">
        <v>0.026</v>
      </c>
      <c r="M43">
        <v>0.014</v>
      </c>
      <c r="N43">
        <v>0.0075</v>
      </c>
      <c r="O43" s="363">
        <f>Production!E32*J43/1000000</f>
        <v>0.11607123</v>
      </c>
      <c r="P43" s="363">
        <f>Production!E32*L43/1000000</f>
        <v>0.054870036</v>
      </c>
    </row>
  </sheetData>
  <sheetProtection/>
  <mergeCells count="2">
    <mergeCell ref="E2:G2"/>
    <mergeCell ref="E11:G11"/>
  </mergeCells>
  <printOptions/>
  <pageMargins left="0.75" right="0.75" top="1" bottom="1" header="0.5" footer="0.5"/>
  <pageSetup horizontalDpi="600" verticalDpi="600" orientation="portrait" paperSize="9"/>
  <legacyDrawing r:id="rId2"/>
</worksheet>
</file>

<file path=xl/worksheets/sheet13.xml><?xml version="1.0" encoding="utf-8"?>
<worksheet xmlns="http://schemas.openxmlformats.org/spreadsheetml/2006/main" xmlns:r="http://schemas.openxmlformats.org/officeDocument/2006/relationships">
  <dimension ref="B1:G14"/>
  <sheetViews>
    <sheetView zoomScalePageLayoutView="0" workbookViewId="0" topLeftCell="A1">
      <selection activeCell="E7" sqref="E7:G7"/>
    </sheetView>
  </sheetViews>
  <sheetFormatPr defaultColWidth="9.00390625" defaultRowHeight="14.25"/>
  <cols>
    <col min="3" max="3" width="30.375" style="0" customWidth="1"/>
    <col min="4" max="4" width="22.75390625" style="0" customWidth="1"/>
  </cols>
  <sheetData>
    <row r="1" ht="15">
      <c r="D1" s="466">
        <v>2013</v>
      </c>
    </row>
    <row r="2" spans="2:7" ht="15">
      <c r="B2" s="10" t="s">
        <v>1277</v>
      </c>
      <c r="D2" s="466" t="s">
        <v>1046</v>
      </c>
      <c r="E2" s="758" t="s">
        <v>749</v>
      </c>
      <c r="F2" s="758"/>
      <c r="G2" s="758"/>
    </row>
    <row r="3" spans="3:7" ht="15">
      <c r="C3" s="10" t="s">
        <v>597</v>
      </c>
      <c r="D3" s="466">
        <f>Production!I20+Production!I21</f>
        <v>6072747</v>
      </c>
      <c r="E3" s="12" t="s">
        <v>632</v>
      </c>
      <c r="F3" s="12" t="s">
        <v>633</v>
      </c>
      <c r="G3" s="12" t="s">
        <v>634</v>
      </c>
    </row>
    <row r="4" spans="2:7" ht="15">
      <c r="B4" s="10"/>
      <c r="C4" t="s">
        <v>1267</v>
      </c>
      <c r="D4" s="462"/>
      <c r="E4" s="12">
        <v>103</v>
      </c>
      <c r="F4" s="12">
        <v>69</v>
      </c>
      <c r="G4" s="12">
        <v>16</v>
      </c>
    </row>
    <row r="5" spans="2:7" ht="15">
      <c r="B5" s="10"/>
      <c r="C5" t="s">
        <v>1316</v>
      </c>
      <c r="D5" s="462"/>
      <c r="E5" s="12">
        <v>87</v>
      </c>
      <c r="F5" s="12">
        <v>58</v>
      </c>
      <c r="G5" s="12">
        <v>14</v>
      </c>
    </row>
    <row r="6" spans="2:7" ht="15">
      <c r="B6" s="10"/>
      <c r="C6" t="s">
        <v>1047</v>
      </c>
      <c r="D6" s="462"/>
      <c r="E6" s="50">
        <f>(E4+E5)/$D$3*1000000</f>
        <v>31.287323512736492</v>
      </c>
      <c r="F6" s="50">
        <f>(F4+F5)/$D$3*1000000</f>
        <v>20.91310571640808</v>
      </c>
      <c r="G6" s="50">
        <f>(G4+G5)/$D$3*1000000</f>
        <v>4.940103712537341</v>
      </c>
    </row>
    <row r="7" spans="2:7" ht="15">
      <c r="B7" s="10"/>
      <c r="D7" s="462"/>
      <c r="E7" s="757" t="s">
        <v>1036</v>
      </c>
      <c r="F7" s="757"/>
      <c r="G7" s="757"/>
    </row>
    <row r="8" spans="2:7" ht="15">
      <c r="B8" s="10"/>
      <c r="C8" t="s">
        <v>1268</v>
      </c>
      <c r="D8" s="462"/>
      <c r="E8" s="438">
        <f>E6</f>
        <v>31.287323512736492</v>
      </c>
      <c r="F8" s="438">
        <f>F6</f>
        <v>20.91310571640808</v>
      </c>
      <c r="G8" s="438">
        <f>G6</f>
        <v>4.940103712537341</v>
      </c>
    </row>
    <row r="9" spans="2:7" ht="15">
      <c r="B9" s="10"/>
      <c r="E9" s="68"/>
      <c r="F9" s="68"/>
      <c r="G9" s="68"/>
    </row>
    <row r="10" spans="3:7" ht="15">
      <c r="C10" s="454" t="s">
        <v>598</v>
      </c>
      <c r="D10" s="362"/>
      <c r="E10" s="777" t="s">
        <v>749</v>
      </c>
      <c r="F10" s="777"/>
      <c r="G10" s="777"/>
    </row>
    <row r="11" spans="2:7" ht="15">
      <c r="B11" s="10"/>
      <c r="C11" s="362" t="s">
        <v>1267</v>
      </c>
      <c r="D11" s="362"/>
      <c r="E11" s="470">
        <f>E4*(Production!$E$9/Production!$D$9)</f>
        <v>113.65789925</v>
      </c>
      <c r="F11" s="470">
        <f>F4*(Production!$E$9/Production!$D$9)</f>
        <v>76.13975775</v>
      </c>
      <c r="G11" s="470">
        <f>G4*(Production!$E$9/Production!$D$9)</f>
        <v>17.655596</v>
      </c>
    </row>
    <row r="12" spans="2:7" ht="15">
      <c r="B12" s="10"/>
      <c r="C12" s="362" t="s">
        <v>1316</v>
      </c>
      <c r="D12" s="362"/>
      <c r="E12" s="470">
        <f>E5*(Production!$E$9/Production!$D$9)</f>
        <v>96.00230325</v>
      </c>
      <c r="F12" s="470">
        <f>F5*(Production!$E$9/Production!$D$9)</f>
        <v>64.0015355</v>
      </c>
      <c r="G12" s="470">
        <f>G5*(Production!$E$9/Production!$D$9)</f>
        <v>15.448646499999999</v>
      </c>
    </row>
    <row r="13" spans="2:7" ht="15">
      <c r="B13" s="10"/>
      <c r="E13" s="9"/>
      <c r="F13" s="9"/>
      <c r="G13" s="9"/>
    </row>
    <row r="14" spans="2:7" ht="15">
      <c r="B14" s="10"/>
      <c r="E14" s="9"/>
      <c r="F14" s="129">
        <f>1000000*(F8/(8760*3600))</f>
        <v>0.6631502320017783</v>
      </c>
      <c r="G14" s="9" t="s">
        <v>818</v>
      </c>
    </row>
  </sheetData>
  <sheetProtection/>
  <mergeCells count="3">
    <mergeCell ref="E2:G2"/>
    <mergeCell ref="E10:G10"/>
    <mergeCell ref="E7:G7"/>
  </mergeCells>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B2:G10"/>
  <sheetViews>
    <sheetView tabSelected="1" zoomScalePageLayoutView="0" workbookViewId="0" topLeftCell="A1">
      <selection activeCell="I34" sqref="I34"/>
    </sheetView>
  </sheetViews>
  <sheetFormatPr defaultColWidth="9.00390625" defaultRowHeight="14.25"/>
  <cols>
    <col min="3" max="3" width="26.625" style="0" customWidth="1"/>
    <col min="4" max="4" width="17.50390625" style="0" customWidth="1"/>
  </cols>
  <sheetData>
    <row r="2" spans="2:7" ht="15">
      <c r="B2" s="10" t="s">
        <v>1549</v>
      </c>
      <c r="C2" s="313"/>
      <c r="D2" s="466" t="s">
        <v>577</v>
      </c>
      <c r="E2" s="757" t="s">
        <v>1036</v>
      </c>
      <c r="F2" s="757"/>
      <c r="G2" s="757"/>
    </row>
    <row r="3" spans="2:7" ht="15">
      <c r="B3" s="32" t="s">
        <v>1031</v>
      </c>
      <c r="C3" s="313"/>
      <c r="D3" s="477">
        <f>Production!C21</f>
        <v>3813756</v>
      </c>
      <c r="E3" s="12" t="s">
        <v>632</v>
      </c>
      <c r="F3" s="12" t="s">
        <v>633</v>
      </c>
      <c r="G3" s="12" t="s">
        <v>634</v>
      </c>
    </row>
    <row r="4" spans="2:7" ht="15">
      <c r="B4" s="10"/>
      <c r="C4" s="441" t="s">
        <v>1544</v>
      </c>
      <c r="E4" s="478">
        <f aca="true" t="shared" si="0" ref="E4:E9">F4*(100/67)</f>
        <v>36.00477661282497</v>
      </c>
      <c r="F4" s="478">
        <f>92/D3*1000000</f>
        <v>24.123200330592727</v>
      </c>
      <c r="G4" s="478">
        <f aca="true" t="shared" si="1" ref="G4:G9">E4*0.16</f>
        <v>5.760764258051995</v>
      </c>
    </row>
    <row r="5" spans="2:7" ht="15">
      <c r="B5" s="10"/>
      <c r="C5" s="441" t="s">
        <v>1545</v>
      </c>
      <c r="E5" s="478">
        <f t="shared" si="0"/>
        <v>30.525788867395082</v>
      </c>
      <c r="F5" s="478">
        <f>78/D3*1000000</f>
        <v>20.452278541154705</v>
      </c>
      <c r="G5" s="478">
        <f t="shared" si="1"/>
        <v>4.884126218783213</v>
      </c>
    </row>
    <row r="6" spans="2:7" ht="15">
      <c r="B6" s="10"/>
      <c r="C6" s="441" t="s">
        <v>1546</v>
      </c>
      <c r="E6" s="478">
        <f t="shared" si="0"/>
        <v>21.915950981719547</v>
      </c>
      <c r="F6" s="478">
        <f>56/D3*1000000</f>
        <v>14.683687157752095</v>
      </c>
      <c r="G6" s="478">
        <f t="shared" si="1"/>
        <v>3.5065521570751277</v>
      </c>
    </row>
    <row r="7" spans="2:7" ht="15">
      <c r="B7" s="10"/>
      <c r="C7" s="441" t="s">
        <v>1547</v>
      </c>
      <c r="E7" s="478">
        <f t="shared" si="0"/>
        <v>16.828319503820367</v>
      </c>
      <c r="F7" s="478">
        <f>43/D3*1000000</f>
        <v>11.274974067559645</v>
      </c>
      <c r="G7" s="478">
        <f t="shared" si="1"/>
        <v>2.692531120611259</v>
      </c>
    </row>
    <row r="8" spans="2:7" ht="15">
      <c r="B8" s="10"/>
      <c r="C8" s="441" t="s">
        <v>1548</v>
      </c>
      <c r="E8" s="478">
        <f t="shared" si="0"/>
        <v>10.566619223329067</v>
      </c>
      <c r="F8" s="478">
        <f>27/D3*1000000</f>
        <v>7.079634879630475</v>
      </c>
      <c r="G8" s="478">
        <f t="shared" si="1"/>
        <v>1.6906590757326507</v>
      </c>
    </row>
    <row r="9" spans="2:7" ht="15">
      <c r="B9" s="10"/>
      <c r="C9" s="441" t="s">
        <v>607</v>
      </c>
      <c r="E9" s="478">
        <f t="shared" si="0"/>
        <v>6.261700280491298</v>
      </c>
      <c r="F9" s="478">
        <f>16/D3*1000000</f>
        <v>4.19533918792917</v>
      </c>
      <c r="G9" s="478">
        <f t="shared" si="1"/>
        <v>1.0018720448786076</v>
      </c>
    </row>
    <row r="10" spans="2:7" ht="15">
      <c r="B10" s="10"/>
      <c r="D10" s="66" t="s">
        <v>733</v>
      </c>
      <c r="E10" s="474">
        <f>SUM(E4:E9)</f>
        <v>122.10315546958033</v>
      </c>
      <c r="F10" s="474">
        <f>SUM(F4:F9)</f>
        <v>81.80911416461882</v>
      </c>
      <c r="G10" s="474">
        <f>SUM(G4:G9)</f>
        <v>19.536504875132852</v>
      </c>
    </row>
  </sheetData>
  <sheetProtection/>
  <mergeCells count="1">
    <mergeCell ref="E2:G2"/>
  </mergeCells>
  <printOptions/>
  <pageMargins left="0.75" right="0.75" top="1" bottom="1" header="0.5" footer="0.5"/>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B5:J61"/>
  <sheetViews>
    <sheetView zoomScalePageLayoutView="0" workbookViewId="0" topLeftCell="A1">
      <selection activeCell="E6" sqref="E6:G6"/>
    </sheetView>
  </sheetViews>
  <sheetFormatPr defaultColWidth="9.00390625" defaultRowHeight="14.25"/>
  <cols>
    <col min="2" max="2" width="11.625" style="0" customWidth="1"/>
    <col min="3" max="3" width="10.375" style="0" bestFit="1" customWidth="1"/>
    <col min="4" max="4" width="16.375" style="0" customWidth="1"/>
    <col min="10" max="10" width="12.25390625" style="0" bestFit="1" customWidth="1"/>
  </cols>
  <sheetData>
    <row r="5" spans="2:7" ht="15">
      <c r="B5" s="10" t="s">
        <v>105</v>
      </c>
      <c r="E5" s="9"/>
      <c r="F5" s="9"/>
      <c r="G5" s="9"/>
    </row>
    <row r="6" spans="2:7" ht="15">
      <c r="B6" s="10"/>
      <c r="D6" s="466" t="s">
        <v>580</v>
      </c>
      <c r="E6" s="757" t="s">
        <v>1036</v>
      </c>
      <c r="F6" s="757"/>
      <c r="G6" s="757"/>
    </row>
    <row r="7" spans="2:7" ht="15">
      <c r="B7" s="10"/>
      <c r="D7" s="477">
        <f>Production!E20</f>
        <v>2359374</v>
      </c>
      <c r="E7" s="12" t="s">
        <v>632</v>
      </c>
      <c r="F7" s="12" t="s">
        <v>633</v>
      </c>
      <c r="G7" s="12" t="s">
        <v>634</v>
      </c>
    </row>
    <row r="8" spans="2:7" ht="15">
      <c r="B8" s="10"/>
      <c r="D8" t="s">
        <v>610</v>
      </c>
      <c r="E8" s="464">
        <f>C47/D7*1000000</f>
        <v>8.975441790915728</v>
      </c>
      <c r="F8" s="464">
        <f>C55/D7*1000000</f>
        <v>6.731581343186796</v>
      </c>
      <c r="G8" s="464">
        <f>E8*G14</f>
        <v>1.4536062540557604</v>
      </c>
    </row>
    <row r="9" spans="2:7" ht="15">
      <c r="B9" s="10"/>
      <c r="D9" t="s">
        <v>1032</v>
      </c>
      <c r="E9" s="464"/>
      <c r="F9" s="464"/>
      <c r="G9" s="464"/>
    </row>
    <row r="10" spans="2:7" ht="15">
      <c r="B10" s="10"/>
      <c r="D10" t="s">
        <v>1033</v>
      </c>
      <c r="E10" s="464"/>
      <c r="F10" s="464"/>
      <c r="G10" s="464"/>
    </row>
    <row r="11" spans="2:7" ht="15">
      <c r="B11" s="10"/>
      <c r="D11" s="66" t="s">
        <v>733</v>
      </c>
      <c r="E11" s="474">
        <f>SUM(E8:E10)</f>
        <v>8.975441790915728</v>
      </c>
      <c r="F11" s="474">
        <f>SUM(F8:F10)</f>
        <v>6.731581343186796</v>
      </c>
      <c r="G11" s="474">
        <f>SUM(G8:G10)</f>
        <v>1.4536062540557604</v>
      </c>
    </row>
    <row r="13" spans="3:7" ht="14.25">
      <c r="C13" t="s">
        <v>1266</v>
      </c>
      <c r="E13" s="20">
        <v>389</v>
      </c>
      <c r="F13" s="20">
        <v>260</v>
      </c>
      <c r="G13" s="20">
        <v>63</v>
      </c>
    </row>
    <row r="14" spans="3:7" ht="14.25">
      <c r="C14" t="s">
        <v>1261</v>
      </c>
      <c r="E14" s="36">
        <f>E13/E13</f>
        <v>1</v>
      </c>
      <c r="F14" s="36">
        <f>F13/E13</f>
        <v>0.6683804627249358</v>
      </c>
      <c r="G14" s="36">
        <f>G13/E13</f>
        <v>0.16195372750642673</v>
      </c>
    </row>
    <row r="21" ht="15">
      <c r="B21" s="479" t="s">
        <v>65</v>
      </c>
    </row>
    <row r="23" ht="14.25">
      <c r="B23" t="s">
        <v>579</v>
      </c>
    </row>
    <row r="25" spans="3:4" ht="14.25">
      <c r="C25">
        <v>2.5</v>
      </c>
      <c r="D25" t="s">
        <v>1288</v>
      </c>
    </row>
    <row r="26" spans="3:4" ht="14.25">
      <c r="C26">
        <v>5.4</v>
      </c>
      <c r="D26" t="s">
        <v>1288</v>
      </c>
    </row>
    <row r="27" spans="2:4" ht="15">
      <c r="B27" t="s">
        <v>1295</v>
      </c>
      <c r="C27" s="34">
        <f>AVERAGE(C25:C26)</f>
        <v>3.95</v>
      </c>
      <c r="D27" t="s">
        <v>1288</v>
      </c>
    </row>
    <row r="28" spans="2:3" ht="15">
      <c r="B28" s="73" t="s">
        <v>1298</v>
      </c>
      <c r="C28" s="34" t="s">
        <v>1299</v>
      </c>
    </row>
    <row r="29" spans="2:3" ht="15">
      <c r="B29" s="34" t="s">
        <v>1301</v>
      </c>
      <c r="C29" s="34"/>
    </row>
    <row r="30" ht="15">
      <c r="C30" s="34"/>
    </row>
    <row r="32" ht="14.25">
      <c r="B32" t="s">
        <v>1289</v>
      </c>
    </row>
    <row r="34" ht="14.25">
      <c r="C34" t="s">
        <v>1290</v>
      </c>
    </row>
    <row r="35" ht="14.25">
      <c r="C35" t="s">
        <v>1291</v>
      </c>
    </row>
    <row r="36" ht="14.25">
      <c r="C36" t="s">
        <v>1292</v>
      </c>
    </row>
    <row r="38" ht="14.25">
      <c r="C38" t="s">
        <v>1293</v>
      </c>
    </row>
    <row r="40" spans="3:6" ht="15">
      <c r="C40" s="34">
        <f>40/100*5*6000</f>
        <v>12000</v>
      </c>
      <c r="D40" t="s">
        <v>1294</v>
      </c>
      <c r="F40" t="s">
        <v>484</v>
      </c>
    </row>
    <row r="41" spans="3:4" ht="15">
      <c r="C41" s="34">
        <f>C40/60</f>
        <v>200</v>
      </c>
      <c r="D41" t="s">
        <v>477</v>
      </c>
    </row>
    <row r="42" spans="7:10" ht="14.25">
      <c r="G42">
        <f>C40*((J42+273)/273)</f>
        <v>16395.604395604398</v>
      </c>
      <c r="H42" t="s">
        <v>482</v>
      </c>
      <c r="J42">
        <v>100</v>
      </c>
    </row>
    <row r="43" spans="2:8" ht="14.25">
      <c r="B43" t="s">
        <v>1296</v>
      </c>
      <c r="G43">
        <f>G42/60</f>
        <v>273.2600732600733</v>
      </c>
      <c r="H43" t="s">
        <v>483</v>
      </c>
    </row>
    <row r="44" spans="3:4" ht="15">
      <c r="C44" s="34">
        <f>(C27*C40)/(60*1000)</f>
        <v>0.79</v>
      </c>
      <c r="D44" t="s">
        <v>818</v>
      </c>
    </row>
    <row r="45" ht="14.25">
      <c r="G45" t="s">
        <v>491</v>
      </c>
    </row>
    <row r="46" spans="2:7" ht="14.25">
      <c r="B46" t="s">
        <v>485</v>
      </c>
      <c r="G46">
        <f>(C27/1000)*G43</f>
        <v>1.0793772893772895</v>
      </c>
    </row>
    <row r="47" spans="3:4" ht="15">
      <c r="C47" s="59">
        <f>0.85*((C44*365*24*60*60)/1000000)</f>
        <v>21.176424000000004</v>
      </c>
      <c r="D47" t="s">
        <v>1297</v>
      </c>
    </row>
    <row r="48" spans="7:10" ht="14.25">
      <c r="G48" t="s">
        <v>486</v>
      </c>
      <c r="J48" t="s">
        <v>489</v>
      </c>
    </row>
    <row r="49" spans="7:10" ht="14.25">
      <c r="G49">
        <f>0.85*((G46*365*24*60*60)/1000000)</f>
        <v>28.933355868131873</v>
      </c>
      <c r="H49" t="s">
        <v>1297</v>
      </c>
      <c r="J49">
        <f>1000000*(G49/(365*24*60*60))</f>
        <v>0.9174706959706962</v>
      </c>
    </row>
    <row r="51" spans="2:10" ht="14.25">
      <c r="B51" t="s">
        <v>37</v>
      </c>
      <c r="G51" t="s">
        <v>488</v>
      </c>
      <c r="J51" t="s">
        <v>490</v>
      </c>
    </row>
    <row r="52" spans="7:10" ht="14.25">
      <c r="G52">
        <f>G49*0.75</f>
        <v>21.700016901098905</v>
      </c>
      <c r="H52" t="s">
        <v>1297</v>
      </c>
      <c r="J52">
        <f>1000000*(G52/(365*24*60*60))</f>
        <v>0.6881030219780221</v>
      </c>
    </row>
    <row r="53" ht="14.25">
      <c r="B53" t="s">
        <v>38</v>
      </c>
    </row>
    <row r="55" spans="3:7" ht="15">
      <c r="C55" s="59">
        <f>C47*0.75</f>
        <v>15.882318000000003</v>
      </c>
      <c r="D55" t="s">
        <v>1297</v>
      </c>
      <c r="G55" t="s">
        <v>492</v>
      </c>
    </row>
    <row r="56" ht="14.25">
      <c r="G56">
        <f>G46*0.75</f>
        <v>0.8095329670329672</v>
      </c>
    </row>
    <row r="57" ht="14.25">
      <c r="B57" t="s">
        <v>490</v>
      </c>
    </row>
    <row r="58" ht="14.25">
      <c r="C58">
        <f>(C55*1000000)/(365*24*60*60)</f>
        <v>0.5036250000000001</v>
      </c>
    </row>
    <row r="61" ht="15">
      <c r="B61" s="479" t="s">
        <v>64</v>
      </c>
    </row>
  </sheetData>
  <sheetProtection/>
  <mergeCells count="1">
    <mergeCell ref="E6:G6"/>
  </mergeCells>
  <printOptions/>
  <pageMargins left="0.75" right="0.75" top="1" bottom="1" header="0.5" footer="0.5"/>
  <pageSetup horizontalDpi="600" verticalDpi="600" orientation="portrait" paperSize="9"/>
  <legacyDrawing r:id="rId2"/>
</worksheet>
</file>

<file path=xl/worksheets/sheet16.xml><?xml version="1.0" encoding="utf-8"?>
<worksheet xmlns="http://schemas.openxmlformats.org/spreadsheetml/2006/main" xmlns:r="http://schemas.openxmlformats.org/officeDocument/2006/relationships">
  <dimension ref="B1:H26"/>
  <sheetViews>
    <sheetView zoomScalePageLayoutView="0" workbookViewId="0" topLeftCell="A1">
      <selection activeCell="E23" sqref="E23"/>
    </sheetView>
  </sheetViews>
  <sheetFormatPr defaultColWidth="9.00390625" defaultRowHeight="14.25"/>
  <cols>
    <col min="2" max="2" width="9.25390625" style="0" customWidth="1"/>
    <col min="4" max="4" width="13.125" style="0" customWidth="1"/>
    <col min="6" max="6" width="9.875" style="0" bestFit="1" customWidth="1"/>
  </cols>
  <sheetData>
    <row r="1" ht="15">
      <c r="D1" s="34"/>
    </row>
    <row r="2" spans="2:7" ht="15">
      <c r="B2" s="10" t="s">
        <v>71</v>
      </c>
      <c r="D2" s="466" t="s">
        <v>67</v>
      </c>
      <c r="E2" s="757" t="s">
        <v>68</v>
      </c>
      <c r="F2" s="757"/>
      <c r="G2" s="757"/>
    </row>
    <row r="3" spans="2:7" ht="15">
      <c r="B3" s="34"/>
      <c r="D3" s="466" t="s">
        <v>1295</v>
      </c>
      <c r="E3" s="12" t="s">
        <v>632</v>
      </c>
      <c r="F3" s="12" t="s">
        <v>633</v>
      </c>
      <c r="G3" s="12" t="s">
        <v>634</v>
      </c>
    </row>
    <row r="4" spans="3:8" ht="15">
      <c r="C4" t="s">
        <v>1034</v>
      </c>
      <c r="E4" s="478">
        <f>E23</f>
        <v>81.69444444444444</v>
      </c>
      <c r="F4" s="478">
        <f>F23</f>
        <v>75.16</v>
      </c>
      <c r="G4" s="478">
        <f>G23</f>
        <v>37.98083333333333</v>
      </c>
      <c r="H4" s="34" t="s">
        <v>127</v>
      </c>
    </row>
    <row r="5" spans="3:7" ht="14.25">
      <c r="C5" t="s">
        <v>13</v>
      </c>
      <c r="E5" s="464">
        <f>Production!E28*E23/1000000</f>
        <v>249.31512597916665</v>
      </c>
      <c r="F5" s="464">
        <f>Production!E28*F23/1000000</f>
        <v>229.37330679</v>
      </c>
      <c r="G5" s="464">
        <f>Production!E28*G23/1000000</f>
        <v>115.90991666187499</v>
      </c>
    </row>
    <row r="6" spans="3:7" ht="14.25">
      <c r="C6" t="s">
        <v>14</v>
      </c>
      <c r="E6" s="464">
        <v>0</v>
      </c>
      <c r="F6" s="464">
        <v>0</v>
      </c>
      <c r="G6" s="464">
        <v>0</v>
      </c>
    </row>
    <row r="7" spans="3:7" ht="15">
      <c r="C7" t="s">
        <v>66</v>
      </c>
      <c r="E7" s="465">
        <f>E4</f>
        <v>81.69444444444444</v>
      </c>
      <c r="F7" s="465">
        <f>F4</f>
        <v>75.16</v>
      </c>
      <c r="G7" s="465">
        <f>G4</f>
        <v>37.98083333333333</v>
      </c>
    </row>
    <row r="10" spans="3:7" ht="15">
      <c r="C10" s="362"/>
      <c r="E10" s="11" t="s">
        <v>12</v>
      </c>
      <c r="F10" s="11" t="s">
        <v>12</v>
      </c>
      <c r="G10" s="11" t="s">
        <v>12</v>
      </c>
    </row>
    <row r="11" ht="14.25">
      <c r="C11" s="365" t="s">
        <v>1334</v>
      </c>
    </row>
    <row r="12" spans="3:7" ht="14.25">
      <c r="C12" s="365" t="s">
        <v>15</v>
      </c>
      <c r="E12" s="19">
        <f>F12/0.96</f>
        <v>27.083333333333336</v>
      </c>
      <c r="F12" s="19">
        <v>26</v>
      </c>
      <c r="G12" s="19">
        <f>E12*0.51</f>
        <v>13.812500000000002</v>
      </c>
    </row>
    <row r="14" ht="14.25">
      <c r="C14" t="s">
        <v>1336</v>
      </c>
    </row>
    <row r="15" spans="3:7" ht="14.25">
      <c r="C15" t="s">
        <v>1335</v>
      </c>
      <c r="E15" s="9">
        <v>155</v>
      </c>
      <c r="F15" s="9">
        <v>139</v>
      </c>
      <c r="G15" s="9">
        <v>68</v>
      </c>
    </row>
    <row r="17" ht="14.25">
      <c r="C17" t="s">
        <v>1337</v>
      </c>
    </row>
    <row r="18" spans="3:7" ht="14.25">
      <c r="C18" t="s">
        <v>1338</v>
      </c>
      <c r="E18" s="19">
        <v>63</v>
      </c>
      <c r="F18" s="19">
        <f>E18*0.96</f>
        <v>60.48</v>
      </c>
      <c r="G18" s="19">
        <f>E18*0.51</f>
        <v>32.13</v>
      </c>
    </row>
    <row r="21" spans="3:7" ht="15">
      <c r="C21" s="463" t="s">
        <v>1339</v>
      </c>
      <c r="D21" s="468"/>
      <c r="E21" s="468"/>
      <c r="F21" s="468"/>
      <c r="G21" s="468"/>
    </row>
    <row r="22" spans="3:7" ht="15">
      <c r="C22" s="468"/>
      <c r="D22" s="468"/>
      <c r="E22" s="466" t="s">
        <v>12</v>
      </c>
      <c r="F22" s="466" t="s">
        <v>12</v>
      </c>
      <c r="G22" s="466" t="s">
        <v>12</v>
      </c>
    </row>
    <row r="23" spans="3:7" ht="15">
      <c r="C23" s="468"/>
      <c r="D23" s="468"/>
      <c r="E23" s="484">
        <f>AVERAGE(E12,E15,E18)</f>
        <v>81.69444444444444</v>
      </c>
      <c r="F23" s="484">
        <f>AVERAGE(F12,F15,F18)</f>
        <v>75.16</v>
      </c>
      <c r="G23" s="484">
        <f>AVERAGE(G12,G15,G18)</f>
        <v>37.98083333333333</v>
      </c>
    </row>
    <row r="25" spans="6:7" ht="14.25">
      <c r="F25">
        <f>(F23*Production!E28)/1000000</f>
        <v>229.37330679</v>
      </c>
      <c r="G25" t="s">
        <v>98</v>
      </c>
    </row>
    <row r="26" spans="6:7" ht="14.25">
      <c r="F26">
        <f>(F25*1000000)/(60*60*24*365)</f>
        <v>7.273379844939117</v>
      </c>
      <c r="G26" t="s">
        <v>818</v>
      </c>
    </row>
  </sheetData>
  <sheetProtection/>
  <mergeCells count="1">
    <mergeCell ref="E2:G2"/>
  </mergeCells>
  <printOptions/>
  <pageMargins left="0.75" right="0.75" top="1" bottom="1" header="0.5" footer="0.5"/>
  <pageSetup horizontalDpi="600" verticalDpi="600" orientation="portrait" paperSize="9"/>
  <legacyDrawing r:id="rId2"/>
</worksheet>
</file>

<file path=xl/worksheets/sheet17.xml><?xml version="1.0" encoding="utf-8"?>
<worksheet xmlns="http://schemas.openxmlformats.org/spreadsheetml/2006/main" xmlns:r="http://schemas.openxmlformats.org/officeDocument/2006/relationships">
  <dimension ref="A1:U66"/>
  <sheetViews>
    <sheetView zoomScalePageLayoutView="0" workbookViewId="0" topLeftCell="A1">
      <selection activeCell="K34" sqref="K34"/>
    </sheetView>
  </sheetViews>
  <sheetFormatPr defaultColWidth="9.00390625" defaultRowHeight="14.25"/>
  <cols>
    <col min="2" max="2" width="9.375" style="0" bestFit="1" customWidth="1"/>
    <col min="3" max="5" width="9.875" style="0" bestFit="1" customWidth="1"/>
    <col min="13" max="13" width="15.75390625" style="0" customWidth="1"/>
  </cols>
  <sheetData>
    <row r="1" spans="1:21" ht="15">
      <c r="A1" s="10" t="s">
        <v>786</v>
      </c>
      <c r="L1" s="463">
        <v>2014</v>
      </c>
      <c r="M1" s="463" t="s">
        <v>777</v>
      </c>
      <c r="N1" s="468"/>
      <c r="O1" s="468"/>
      <c r="P1" s="468"/>
      <c r="Q1" s="468"/>
      <c r="R1" s="468"/>
      <c r="S1" s="468"/>
      <c r="T1" s="468"/>
      <c r="U1" s="468"/>
    </row>
    <row r="2" spans="13:21" ht="14.25">
      <c r="M2" s="498" t="s">
        <v>768</v>
      </c>
      <c r="N2" s="498"/>
      <c r="O2" s="468"/>
      <c r="P2" s="468"/>
      <c r="Q2" s="468"/>
      <c r="R2" s="468"/>
      <c r="S2" s="468"/>
      <c r="T2" s="468"/>
      <c r="U2" s="468"/>
    </row>
    <row r="3" spans="2:21" ht="15">
      <c r="B3" s="10" t="s">
        <v>826</v>
      </c>
      <c r="M3" s="498" t="s">
        <v>769</v>
      </c>
      <c r="N3" s="498"/>
      <c r="O3" s="468"/>
      <c r="P3" s="468"/>
      <c r="Q3" s="468"/>
      <c r="R3" s="468"/>
      <c r="S3" s="468"/>
      <c r="T3" s="468"/>
      <c r="U3" s="468"/>
    </row>
    <row r="4" spans="13:21" ht="14.25">
      <c r="M4" s="498" t="s">
        <v>770</v>
      </c>
      <c r="N4" s="498"/>
      <c r="O4" s="468"/>
      <c r="P4" s="468"/>
      <c r="Q4" s="468"/>
      <c r="R4" s="468"/>
      <c r="S4" s="468"/>
      <c r="T4" s="468"/>
      <c r="U4" s="468"/>
    </row>
    <row r="5" spans="2:21" ht="14.25">
      <c r="B5" t="s">
        <v>827</v>
      </c>
      <c r="M5" s="498" t="s">
        <v>771</v>
      </c>
      <c r="N5" s="498"/>
      <c r="O5" s="468"/>
      <c r="P5" s="468"/>
      <c r="Q5" s="468"/>
      <c r="R5" s="468"/>
      <c r="S5" s="468"/>
      <c r="T5" s="468"/>
      <c r="U5" s="468"/>
    </row>
    <row r="6" spans="13:21" ht="14.25">
      <c r="M6" s="498" t="s">
        <v>772</v>
      </c>
      <c r="N6" s="498"/>
      <c r="O6" s="468"/>
      <c r="P6" s="468"/>
      <c r="Q6" s="468"/>
      <c r="R6" s="468"/>
      <c r="S6" s="468"/>
      <c r="T6" s="468"/>
      <c r="U6" s="468"/>
    </row>
    <row r="7" spans="2:21" ht="14.25">
      <c r="B7" s="278" t="s">
        <v>828</v>
      </c>
      <c r="M7" s="498" t="s">
        <v>773</v>
      </c>
      <c r="N7" s="498"/>
      <c r="O7" s="468"/>
      <c r="P7" s="468"/>
      <c r="Q7" s="468"/>
      <c r="R7" s="468"/>
      <c r="S7" s="468"/>
      <c r="T7" s="468"/>
      <c r="U7" s="468"/>
    </row>
    <row r="8" spans="10:21" ht="14.25">
      <c r="J8" s="12">
        <v>2.61</v>
      </c>
      <c r="M8" s="498" t="s">
        <v>774</v>
      </c>
      <c r="N8" s="498"/>
      <c r="O8" s="468"/>
      <c r="P8" s="468"/>
      <c r="Q8" s="468"/>
      <c r="R8" s="468"/>
      <c r="S8" s="468"/>
      <c r="T8" s="468"/>
      <c r="U8" s="468"/>
    </row>
    <row r="9" spans="3:21" ht="29.25" customHeight="1">
      <c r="C9" s="792" t="s">
        <v>829</v>
      </c>
      <c r="D9" s="792"/>
      <c r="E9" s="792"/>
      <c r="J9" s="12">
        <v>3.05</v>
      </c>
      <c r="M9" s="498" t="s">
        <v>775</v>
      </c>
      <c r="N9" s="498"/>
      <c r="O9" s="468"/>
      <c r="P9" s="468"/>
      <c r="Q9" s="468"/>
      <c r="R9" s="468"/>
      <c r="S9" s="468"/>
      <c r="T9" s="468"/>
      <c r="U9" s="468"/>
    </row>
    <row r="10" spans="3:21" ht="14.25">
      <c r="C10" s="279">
        <v>35094</v>
      </c>
      <c r="D10" s="279">
        <v>35095</v>
      </c>
      <c r="E10" s="279">
        <v>35096</v>
      </c>
      <c r="J10" s="12">
        <v>2.39</v>
      </c>
      <c r="M10" s="498" t="s">
        <v>776</v>
      </c>
      <c r="N10" s="498"/>
      <c r="O10" s="468"/>
      <c r="P10" s="468"/>
      <c r="Q10" s="468"/>
      <c r="R10" s="468"/>
      <c r="S10" s="468"/>
      <c r="T10" s="468"/>
      <c r="U10" s="468"/>
    </row>
    <row r="11" spans="2:21" ht="14.25">
      <c r="B11" s="13" t="s">
        <v>830</v>
      </c>
      <c r="C11" s="12"/>
      <c r="D11" s="12">
        <v>2.39</v>
      </c>
      <c r="E11" s="12">
        <v>3.14</v>
      </c>
      <c r="J11" s="12">
        <v>2.83</v>
      </c>
      <c r="M11" s="498"/>
      <c r="N11" s="498"/>
      <c r="O11" s="468"/>
      <c r="P11" s="468"/>
      <c r="Q11" s="468"/>
      <c r="R11" s="468"/>
      <c r="S11" s="468"/>
      <c r="T11" s="468"/>
      <c r="U11" s="468"/>
    </row>
    <row r="12" spans="2:21" ht="14.25">
      <c r="B12" s="13" t="s">
        <v>831</v>
      </c>
      <c r="C12" s="12">
        <v>2.61</v>
      </c>
      <c r="D12" s="12">
        <v>2.83</v>
      </c>
      <c r="E12" s="12">
        <v>1.85</v>
      </c>
      <c r="J12" s="12">
        <v>2.9</v>
      </c>
      <c r="M12" s="498" t="s">
        <v>778</v>
      </c>
      <c r="N12" s="498"/>
      <c r="O12" s="468"/>
      <c r="P12" s="468"/>
      <c r="Q12" s="468"/>
      <c r="R12" s="468"/>
      <c r="S12" s="468"/>
      <c r="T12" s="468"/>
      <c r="U12" s="468"/>
    </row>
    <row r="13" spans="2:21" ht="14.25">
      <c r="B13" s="13" t="s">
        <v>832</v>
      </c>
      <c r="C13" s="12">
        <v>3.05</v>
      </c>
      <c r="D13" s="12">
        <v>2.9</v>
      </c>
      <c r="E13" s="12">
        <v>3.24</v>
      </c>
      <c r="J13" s="12">
        <v>3.14</v>
      </c>
      <c r="M13" s="498" t="s">
        <v>779</v>
      </c>
      <c r="N13" s="498"/>
      <c r="O13" s="468"/>
      <c r="P13" s="468"/>
      <c r="Q13" s="468"/>
      <c r="R13" s="468"/>
      <c r="S13" s="468"/>
      <c r="T13" s="468"/>
      <c r="U13" s="468"/>
    </row>
    <row r="14" spans="2:10" ht="14.25">
      <c r="B14" s="13" t="s">
        <v>833</v>
      </c>
      <c r="C14" s="12"/>
      <c r="D14" s="12"/>
      <c r="E14" s="12">
        <v>2.77</v>
      </c>
      <c r="J14" s="12">
        <v>1.85</v>
      </c>
    </row>
    <row r="15" spans="2:13" ht="15">
      <c r="B15" s="13" t="s">
        <v>762</v>
      </c>
      <c r="C15" s="12">
        <f>AVERAGE(C12:C13)</f>
        <v>2.83</v>
      </c>
      <c r="D15" s="12">
        <f>AVERAGE(D11:D13)</f>
        <v>2.706666666666667</v>
      </c>
      <c r="E15" s="12">
        <f>AVERAGE(E11:E14)</f>
        <v>2.75</v>
      </c>
      <c r="F15" s="280">
        <f>AVERAGE(J8:J16)</f>
        <v>2.753333333333334</v>
      </c>
      <c r="G15" t="s">
        <v>834</v>
      </c>
      <c r="J15" s="12">
        <v>3.24</v>
      </c>
      <c r="M15" s="463" t="s">
        <v>787</v>
      </c>
    </row>
    <row r="16" spans="10:13" ht="15">
      <c r="J16" s="12">
        <v>2.77</v>
      </c>
      <c r="M16" s="463" t="s">
        <v>788</v>
      </c>
    </row>
    <row r="18" spans="2:14" ht="15">
      <c r="B18" s="278" t="s">
        <v>835</v>
      </c>
      <c r="M18" s="463" t="s">
        <v>783</v>
      </c>
      <c r="N18" s="468"/>
    </row>
    <row r="19" spans="13:14" ht="15">
      <c r="M19" s="463" t="s">
        <v>784</v>
      </c>
      <c r="N19" s="468"/>
    </row>
    <row r="20" spans="3:13" ht="16.5">
      <c r="C20" s="12" t="s">
        <v>868</v>
      </c>
      <c r="M20" s="463" t="s">
        <v>785</v>
      </c>
    </row>
    <row r="21" spans="2:14" ht="14.25">
      <c r="B21" s="281" t="s">
        <v>830</v>
      </c>
      <c r="C21" s="12">
        <v>2.6</v>
      </c>
      <c r="M21" s="498" t="s">
        <v>781</v>
      </c>
      <c r="N21" s="468"/>
    </row>
    <row r="22" spans="2:14" ht="14.25">
      <c r="B22" s="281" t="s">
        <v>831</v>
      </c>
      <c r="C22" s="12">
        <v>2.6</v>
      </c>
      <c r="M22" s="498" t="s">
        <v>780</v>
      </c>
      <c r="N22" s="468"/>
    </row>
    <row r="23" spans="2:3" ht="15" thickBot="1">
      <c r="B23" s="281" t="s">
        <v>832</v>
      </c>
      <c r="C23" s="12">
        <v>2.6</v>
      </c>
    </row>
    <row r="24" spans="2:16" ht="15">
      <c r="B24" s="282" t="s">
        <v>833</v>
      </c>
      <c r="C24" s="12">
        <f>0.54*76</f>
        <v>41.040000000000006</v>
      </c>
      <c r="M24" s="501" t="s">
        <v>793</v>
      </c>
      <c r="N24" s="502" t="s">
        <v>792</v>
      </c>
      <c r="O24" s="502"/>
      <c r="P24" s="503" t="s">
        <v>791</v>
      </c>
    </row>
    <row r="25" spans="2:16" ht="15">
      <c r="B25" s="202" t="s">
        <v>733</v>
      </c>
      <c r="C25" s="51">
        <f>SUM(C21:C24)</f>
        <v>48.84</v>
      </c>
      <c r="M25" s="504" t="s">
        <v>632</v>
      </c>
      <c r="N25" s="500">
        <v>32</v>
      </c>
      <c r="O25" s="500" t="s">
        <v>782</v>
      </c>
      <c r="P25" s="505">
        <v>1</v>
      </c>
    </row>
    <row r="26" spans="13:16" ht="15">
      <c r="M26" s="504" t="s">
        <v>633</v>
      </c>
      <c r="N26" s="500">
        <f>N25*P26</f>
        <v>22.4</v>
      </c>
      <c r="O26" s="500" t="s">
        <v>782</v>
      </c>
      <c r="P26" s="506">
        <f>25%+45%</f>
        <v>0.7</v>
      </c>
    </row>
    <row r="27" spans="13:16" ht="15.75" thickBot="1">
      <c r="M27" s="507" t="s">
        <v>634</v>
      </c>
      <c r="N27" s="508">
        <f>N25*P27</f>
        <v>8</v>
      </c>
      <c r="O27" s="508" t="s">
        <v>782</v>
      </c>
      <c r="P27" s="509">
        <v>0.25</v>
      </c>
    </row>
    <row r="28" ht="16.5">
      <c r="B28" s="278" t="s">
        <v>869</v>
      </c>
    </row>
    <row r="30" spans="2:4" ht="16.5">
      <c r="B30" s="59">
        <f>C25*F15</f>
        <v>134.47280000000003</v>
      </c>
      <c r="C30" s="34" t="s">
        <v>870</v>
      </c>
      <c r="D30" t="s">
        <v>836</v>
      </c>
    </row>
    <row r="31" spans="2:4" ht="16.5">
      <c r="B31" s="32">
        <v>380</v>
      </c>
      <c r="C31" s="32" t="s">
        <v>871</v>
      </c>
      <c r="D31" t="s">
        <v>837</v>
      </c>
    </row>
    <row r="32" spans="2:4" ht="16.5">
      <c r="B32" s="283">
        <f>B30+B31</f>
        <v>514.4728</v>
      </c>
      <c r="C32" s="10" t="s">
        <v>872</v>
      </c>
      <c r="D32" t="s">
        <v>838</v>
      </c>
    </row>
    <row r="34" ht="15">
      <c r="B34" s="10" t="s">
        <v>839</v>
      </c>
    </row>
    <row r="36" ht="14.25">
      <c r="B36" s="278" t="s">
        <v>835</v>
      </c>
    </row>
    <row r="38" ht="16.5">
      <c r="C38" s="12" t="s">
        <v>868</v>
      </c>
    </row>
    <row r="39" spans="2:3" ht="14.25">
      <c r="B39" s="281" t="s">
        <v>830</v>
      </c>
      <c r="C39" s="12">
        <v>2.6</v>
      </c>
    </row>
    <row r="40" spans="2:3" ht="14.25">
      <c r="B40" s="281" t="s">
        <v>831</v>
      </c>
      <c r="C40" s="12">
        <v>2.6</v>
      </c>
    </row>
    <row r="41" spans="2:3" ht="14.25">
      <c r="B41" s="281" t="s">
        <v>832</v>
      </c>
      <c r="C41" s="12">
        <v>2.6</v>
      </c>
    </row>
    <row r="42" spans="2:3" ht="14.25">
      <c r="B42" s="282" t="s">
        <v>833</v>
      </c>
      <c r="C42" s="12">
        <v>0</v>
      </c>
    </row>
    <row r="43" spans="2:3" ht="15">
      <c r="B43" s="202" t="s">
        <v>733</v>
      </c>
      <c r="C43" s="51">
        <f>SUM(C39:C42)</f>
        <v>7.800000000000001</v>
      </c>
    </row>
    <row r="46" ht="16.5">
      <c r="B46" s="278" t="s">
        <v>869</v>
      </c>
    </row>
    <row r="48" spans="2:4" ht="16.5">
      <c r="B48" s="284">
        <v>415</v>
      </c>
      <c r="C48" s="32" t="s">
        <v>871</v>
      </c>
      <c r="D48" t="s">
        <v>840</v>
      </c>
    </row>
    <row r="49" spans="2:4" ht="16.5">
      <c r="B49" s="59">
        <f>B32-B48</f>
        <v>99.4728</v>
      </c>
      <c r="C49" s="34" t="s">
        <v>870</v>
      </c>
      <c r="D49" t="s">
        <v>841</v>
      </c>
    </row>
    <row r="52" ht="14.25">
      <c r="B52" t="s">
        <v>842</v>
      </c>
    </row>
    <row r="54" spans="2:3" ht="14.25">
      <c r="B54" s="285">
        <f>B49/7.8</f>
        <v>12.752923076923079</v>
      </c>
      <c r="C54" t="s">
        <v>843</v>
      </c>
    </row>
    <row r="56" ht="14.25">
      <c r="B56" t="s">
        <v>844</v>
      </c>
    </row>
    <row r="58" ht="14.25">
      <c r="B58" t="s">
        <v>845</v>
      </c>
    </row>
    <row r="59" ht="14.25">
      <c r="B59" t="s">
        <v>846</v>
      </c>
    </row>
    <row r="60" ht="14.25">
      <c r="B60" t="s">
        <v>847</v>
      </c>
    </row>
    <row r="62" spans="2:3" ht="16.5">
      <c r="B62">
        <f>B49/2.74</f>
        <v>36.30394160583941</v>
      </c>
      <c r="C62" t="s">
        <v>873</v>
      </c>
    </row>
    <row r="64" ht="14.25">
      <c r="B64" t="s">
        <v>866</v>
      </c>
    </row>
    <row r="66" spans="2:3" ht="15">
      <c r="B66" s="59">
        <f>2*((B62/PI())^0.5)</f>
        <v>6.798795046352766</v>
      </c>
      <c r="C66" s="34" t="s">
        <v>867</v>
      </c>
    </row>
  </sheetData>
  <sheetProtection/>
  <mergeCells count="1">
    <mergeCell ref="C9:E9"/>
  </mergeCells>
  <printOptions/>
  <pageMargins left="0.75" right="0.75" top="1" bottom="1" header="0.5" footer="0.5"/>
  <pageSetup horizontalDpi="600" verticalDpi="600" orientation="landscape" paperSize="9"/>
  <legacyDrawing r:id="rId2"/>
</worksheet>
</file>

<file path=xl/worksheets/sheet18.xml><?xml version="1.0" encoding="utf-8"?>
<worksheet xmlns="http://schemas.openxmlformats.org/spreadsheetml/2006/main" xmlns:r="http://schemas.openxmlformats.org/officeDocument/2006/relationships">
  <dimension ref="A1:H31"/>
  <sheetViews>
    <sheetView zoomScalePageLayoutView="0" workbookViewId="0" topLeftCell="A13">
      <selection activeCell="E8" sqref="E8"/>
    </sheetView>
  </sheetViews>
  <sheetFormatPr defaultColWidth="9.00390625" defaultRowHeight="14.25"/>
  <cols>
    <col min="1" max="1" width="67.25390625" style="0" customWidth="1"/>
    <col min="2" max="2" width="10.00390625" style="0" customWidth="1"/>
  </cols>
  <sheetData>
    <row r="1" spans="1:3" ht="15">
      <c r="A1" s="10" t="s">
        <v>1216</v>
      </c>
      <c r="C1" s="10" t="s">
        <v>1224</v>
      </c>
    </row>
    <row r="3" spans="1:8" ht="15">
      <c r="A3" s="365" t="s">
        <v>1213</v>
      </c>
      <c r="C3" s="10" t="s">
        <v>632</v>
      </c>
      <c r="D3" s="497">
        <v>60</v>
      </c>
      <c r="G3" s="10" t="s">
        <v>632</v>
      </c>
      <c r="H3" s="496">
        <v>1</v>
      </c>
    </row>
    <row r="4" spans="1:8" ht="15">
      <c r="A4" s="365"/>
      <c r="C4" s="10" t="s">
        <v>633</v>
      </c>
      <c r="D4" s="497">
        <f>D3*H4</f>
        <v>55.2</v>
      </c>
      <c r="G4" s="10" t="s">
        <v>633</v>
      </c>
      <c r="H4" s="496">
        <v>0.92</v>
      </c>
    </row>
    <row r="5" spans="1:8" s="810" customFormat="1" ht="28.5">
      <c r="A5" s="809" t="s">
        <v>1214</v>
      </c>
      <c r="C5" s="10" t="s">
        <v>634</v>
      </c>
      <c r="D5" s="497">
        <f>D3*H5</f>
        <v>36</v>
      </c>
      <c r="E5"/>
      <c r="F5"/>
      <c r="G5" s="10" t="s">
        <v>634</v>
      </c>
      <c r="H5" s="496">
        <v>0.6</v>
      </c>
    </row>
    <row r="6" ht="28.5">
      <c r="A6" s="809" t="s">
        <v>1215</v>
      </c>
    </row>
    <row r="7" ht="14.25">
      <c r="A7" s="809"/>
    </row>
    <row r="8" ht="42.75">
      <c r="A8" s="809" t="s">
        <v>1209</v>
      </c>
    </row>
    <row r="9" ht="14.25">
      <c r="A9" s="809"/>
    </row>
    <row r="10" ht="57">
      <c r="A10" s="809" t="s">
        <v>1210</v>
      </c>
    </row>
    <row r="11" ht="14.25">
      <c r="A11" s="809"/>
    </row>
    <row r="12" ht="57">
      <c r="A12" s="809" t="s">
        <v>1211</v>
      </c>
    </row>
    <row r="13" ht="14.25">
      <c r="A13" s="809"/>
    </row>
    <row r="14" ht="28.5">
      <c r="A14" s="809" t="s">
        <v>1212</v>
      </c>
    </row>
    <row r="16" ht="15">
      <c r="A16" s="10" t="s">
        <v>1218</v>
      </c>
    </row>
    <row r="17" spans="1:2" ht="15">
      <c r="A17" s="10">
        <v>140</v>
      </c>
      <c r="B17" s="10" t="s">
        <v>1217</v>
      </c>
    </row>
    <row r="20" ht="15">
      <c r="A20" s="494" t="s">
        <v>1219</v>
      </c>
    </row>
    <row r="21" ht="14.25">
      <c r="A21" s="365"/>
    </row>
    <row r="22" ht="42.75">
      <c r="A22" s="809" t="s">
        <v>1220</v>
      </c>
    </row>
    <row r="23" ht="14.25">
      <c r="A23" s="809"/>
    </row>
    <row r="24" ht="57">
      <c r="A24" s="809" t="s">
        <v>1221</v>
      </c>
    </row>
    <row r="25" ht="14.25">
      <c r="A25" s="809"/>
    </row>
    <row r="26" ht="57">
      <c r="A26" s="809" t="s">
        <v>1222</v>
      </c>
    </row>
    <row r="27" ht="14.25">
      <c r="A27" s="809"/>
    </row>
    <row r="28" ht="28.5">
      <c r="A28" s="809" t="s">
        <v>1223</v>
      </c>
    </row>
    <row r="31" ht="15">
      <c r="B31" s="10"/>
    </row>
  </sheetData>
  <sheetProtection/>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2:M51"/>
  <sheetViews>
    <sheetView zoomScalePageLayoutView="0" workbookViewId="0" topLeftCell="A37">
      <selection activeCell="N51" sqref="N51"/>
    </sheetView>
  </sheetViews>
  <sheetFormatPr defaultColWidth="9.875" defaultRowHeight="14.25"/>
  <cols>
    <col min="1" max="1" width="9.875" style="40" customWidth="1"/>
    <col min="2" max="3" width="9.875" style="533" customWidth="1"/>
    <col min="4" max="9" width="9.875" style="411" customWidth="1"/>
    <col min="10" max="10" width="4.875" style="411" customWidth="1"/>
    <col min="11" max="16384" width="9.875" style="411" customWidth="1"/>
  </cols>
  <sheetData>
    <row r="1" ht="12.75"/>
    <row r="2" spans="1:3" ht="12.75">
      <c r="A2" s="424" t="s">
        <v>757</v>
      </c>
      <c r="B2" s="425" t="s">
        <v>758</v>
      </c>
      <c r="C2" s="425" t="s">
        <v>759</v>
      </c>
    </row>
    <row r="3" spans="1:3" ht="12.75">
      <c r="A3" s="40">
        <v>1</v>
      </c>
      <c r="B3" s="533">
        <v>99.29</v>
      </c>
      <c r="C3" s="533">
        <v>99.67</v>
      </c>
    </row>
    <row r="4" spans="1:3" ht="12.75">
      <c r="A4" s="40">
        <v>2</v>
      </c>
      <c r="B4" s="533">
        <v>99.35</v>
      </c>
      <c r="C4" s="533">
        <v>99.68</v>
      </c>
    </row>
    <row r="5" spans="1:3" ht="12.75">
      <c r="A5" s="40">
        <v>3</v>
      </c>
      <c r="B5" s="533">
        <v>99.28</v>
      </c>
      <c r="C5" s="533">
        <v>99.68</v>
      </c>
    </row>
    <row r="6" spans="1:3" ht="12.75">
      <c r="A6" s="40">
        <v>4</v>
      </c>
      <c r="B6" s="533">
        <v>99.25</v>
      </c>
      <c r="C6" s="533">
        <v>99.71</v>
      </c>
    </row>
    <row r="7" spans="1:3" ht="12.75">
      <c r="A7" s="534" t="s">
        <v>762</v>
      </c>
      <c r="B7" s="421">
        <f>AVERAGE(B3:B6)</f>
        <v>99.29249999999999</v>
      </c>
      <c r="C7" s="421">
        <f>AVERAGE(C3:C6)</f>
        <v>99.685</v>
      </c>
    </row>
    <row r="8" ht="12.75"/>
    <row r="9" spans="1:3" ht="12.75">
      <c r="A9" s="40" t="s">
        <v>760</v>
      </c>
      <c r="B9" s="533">
        <v>84</v>
      </c>
      <c r="C9" s="535"/>
    </row>
    <row r="10" spans="1:3" ht="12.75">
      <c r="A10" s="40" t="s">
        <v>1314</v>
      </c>
      <c r="B10" s="533">
        <f>B9*52*3</f>
        <v>13104</v>
      </c>
      <c r="C10" s="535"/>
    </row>
    <row r="11" spans="1:3" ht="12.75">
      <c r="A11" s="40" t="s">
        <v>1315</v>
      </c>
      <c r="B11" s="533">
        <f>B9*52*16</f>
        <v>69888</v>
      </c>
      <c r="C11" s="535"/>
    </row>
    <row r="12" ht="12.75"/>
    <row r="13" spans="1:2" ht="12.75">
      <c r="A13" s="40" t="s">
        <v>758</v>
      </c>
      <c r="B13" s="535" t="s">
        <v>761</v>
      </c>
    </row>
    <row r="14" spans="1:2" ht="12.75">
      <c r="A14" s="40" t="s">
        <v>759</v>
      </c>
      <c r="B14" s="535" t="s">
        <v>35</v>
      </c>
    </row>
    <row r="15" ht="12.75"/>
    <row r="16" spans="1:2" ht="12.75">
      <c r="A16" s="40" t="s">
        <v>758</v>
      </c>
      <c r="B16" s="533" t="s">
        <v>763</v>
      </c>
    </row>
    <row r="17" ht="12.75">
      <c r="B17" s="533" t="s">
        <v>764</v>
      </c>
    </row>
    <row r="18" ht="12.75">
      <c r="B18" s="536">
        <f>(1-B7/100)*12</f>
        <v>0.08490000000000064</v>
      </c>
    </row>
    <row r="19" spans="2:9" ht="12.75">
      <c r="B19" s="536">
        <f>B18/3</f>
        <v>0.028300000000000214</v>
      </c>
      <c r="C19" s="535" t="s">
        <v>804</v>
      </c>
      <c r="G19" s="537" t="s">
        <v>1230</v>
      </c>
      <c r="H19" s="537"/>
      <c r="I19" s="537"/>
    </row>
    <row r="20" spans="7:9" ht="12.75">
      <c r="G20" s="537" t="s">
        <v>733</v>
      </c>
      <c r="H20" s="537" t="s">
        <v>633</v>
      </c>
      <c r="I20" s="537" t="s">
        <v>634</v>
      </c>
    </row>
    <row r="21" spans="2:9" ht="12.75">
      <c r="B21" s="533" t="s">
        <v>766</v>
      </c>
      <c r="C21" s="421">
        <f>B10*(1-B19)</f>
        <v>12733.156799999997</v>
      </c>
      <c r="G21" s="538">
        <v>1</v>
      </c>
      <c r="H21" s="539">
        <v>0.936</v>
      </c>
      <c r="I21" s="539">
        <v>0.676</v>
      </c>
    </row>
    <row r="22" spans="2:9" ht="12.75">
      <c r="B22" s="533" t="s">
        <v>765</v>
      </c>
      <c r="C22" s="421">
        <f>B10-C21</f>
        <v>370.843200000003</v>
      </c>
      <c r="E22" s="540"/>
      <c r="G22" s="538">
        <v>1</v>
      </c>
      <c r="H22" s="539">
        <v>0.992</v>
      </c>
      <c r="I22" s="539">
        <v>0.918</v>
      </c>
    </row>
    <row r="23" spans="3:9" ht="12.75">
      <c r="C23" s="421"/>
      <c r="G23" s="541"/>
      <c r="H23" s="541"/>
      <c r="I23" s="541"/>
    </row>
    <row r="24" spans="7:9" ht="12.75">
      <c r="G24" s="541"/>
      <c r="H24" s="541"/>
      <c r="I24" s="541"/>
    </row>
    <row r="25" spans="1:9" ht="12.75">
      <c r="A25" s="40" t="s">
        <v>759</v>
      </c>
      <c r="B25" s="542">
        <f>(1-(C7/100))*16</f>
        <v>0.05039999999999978</v>
      </c>
      <c r="G25" s="537" t="s">
        <v>1230</v>
      </c>
      <c r="H25" s="537"/>
      <c r="I25" s="537"/>
    </row>
    <row r="26" spans="2:9" ht="12.75">
      <c r="B26" s="542">
        <f>B25/4</f>
        <v>0.012599999999999945</v>
      </c>
      <c r="G26" s="537" t="s">
        <v>733</v>
      </c>
      <c r="H26" s="537" t="s">
        <v>633</v>
      </c>
      <c r="I26" s="537" t="s">
        <v>634</v>
      </c>
    </row>
    <row r="27" spans="7:9" ht="12.75">
      <c r="G27" s="538">
        <v>1</v>
      </c>
      <c r="H27" s="539">
        <v>0.991</v>
      </c>
      <c r="I27" s="539">
        <v>0.771</v>
      </c>
    </row>
    <row r="28" spans="2:9" ht="12.75">
      <c r="B28" s="533" t="s">
        <v>799</v>
      </c>
      <c r="C28" s="533">
        <f>B11*(1-B26)</f>
        <v>69007.4112</v>
      </c>
      <c r="G28" s="538">
        <v>1</v>
      </c>
      <c r="H28" s="539">
        <v>0.992</v>
      </c>
      <c r="I28" s="539">
        <v>0.918</v>
      </c>
    </row>
    <row r="29" spans="2:3" ht="12.75">
      <c r="B29" s="533" t="s">
        <v>767</v>
      </c>
      <c r="C29" s="533">
        <f>B11-C28</f>
        <v>880.5887999999977</v>
      </c>
    </row>
    <row r="30" ht="12.75"/>
    <row r="31" ht="12.75"/>
    <row r="32" spans="1:4" ht="12.75">
      <c r="A32" s="534" t="s">
        <v>801</v>
      </c>
      <c r="B32" s="795" t="s">
        <v>803</v>
      </c>
      <c r="C32" s="796"/>
      <c r="D32" s="797"/>
    </row>
    <row r="33" spans="1:9" ht="12.75">
      <c r="A33" s="534" t="s">
        <v>800</v>
      </c>
      <c r="B33" s="425" t="s">
        <v>733</v>
      </c>
      <c r="C33" s="425" t="s">
        <v>633</v>
      </c>
      <c r="D33" s="425" t="s">
        <v>634</v>
      </c>
      <c r="F33" s="534" t="s">
        <v>802</v>
      </c>
      <c r="G33" s="795" t="s">
        <v>803</v>
      </c>
      <c r="H33" s="796"/>
      <c r="I33" s="797"/>
    </row>
    <row r="34" spans="1:9" ht="12.75">
      <c r="A34" s="411">
        <v>0</v>
      </c>
      <c r="B34" s="533">
        <v>0.67</v>
      </c>
      <c r="C34" s="533">
        <f>0.936*B34</f>
        <v>0.6271200000000001</v>
      </c>
      <c r="D34" s="533">
        <f>0.676*B34</f>
        <v>0.45292000000000004</v>
      </c>
      <c r="F34" s="534" t="s">
        <v>800</v>
      </c>
      <c r="G34" s="425" t="s">
        <v>733</v>
      </c>
      <c r="H34" s="425" t="s">
        <v>633</v>
      </c>
      <c r="I34" s="425" t="s">
        <v>634</v>
      </c>
    </row>
    <row r="35" spans="1:9" ht="12.75">
      <c r="A35" s="411">
        <v>1</v>
      </c>
      <c r="B35" s="533">
        <v>9.98</v>
      </c>
      <c r="C35" s="533">
        <f>0.992*B35</f>
        <v>9.90016</v>
      </c>
      <c r="D35" s="533">
        <f>0.918*B35</f>
        <v>9.16164</v>
      </c>
      <c r="E35" s="411" t="s">
        <v>614</v>
      </c>
      <c r="F35" s="411">
        <v>0</v>
      </c>
      <c r="G35" s="533">
        <v>0.03</v>
      </c>
      <c r="H35" s="533">
        <f>0.991*G35</f>
        <v>0.02973</v>
      </c>
      <c r="I35" s="533">
        <f>0.771*G35</f>
        <v>0.02313</v>
      </c>
    </row>
    <row r="36" spans="1:9" ht="12.75">
      <c r="A36" s="543"/>
      <c r="B36" s="544"/>
      <c r="D36" s="533"/>
      <c r="F36" s="411">
        <v>1</v>
      </c>
      <c r="G36" s="533">
        <v>0.16</v>
      </c>
      <c r="H36" s="533">
        <f>0.992*G36</f>
        <v>0.15872</v>
      </c>
      <c r="I36" s="533">
        <f>0.918*G36</f>
        <v>0.14688</v>
      </c>
    </row>
    <row r="37" spans="7:9" ht="12.75">
      <c r="G37" s="533"/>
      <c r="H37" s="533"/>
      <c r="I37" s="533"/>
    </row>
    <row r="38" spans="2:9" ht="15.75">
      <c r="B38" s="545" t="s">
        <v>632</v>
      </c>
      <c r="C38" s="545" t="s">
        <v>1598</v>
      </c>
      <c r="D38" s="545" t="s">
        <v>1599</v>
      </c>
      <c r="F38" s="537" t="s">
        <v>1231</v>
      </c>
      <c r="G38" s="546" t="s">
        <v>632</v>
      </c>
      <c r="H38" s="546" t="s">
        <v>633</v>
      </c>
      <c r="I38" s="546" t="s">
        <v>634</v>
      </c>
    </row>
    <row r="39" spans="1:9" ht="12.75">
      <c r="A39" s="410" t="s">
        <v>805</v>
      </c>
      <c r="B39" s="547">
        <f>((B34*$C$21)+(B35*$C$22))/1000</f>
        <v>12.232230192000028</v>
      </c>
      <c r="C39" s="547">
        <f>((C34*$C$21)+(C35*$C$22))/1000</f>
        <v>11.656624307328029</v>
      </c>
      <c r="D39" s="547">
        <f>((D34*$C$21)+(D35*$C$22))/1000</f>
        <v>9.164633272704027</v>
      </c>
      <c r="F39" s="548" t="s">
        <v>805</v>
      </c>
      <c r="G39" s="549">
        <f>B39/Production!$E$3*1000000</f>
        <v>12.947652744391373</v>
      </c>
      <c r="H39" s="549">
        <f>C39/Production!$E$3*1000000</f>
        <v>12.338381581620467</v>
      </c>
      <c r="I39" s="549">
        <f>D39/Production!$E$3*1000000</f>
        <v>9.700642260825965</v>
      </c>
    </row>
    <row r="40" spans="1:9" ht="12.75">
      <c r="A40" s="410" t="s">
        <v>806</v>
      </c>
      <c r="B40" s="550">
        <f>((G35*$C$28)+(G36*$C$29))/1000</f>
        <v>2.2111165439999994</v>
      </c>
      <c r="C40" s="550">
        <f>((H35*$C$28)+(H36*$C$29))/1000</f>
        <v>2.1913573893119995</v>
      </c>
      <c r="D40" s="550">
        <f>((I35*$C$28)+(I36*$C$29))/1000</f>
        <v>1.7254823039999998</v>
      </c>
      <c r="F40" s="548" t="s">
        <v>806</v>
      </c>
      <c r="G40" s="549">
        <f>B40/Production!$E$3*1000000</f>
        <v>2.340437413270247</v>
      </c>
      <c r="H40" s="549">
        <f>C40/Production!$E$3*1000000</f>
        <v>2.3195226111934963</v>
      </c>
      <c r="I40" s="549">
        <f>D40/Production!$E$3*1000000</f>
        <v>1.8264000381055203</v>
      </c>
    </row>
    <row r="41" spans="1:9" ht="12.75">
      <c r="A41" s="410" t="s">
        <v>807</v>
      </c>
      <c r="B41" s="551">
        <f>SUM(B39:B40)</f>
        <v>14.443346736000027</v>
      </c>
      <c r="C41" s="551">
        <f>SUM(C39:C40)</f>
        <v>13.847981696640028</v>
      </c>
      <c r="D41" s="551">
        <f>SUM(D39:D40)</f>
        <v>10.890115576704027</v>
      </c>
      <c r="F41" s="548" t="s">
        <v>807</v>
      </c>
      <c r="G41" s="549">
        <f>B41/Production!$E$3*1000000</f>
        <v>15.28809015766162</v>
      </c>
      <c r="H41" s="549">
        <f>C41/Production!$E$3*1000000</f>
        <v>14.657904192813964</v>
      </c>
      <c r="I41" s="549">
        <f>D41/Production!$E$3*1000000</f>
        <v>11.527042298931486</v>
      </c>
    </row>
    <row r="42" ht="12.75"/>
    <row r="43" ht="12.75"/>
    <row r="44" ht="13.5" thickBot="1"/>
    <row r="45" spans="1:13" ht="13.5" thickBot="1">
      <c r="A45" s="552" t="s">
        <v>79</v>
      </c>
      <c r="B45" s="553"/>
      <c r="C45" s="411" t="s">
        <v>80</v>
      </c>
      <c r="D45" s="554">
        <v>4.5</v>
      </c>
      <c r="E45" s="555" t="s">
        <v>81</v>
      </c>
      <c r="F45" s="556" t="s">
        <v>82</v>
      </c>
      <c r="G45" s="793">
        <f>E73</f>
        <v>0</v>
      </c>
      <c r="H45" s="794"/>
      <c r="I45" s="553" t="s">
        <v>83</v>
      </c>
      <c r="J45" s="553"/>
      <c r="K45" s="559">
        <v>4.5559215</v>
      </c>
      <c r="L45" s="553" t="s">
        <v>84</v>
      </c>
      <c r="M45" s="560" t="s">
        <v>85</v>
      </c>
    </row>
    <row r="46" spans="1:13" ht="13.5" thickBot="1">
      <c r="A46" s="552" t="s">
        <v>86</v>
      </c>
      <c r="B46" s="553"/>
      <c r="C46" s="411" t="s">
        <v>80</v>
      </c>
      <c r="D46" s="554">
        <v>550</v>
      </c>
      <c r="E46" s="555" t="s">
        <v>81</v>
      </c>
      <c r="F46" s="556" t="s">
        <v>82</v>
      </c>
      <c r="G46" s="793">
        <f>E73</f>
        <v>0</v>
      </c>
      <c r="H46" s="794"/>
      <c r="I46" s="553" t="s">
        <v>83</v>
      </c>
      <c r="J46" s="553"/>
      <c r="K46" s="559">
        <v>55.683485</v>
      </c>
      <c r="L46" s="553" t="s">
        <v>84</v>
      </c>
      <c r="M46" s="560" t="s">
        <v>85</v>
      </c>
    </row>
    <row r="47" spans="1:13" ht="13.5" thickBot="1">
      <c r="A47" s="552" t="s">
        <v>87</v>
      </c>
      <c r="B47" s="553"/>
      <c r="C47" s="411" t="s">
        <v>80</v>
      </c>
      <c r="D47" s="554">
        <v>32</v>
      </c>
      <c r="E47" s="555" t="s">
        <v>81</v>
      </c>
      <c r="F47" s="556" t="s">
        <v>82</v>
      </c>
      <c r="G47" s="793">
        <f>E73</f>
        <v>0</v>
      </c>
      <c r="H47" s="794"/>
      <c r="I47" s="553" t="s">
        <v>83</v>
      </c>
      <c r="J47" s="553"/>
      <c r="K47" s="559">
        <v>32.397664</v>
      </c>
      <c r="L47" s="553" t="s">
        <v>84</v>
      </c>
      <c r="M47" s="560" t="s">
        <v>85</v>
      </c>
    </row>
    <row r="48" spans="1:13" ht="13.5" thickBot="1">
      <c r="A48" s="552" t="s">
        <v>88</v>
      </c>
      <c r="B48" s="553"/>
      <c r="C48" s="411" t="s">
        <v>80</v>
      </c>
      <c r="D48" s="554">
        <v>102</v>
      </c>
      <c r="E48" s="555" t="s">
        <v>81</v>
      </c>
      <c r="F48" s="556" t="s">
        <v>82</v>
      </c>
      <c r="G48" s="793">
        <f>E72</f>
        <v>0</v>
      </c>
      <c r="H48" s="794"/>
      <c r="I48" s="553" t="s">
        <v>83</v>
      </c>
      <c r="J48" s="553"/>
      <c r="K48" s="559">
        <v>41.16822</v>
      </c>
      <c r="L48" s="553" t="s">
        <v>84</v>
      </c>
      <c r="M48" s="560" t="s">
        <v>85</v>
      </c>
    </row>
    <row r="49" spans="1:13" ht="13.5" thickBot="1">
      <c r="A49" s="552" t="s">
        <v>89</v>
      </c>
      <c r="B49" s="553"/>
      <c r="C49" s="411" t="s">
        <v>80</v>
      </c>
      <c r="D49" s="554">
        <v>430</v>
      </c>
      <c r="E49" s="555" t="s">
        <v>81</v>
      </c>
      <c r="F49" s="556" t="s">
        <v>82</v>
      </c>
      <c r="G49" s="793">
        <f>E71</f>
        <v>0</v>
      </c>
      <c r="H49" s="794"/>
      <c r="I49" s="553" t="s">
        <v>83</v>
      </c>
      <c r="J49" s="553"/>
      <c r="K49" s="559">
        <v>261.79131</v>
      </c>
      <c r="L49" s="553" t="s">
        <v>84</v>
      </c>
      <c r="M49" s="560" t="s">
        <v>85</v>
      </c>
    </row>
    <row r="50" spans="1:13" ht="13.5" thickBot="1">
      <c r="A50" s="561" t="s">
        <v>1600</v>
      </c>
      <c r="B50" s="553"/>
      <c r="C50" s="411" t="s">
        <v>80</v>
      </c>
      <c r="D50" s="554" t="s">
        <v>90</v>
      </c>
      <c r="E50" s="555" t="s">
        <v>90</v>
      </c>
      <c r="F50" s="556" t="s">
        <v>90</v>
      </c>
      <c r="G50" s="793" t="s">
        <v>90</v>
      </c>
      <c r="H50" s="794"/>
      <c r="I50" s="553" t="s">
        <v>83</v>
      </c>
      <c r="J50" s="553"/>
      <c r="K50" s="562">
        <v>5.8</v>
      </c>
      <c r="L50" s="553" t="s">
        <v>84</v>
      </c>
      <c r="M50" s="560" t="s">
        <v>85</v>
      </c>
    </row>
    <row r="51" spans="1:13" ht="13.5" thickBot="1">
      <c r="A51" s="561" t="s">
        <v>1601</v>
      </c>
      <c r="B51" s="553"/>
      <c r="C51" s="411" t="s">
        <v>80</v>
      </c>
      <c r="D51" s="554" t="s">
        <v>90</v>
      </c>
      <c r="E51" s="555"/>
      <c r="F51" s="556"/>
      <c r="G51" s="557"/>
      <c r="H51" s="558"/>
      <c r="I51" s="553" t="s">
        <v>83</v>
      </c>
      <c r="J51" s="553"/>
      <c r="K51" s="562">
        <v>10.2</v>
      </c>
      <c r="L51" s="553" t="s">
        <v>84</v>
      </c>
      <c r="M51" s="560" t="s">
        <v>85</v>
      </c>
    </row>
    <row r="52" ht="12.75"/>
    <row r="53" ht="12.75"/>
    <row r="54" ht="12.75"/>
  </sheetData>
  <sheetProtection/>
  <mergeCells count="8">
    <mergeCell ref="G49:H49"/>
    <mergeCell ref="G50:H50"/>
    <mergeCell ref="B32:D32"/>
    <mergeCell ref="G33:I33"/>
    <mergeCell ref="G45:H45"/>
    <mergeCell ref="G46:H46"/>
    <mergeCell ref="G47:H47"/>
    <mergeCell ref="G48:H48"/>
  </mergeCells>
  <printOptions/>
  <pageMargins left="0.7480314960629921" right="0.7480314960629921" top="0.984251968503937" bottom="0.984251968503937" header="0.5118110236220472" footer="0.5118110236220472"/>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G54"/>
  <sheetViews>
    <sheetView zoomScalePageLayoutView="0" workbookViewId="0" topLeftCell="E1">
      <selection activeCell="H6" sqref="H6:L6"/>
    </sheetView>
  </sheetViews>
  <sheetFormatPr defaultColWidth="9.00390625" defaultRowHeight="14.25"/>
  <cols>
    <col min="1" max="1" width="10.625" style="0" bestFit="1" customWidth="1"/>
    <col min="2" max="2" width="19.375" style="0" customWidth="1"/>
    <col min="3" max="3" width="19.25390625" style="0" bestFit="1" customWidth="1"/>
    <col min="4" max="4" width="24.00390625" style="0" customWidth="1"/>
    <col min="6" max="6" width="10.625" style="0" bestFit="1" customWidth="1"/>
    <col min="7" max="7" width="11.25390625" style="203" customWidth="1"/>
    <col min="8" max="8" width="40.375" style="0" bestFit="1" customWidth="1"/>
    <col min="9" max="9" width="12.00390625" style="9" bestFit="1" customWidth="1"/>
    <col min="10" max="10" width="13.00390625" style="9" customWidth="1"/>
    <col min="11" max="11" width="12.875" style="9" customWidth="1"/>
    <col min="12" max="12" width="13.625" style="9" customWidth="1"/>
    <col min="13" max="13" width="13.50390625" style="9" customWidth="1"/>
    <col min="16" max="16" width="10.625" style="0" bestFit="1" customWidth="1"/>
    <col min="17" max="17" width="42.75390625" style="0" customWidth="1"/>
    <col min="18" max="18" width="17.00390625" style="0" customWidth="1"/>
    <col min="20" max="20" width="10.625" style="0" bestFit="1" customWidth="1"/>
    <col min="21" max="21" width="8.75390625" style="0" bestFit="1" customWidth="1"/>
    <col min="22" max="22" width="30.875" style="0" bestFit="1" customWidth="1"/>
    <col min="26" max="26" width="40.375" style="0" bestFit="1" customWidth="1"/>
    <col min="27" max="27" width="14.625" style="0" bestFit="1" customWidth="1"/>
    <col min="28" max="28" width="21.00390625" style="9" customWidth="1"/>
    <col min="32" max="32" width="28.00390625" style="0" bestFit="1" customWidth="1"/>
    <col min="33" max="33" width="14.625" style="0" bestFit="1" customWidth="1"/>
    <col min="34" max="34" width="16.50390625" style="9" bestFit="1" customWidth="1"/>
    <col min="35" max="35" width="14.375" style="9" bestFit="1" customWidth="1"/>
    <col min="36" max="36" width="11.375" style="9" bestFit="1" customWidth="1"/>
    <col min="37" max="37" width="9.875" style="9" bestFit="1" customWidth="1"/>
    <col min="43" max="43" width="10.625" style="0" bestFit="1" customWidth="1"/>
    <col min="44" max="44" width="13.75390625" style="10" bestFit="1" customWidth="1"/>
    <col min="45" max="45" width="13.75390625" style="10" customWidth="1"/>
    <col min="46" max="46" width="26.375" style="0" customWidth="1"/>
    <col min="47" max="47" width="9.00390625" style="9" customWidth="1"/>
    <col min="48" max="48" width="13.375" style="9" customWidth="1"/>
    <col min="49" max="49" width="11.75390625" style="9" customWidth="1"/>
    <col min="50" max="51" width="9.00390625" style="9" customWidth="1"/>
    <col min="54" max="54" width="10.625" style="0" bestFit="1" customWidth="1"/>
    <col min="55" max="55" width="13.75390625" style="0" bestFit="1" customWidth="1"/>
    <col min="56" max="56" width="26.125" style="0" bestFit="1" customWidth="1"/>
    <col min="57" max="57" width="18.00390625" style="0" customWidth="1"/>
    <col min="58" max="58" width="16.625" style="0" customWidth="1"/>
    <col min="60" max="60" width="10.625" style="0" bestFit="1" customWidth="1"/>
    <col min="61" max="61" width="10.625" style="0" customWidth="1"/>
    <col min="62" max="62" width="21.00390625" style="15" bestFit="1" customWidth="1"/>
    <col min="63" max="63" width="17.50390625" style="9" bestFit="1" customWidth="1"/>
    <col min="64" max="64" width="20.50390625" style="9" bestFit="1" customWidth="1"/>
    <col min="65" max="65" width="24.50390625" style="9" bestFit="1" customWidth="1"/>
    <col min="66" max="66" width="9.00390625" style="9" customWidth="1"/>
    <col min="67" max="67" width="10.625" style="0" bestFit="1" customWidth="1"/>
    <col min="68" max="68" width="10.125" style="0" customWidth="1"/>
    <col min="69" max="69" width="16.125" style="0" customWidth="1"/>
    <col min="70" max="70" width="40.375" style="0" bestFit="1" customWidth="1"/>
    <col min="71" max="71" width="11.75390625" style="0" customWidth="1"/>
    <col min="72" max="72" width="13.375" style="0" customWidth="1"/>
    <col min="73" max="73" width="18.25390625" style="0" customWidth="1"/>
    <col min="74" max="74" width="9.25390625" style="0" customWidth="1"/>
    <col min="75" max="76" width="8.50390625" style="0" customWidth="1"/>
    <col min="77" max="77" width="21.50390625" style="0" customWidth="1"/>
    <col min="78" max="78" width="17.25390625" style="0" bestFit="1" customWidth="1"/>
    <col min="80" max="80" width="11.625" style="0" bestFit="1" customWidth="1"/>
    <col min="82" max="82" width="17.25390625" style="0" bestFit="1" customWidth="1"/>
    <col min="83" max="84" width="9.50390625" style="0" bestFit="1" customWidth="1"/>
    <col min="85" max="85" width="9.50390625" style="0" customWidth="1"/>
  </cols>
  <sheetData>
    <row r="1" spans="1:80" ht="15.75" thickBot="1">
      <c r="A1" s="10" t="s">
        <v>402</v>
      </c>
      <c r="F1" s="10" t="s">
        <v>413</v>
      </c>
      <c r="P1" s="10" t="s">
        <v>415</v>
      </c>
      <c r="T1" s="10" t="s">
        <v>934</v>
      </c>
      <c r="AE1" s="10" t="s">
        <v>935</v>
      </c>
      <c r="AQ1" s="10" t="s">
        <v>434</v>
      </c>
      <c r="BB1" s="10" t="s">
        <v>439</v>
      </c>
      <c r="BH1" s="10" t="s">
        <v>440</v>
      </c>
      <c r="BI1" s="10"/>
      <c r="BO1" s="10" t="s">
        <v>441</v>
      </c>
      <c r="CB1" s="10" t="s">
        <v>472</v>
      </c>
    </row>
    <row r="2" spans="7:78" ht="54" customHeight="1" thickBot="1">
      <c r="G2" s="204" t="s">
        <v>595</v>
      </c>
      <c r="H2" s="51" t="s">
        <v>648</v>
      </c>
      <c r="I2" s="27" t="s">
        <v>403</v>
      </c>
      <c r="J2" s="27" t="s">
        <v>458</v>
      </c>
      <c r="K2" s="27" t="s">
        <v>457</v>
      </c>
      <c r="L2" s="27" t="s">
        <v>459</v>
      </c>
      <c r="M2" s="27" t="s">
        <v>885</v>
      </c>
      <c r="N2" s="10"/>
      <c r="Q2" s="197" t="s">
        <v>43</v>
      </c>
      <c r="R2" s="207" t="s">
        <v>414</v>
      </c>
      <c r="U2" s="158" t="s">
        <v>115</v>
      </c>
      <c r="V2" s="159" t="s">
        <v>648</v>
      </c>
      <c r="W2" s="160" t="s">
        <v>109</v>
      </c>
      <c r="X2" s="160" t="s">
        <v>110</v>
      </c>
      <c r="AR2" s="204" t="s">
        <v>595</v>
      </c>
      <c r="AS2" s="621" t="s">
        <v>648</v>
      </c>
      <c r="AT2" s="612"/>
      <c r="AU2" s="27" t="s">
        <v>403</v>
      </c>
      <c r="AV2" s="27" t="s">
        <v>478</v>
      </c>
      <c r="AW2" s="27" t="s">
        <v>457</v>
      </c>
      <c r="AX2" s="27" t="s">
        <v>401</v>
      </c>
      <c r="AY2" s="27" t="s">
        <v>885</v>
      </c>
      <c r="BP2" s="232" t="s">
        <v>512</v>
      </c>
      <c r="BQ2" s="232" t="s">
        <v>595</v>
      </c>
      <c r="BR2" s="27" t="s">
        <v>648</v>
      </c>
      <c r="BS2" s="27" t="s">
        <v>403</v>
      </c>
      <c r="BT2" s="27" t="s">
        <v>518</v>
      </c>
      <c r="BU2" s="27" t="s">
        <v>569</v>
      </c>
      <c r="BV2" s="27" t="s">
        <v>1327</v>
      </c>
      <c r="BW2" s="629" t="s">
        <v>511</v>
      </c>
      <c r="BX2" s="630"/>
      <c r="BY2" s="227" t="s">
        <v>568</v>
      </c>
      <c r="BZ2" s="227" t="s">
        <v>1575</v>
      </c>
    </row>
    <row r="3" spans="2:85" ht="18" customHeight="1" thickBot="1">
      <c r="B3" s="204" t="s">
        <v>595</v>
      </c>
      <c r="C3" s="204" t="s">
        <v>596</v>
      </c>
      <c r="D3" s="27" t="s">
        <v>591</v>
      </c>
      <c r="G3" s="614" t="s">
        <v>599</v>
      </c>
      <c r="H3" s="13" t="s">
        <v>698</v>
      </c>
      <c r="I3" s="12" t="s">
        <v>699</v>
      </c>
      <c r="J3" s="29">
        <f>'Table for GL'!J65</f>
        <v>4.451540300136411</v>
      </c>
      <c r="K3" s="29">
        <f>'Table for GL'!L65</f>
        <v>58.556472337978285</v>
      </c>
      <c r="L3" s="28">
        <f>'Table for GL'!I65</f>
        <v>0.26066649644633333</v>
      </c>
      <c r="M3" s="28">
        <f>(L3*365*24*60*60)/1000000</f>
        <v>8.220378631931569</v>
      </c>
      <c r="N3" s="22">
        <f>(J3*K3)/1000</f>
        <v>0.26066649644633333</v>
      </c>
      <c r="Q3" s="208" t="s">
        <v>49</v>
      </c>
      <c r="R3" s="209">
        <v>1</v>
      </c>
      <c r="U3" s="161" t="s">
        <v>701</v>
      </c>
      <c r="V3" s="44" t="s">
        <v>700</v>
      </c>
      <c r="W3" s="157">
        <f>'[4]A'!$F$14/8760</f>
        <v>0.975</v>
      </c>
      <c r="X3" s="42">
        <v>0.4</v>
      </c>
      <c r="Z3" s="51" t="s">
        <v>648</v>
      </c>
      <c r="AA3" s="51" t="s">
        <v>403</v>
      </c>
      <c r="AB3" s="207" t="s">
        <v>416</v>
      </c>
      <c r="AF3" s="10"/>
      <c r="AG3" s="10"/>
      <c r="AH3" s="618" t="s">
        <v>433</v>
      </c>
      <c r="AI3" s="619"/>
      <c r="AJ3" s="619"/>
      <c r="AK3" s="620"/>
      <c r="AR3" s="609" t="s">
        <v>644</v>
      </c>
      <c r="AS3" s="611" t="s">
        <v>435</v>
      </c>
      <c r="AT3" s="612"/>
      <c r="AU3" s="210" t="s">
        <v>734</v>
      </c>
      <c r="AV3" s="29">
        <f>'Table for GL'!J47</f>
        <v>17.429175268158314</v>
      </c>
      <c r="AW3" s="50">
        <f>'Table for GL'!L47</f>
        <v>134.47280000000003</v>
      </c>
      <c r="AX3" s="29">
        <f>'Table for GL'!I47</f>
        <v>2.34375</v>
      </c>
      <c r="AY3" s="29">
        <f>AX3*60*60*24*365/1000000</f>
        <v>73.9125</v>
      </c>
      <c r="BC3" s="204" t="s">
        <v>595</v>
      </c>
      <c r="BD3" s="51" t="s">
        <v>648</v>
      </c>
      <c r="BE3" s="27" t="s">
        <v>611</v>
      </c>
      <c r="BF3" s="27" t="s">
        <v>613</v>
      </c>
      <c r="BI3" s="51" t="s">
        <v>595</v>
      </c>
      <c r="BJ3" s="156" t="s">
        <v>158</v>
      </c>
      <c r="BK3" s="14" t="s">
        <v>630</v>
      </c>
      <c r="BL3" s="14" t="s">
        <v>442</v>
      </c>
      <c r="BM3" s="14" t="s">
        <v>612</v>
      </c>
      <c r="BP3" s="602" t="s">
        <v>513</v>
      </c>
      <c r="BQ3" s="582" t="s">
        <v>599</v>
      </c>
      <c r="BR3" s="13" t="s">
        <v>698</v>
      </c>
      <c r="BS3" s="12" t="s">
        <v>699</v>
      </c>
      <c r="BT3" s="12">
        <v>190</v>
      </c>
      <c r="BU3" s="50">
        <f>'Table for GL'!F65</f>
        <v>127</v>
      </c>
      <c r="BV3" s="29">
        <f>'Table for GL'!G65</f>
        <v>4.5</v>
      </c>
      <c r="BW3" s="50">
        <f>'Table for GL'!D65</f>
        <v>277062</v>
      </c>
      <c r="BX3" s="50">
        <f>'Table for GL'!E65</f>
        <v>185795</v>
      </c>
      <c r="BY3" s="228"/>
      <c r="BZ3" s="29" t="str">
        <f>'Table for GL'!O65</f>
        <v>Coke battery</v>
      </c>
      <c r="CC3" s="594" t="s">
        <v>460</v>
      </c>
      <c r="CD3" s="593" t="s">
        <v>461</v>
      </c>
      <c r="CE3" s="593" t="s">
        <v>462</v>
      </c>
      <c r="CF3" s="593"/>
      <c r="CG3" s="270"/>
    </row>
    <row r="4" spans="2:85" ht="15.75" customHeight="1" thickBot="1">
      <c r="B4" s="204" t="s">
        <v>599</v>
      </c>
      <c r="C4" s="215" t="s">
        <v>592</v>
      </c>
      <c r="D4" s="216">
        <v>944745</v>
      </c>
      <c r="G4" s="614"/>
      <c r="H4" s="13" t="s">
        <v>700</v>
      </c>
      <c r="I4" s="12" t="s">
        <v>701</v>
      </c>
      <c r="J4" s="29">
        <f>'Table for GL'!J66</f>
        <v>22.940723079361725</v>
      </c>
      <c r="K4" s="29">
        <f>'Table for GL'!L66</f>
        <v>10.514444444444445</v>
      </c>
      <c r="L4" s="28">
        <f>'Table for GL'!I66</f>
        <v>0.236625988125</v>
      </c>
      <c r="M4" s="29">
        <f>(L4*365*24*60*60)/1000000</f>
        <v>7.462237161509999</v>
      </c>
      <c r="N4" s="287">
        <f>0.981*(J4*K4)/1000</f>
        <v>0.23662598812500002</v>
      </c>
      <c r="Q4" s="208" t="s">
        <v>53</v>
      </c>
      <c r="R4" s="209">
        <v>0.9</v>
      </c>
      <c r="U4" s="161" t="s">
        <v>699</v>
      </c>
      <c r="V4" s="44" t="s">
        <v>698</v>
      </c>
      <c r="W4" s="42">
        <f>'[4]A'!$B$14/8760</f>
        <v>1</v>
      </c>
      <c r="X4" s="42">
        <v>1</v>
      </c>
      <c r="Z4" s="13" t="s">
        <v>650</v>
      </c>
      <c r="AA4" s="12" t="s">
        <v>651</v>
      </c>
      <c r="AB4" s="12">
        <v>85</v>
      </c>
      <c r="AC4">
        <v>2010</v>
      </c>
      <c r="AF4" s="51" t="s">
        <v>648</v>
      </c>
      <c r="AG4" s="51" t="s">
        <v>403</v>
      </c>
      <c r="AH4" s="14" t="s">
        <v>429</v>
      </c>
      <c r="AI4" s="14" t="s">
        <v>430</v>
      </c>
      <c r="AJ4" s="14" t="s">
        <v>431</v>
      </c>
      <c r="AK4" s="14" t="s">
        <v>432</v>
      </c>
      <c r="AR4" s="610"/>
      <c r="AS4" s="611" t="s">
        <v>436</v>
      </c>
      <c r="AT4" s="612"/>
      <c r="AU4" s="210" t="s">
        <v>734</v>
      </c>
      <c r="AV4" s="29">
        <f>'Table for GL'!J48</f>
        <v>15.046296296296296</v>
      </c>
      <c r="AW4" s="50">
        <f>'Table for GL'!L48</f>
        <v>135.00000000000003</v>
      </c>
      <c r="AX4" s="29">
        <f>'Table for GL'!I48</f>
        <v>2.0312500000000004</v>
      </c>
      <c r="AY4" s="29">
        <f>AX4*60*60*24*365/1000000</f>
        <v>64.05750000000002</v>
      </c>
      <c r="BC4" s="609" t="s">
        <v>644</v>
      </c>
      <c r="BD4" s="13" t="s">
        <v>435</v>
      </c>
      <c r="BE4" s="29">
        <f>'PT Diffuse emissions - process'!C19</f>
        <v>27</v>
      </c>
      <c r="BF4" s="29" t="str">
        <f>'PT Diffuse emissions - process'!D19</f>
        <v>g/tonne iron</v>
      </c>
      <c r="BI4" s="602" t="s">
        <v>443</v>
      </c>
      <c r="BJ4" s="217" t="s">
        <v>753</v>
      </c>
      <c r="BK4" s="28">
        <f>(BM4*1000000)/(365*24*60*60)</f>
        <v>0.18356571149577486</v>
      </c>
      <c r="BL4" s="226" t="s">
        <v>509</v>
      </c>
      <c r="BM4" s="201">
        <f>'Diffuse emissions summary'!F33</f>
        <v>5.788928277730755</v>
      </c>
      <c r="BP4" s="597"/>
      <c r="BQ4" s="583"/>
      <c r="BR4" s="13" t="s">
        <v>700</v>
      </c>
      <c r="BS4" s="12" t="s">
        <v>701</v>
      </c>
      <c r="BT4" s="12">
        <v>40</v>
      </c>
      <c r="BU4" s="50">
        <f>'Table for GL'!F66</f>
        <v>20</v>
      </c>
      <c r="BV4" s="29">
        <f>'Table for GL'!G66</f>
        <v>1.4</v>
      </c>
      <c r="BW4" s="50">
        <f>'Table for GL'!D66</f>
        <v>277174</v>
      </c>
      <c r="BX4" s="50">
        <f>'Table for GL'!E66</f>
        <v>185691</v>
      </c>
      <c r="BY4" s="228"/>
      <c r="BZ4" s="29" t="str">
        <f>'Table for GL'!O66</f>
        <v>Coke battery</v>
      </c>
      <c r="CC4" s="594"/>
      <c r="CD4" s="593"/>
      <c r="CE4" s="221" t="s">
        <v>463</v>
      </c>
      <c r="CF4" s="221" t="s">
        <v>464</v>
      </c>
      <c r="CG4" s="270"/>
    </row>
    <row r="5" spans="2:85" ht="18" thickBot="1">
      <c r="B5" s="204" t="s">
        <v>602</v>
      </c>
      <c r="C5" s="215" t="s">
        <v>1320</v>
      </c>
      <c r="D5" s="216">
        <v>4405515</v>
      </c>
      <c r="G5" s="614"/>
      <c r="H5" s="13" t="s">
        <v>448</v>
      </c>
      <c r="I5" s="12" t="s">
        <v>1431</v>
      </c>
      <c r="J5" s="29">
        <f>'Table for GL'!J72</f>
        <v>0.7743794243504499</v>
      </c>
      <c r="K5" s="29">
        <f>'Table for GL'!L72</f>
        <v>114</v>
      </c>
      <c r="L5" s="29">
        <f>'Table for GL'!I72</f>
        <v>0.0882792543759513</v>
      </c>
      <c r="M5" s="29">
        <f>L5*365*24*60*60/1000000</f>
        <v>2.7839745660000004</v>
      </c>
      <c r="N5" s="287">
        <f aca="true" t="shared" si="0" ref="N5:N17">(J5*K5)/1000</f>
        <v>0.0882792543759513</v>
      </c>
      <c r="Q5" s="208" t="s">
        <v>55</v>
      </c>
      <c r="R5" s="209">
        <v>0.82</v>
      </c>
      <c r="U5" s="161" t="s">
        <v>651</v>
      </c>
      <c r="V5" s="44" t="s">
        <v>650</v>
      </c>
      <c r="W5" s="42">
        <f>'[5]A'!$B$28/8760</f>
        <v>0.8538812785388128</v>
      </c>
      <c r="X5" s="42">
        <v>0.8</v>
      </c>
      <c r="Z5" s="13" t="s">
        <v>652</v>
      </c>
      <c r="AA5" s="12" t="s">
        <v>653</v>
      </c>
      <c r="AB5" s="12">
        <v>85</v>
      </c>
      <c r="AC5">
        <v>2010</v>
      </c>
      <c r="AF5" s="13" t="s">
        <v>660</v>
      </c>
      <c r="AG5" s="12" t="s">
        <v>661</v>
      </c>
      <c r="AH5" s="219">
        <v>1685323.2498143527</v>
      </c>
      <c r="AI5" s="219">
        <v>269472.03022294707</v>
      </c>
      <c r="AJ5" s="219">
        <v>447286.5284147488</v>
      </c>
      <c r="AK5" s="219" t="s">
        <v>734</v>
      </c>
      <c r="AR5" s="609" t="s">
        <v>602</v>
      </c>
      <c r="AS5" s="611" t="s">
        <v>610</v>
      </c>
      <c r="AT5" s="612"/>
      <c r="AU5" s="210" t="s">
        <v>734</v>
      </c>
      <c r="AV5" s="29">
        <f>'Table for GL'!J22</f>
        <v>5.396886446886448</v>
      </c>
      <c r="AW5" s="50">
        <f>'Table for GL'!L22</f>
        <v>273.2600732600733</v>
      </c>
      <c r="AX5" s="29">
        <f>'Table for GL'!I22</f>
        <v>0.6881030219780222</v>
      </c>
      <c r="AY5" s="29">
        <f>AX5*60*60*24*365/1000000</f>
        <v>21.700016901098905</v>
      </c>
      <c r="BC5" s="610"/>
      <c r="BD5" s="13" t="s">
        <v>436</v>
      </c>
      <c r="BE5" s="29">
        <f>'PT Diffuse emissions - process'!C19</f>
        <v>27</v>
      </c>
      <c r="BF5" s="29" t="str">
        <f>'PT Diffuse emissions - process'!D19</f>
        <v>g/tonne iron</v>
      </c>
      <c r="BI5" s="597"/>
      <c r="BJ5" s="217" t="s">
        <v>752</v>
      </c>
      <c r="BK5" s="28">
        <f>(BM5*1000000)/(365*24*60*60)</f>
        <v>0.6883714181091557</v>
      </c>
      <c r="BL5" s="226" t="s">
        <v>510</v>
      </c>
      <c r="BM5" s="201">
        <f>'Diffuse emissions summary'!F32</f>
        <v>21.708481041490334</v>
      </c>
      <c r="BP5" s="597"/>
      <c r="BQ5" s="584"/>
      <c r="BR5" s="13" t="s">
        <v>704</v>
      </c>
      <c r="BS5" s="12" t="s">
        <v>1431</v>
      </c>
      <c r="BT5" s="12">
        <v>80</v>
      </c>
      <c r="BU5" s="50">
        <f>'Table for GL'!F72</f>
        <v>43.7</v>
      </c>
      <c r="BV5" s="29">
        <f>'Table for GL'!G72</f>
        <v>10.633140249826598</v>
      </c>
      <c r="BW5" s="50">
        <f>'Table for GL'!D72</f>
        <v>277029</v>
      </c>
      <c r="BX5" s="50">
        <f>'Table for GL'!E72</f>
        <v>186005</v>
      </c>
      <c r="BY5" s="228"/>
      <c r="BZ5" s="29" t="str">
        <f>'Table for GL'!O72</f>
        <v>None</v>
      </c>
      <c r="CC5" s="218">
        <v>1</v>
      </c>
      <c r="CD5" s="218" t="s">
        <v>466</v>
      </c>
      <c r="CE5" s="60">
        <v>277404</v>
      </c>
      <c r="CF5" s="60">
        <v>188726</v>
      </c>
      <c r="CG5" s="271"/>
    </row>
    <row r="6" spans="2:85" ht="18" thickBot="1">
      <c r="B6" s="204" t="s">
        <v>605</v>
      </c>
      <c r="C6" s="215" t="s">
        <v>593</v>
      </c>
      <c r="D6" s="216">
        <v>3855281</v>
      </c>
      <c r="G6" s="617"/>
      <c r="H6" s="605" t="s">
        <v>639</v>
      </c>
      <c r="I6" s="605"/>
      <c r="J6" s="605"/>
      <c r="K6" s="605"/>
      <c r="L6" s="605"/>
      <c r="M6" s="29">
        <f>SUM(M3:M5)</f>
        <v>18.466590359441568</v>
      </c>
      <c r="Q6" s="208" t="s">
        <v>56</v>
      </c>
      <c r="R6" s="209">
        <v>0.9</v>
      </c>
      <c r="U6" s="161" t="s">
        <v>653</v>
      </c>
      <c r="V6" s="44" t="s">
        <v>652</v>
      </c>
      <c r="W6" s="42">
        <f>'[5]A'!$E$28/8760</f>
        <v>0.8538812785388128</v>
      </c>
      <c r="X6" s="42">
        <v>0.8</v>
      </c>
      <c r="Z6" s="13" t="s">
        <v>654</v>
      </c>
      <c r="AA6" s="12" t="s">
        <v>655</v>
      </c>
      <c r="AB6" s="210" t="s">
        <v>502</v>
      </c>
      <c r="AC6">
        <v>2010</v>
      </c>
      <c r="AF6" s="13" t="s">
        <v>662</v>
      </c>
      <c r="AG6" s="12" t="s">
        <v>663</v>
      </c>
      <c r="AH6" s="219">
        <v>2135576.900587696</v>
      </c>
      <c r="AI6" s="219">
        <v>482437.48585926066</v>
      </c>
      <c r="AJ6" s="219">
        <v>419076.65823147766</v>
      </c>
      <c r="AK6" s="219" t="s">
        <v>734</v>
      </c>
      <c r="AR6" s="610"/>
      <c r="AS6" s="611" t="s">
        <v>609</v>
      </c>
      <c r="AT6" s="612"/>
      <c r="AU6" s="599" t="s">
        <v>438</v>
      </c>
      <c r="AV6" s="600"/>
      <c r="AW6" s="600"/>
      <c r="AX6" s="600"/>
      <c r="AY6" s="601"/>
      <c r="BC6" s="609" t="s">
        <v>602</v>
      </c>
      <c r="BD6" s="13" t="s">
        <v>585</v>
      </c>
      <c r="BE6" s="29"/>
      <c r="BF6" s="29"/>
      <c r="BI6" s="597"/>
      <c r="BJ6" s="217" t="s">
        <v>1262</v>
      </c>
      <c r="BK6" s="28">
        <f>(BM6*1000000)/(365*24*60*60)</f>
        <v>0</v>
      </c>
      <c r="BL6" s="267" t="s">
        <v>370</v>
      </c>
      <c r="BM6" s="201">
        <f>'Diffuse emissions summary'!F58</f>
        <v>0</v>
      </c>
      <c r="BP6" s="597"/>
      <c r="BQ6" s="582" t="s">
        <v>602</v>
      </c>
      <c r="BR6" s="13" t="s">
        <v>650</v>
      </c>
      <c r="BS6" s="12" t="s">
        <v>651</v>
      </c>
      <c r="BT6" s="12">
        <v>120</v>
      </c>
      <c r="BU6" s="50">
        <f>'Table for GL'!F18</f>
        <v>133</v>
      </c>
      <c r="BV6" s="29">
        <f>'Table for GL'!G18</f>
        <v>6.3</v>
      </c>
      <c r="BW6" s="50">
        <f>'Table for GL'!D18</f>
        <v>276509</v>
      </c>
      <c r="BX6" s="50">
        <f>'Table for GL'!E18</f>
        <v>188020</v>
      </c>
      <c r="BY6" s="228"/>
      <c r="BZ6" s="29" t="str">
        <f>'Table for GL'!O18</f>
        <v>Sinter plant</v>
      </c>
      <c r="CC6" s="218">
        <v>2</v>
      </c>
      <c r="CD6" s="218" t="s">
        <v>467</v>
      </c>
      <c r="CE6" s="60">
        <v>276227</v>
      </c>
      <c r="CF6" s="60">
        <v>189379</v>
      </c>
      <c r="CG6" s="271"/>
    </row>
    <row r="7" spans="2:85" ht="15.75" customHeight="1" thickBot="1">
      <c r="B7" s="204" t="s">
        <v>607</v>
      </c>
      <c r="C7" s="215" t="s">
        <v>594</v>
      </c>
      <c r="D7" s="216">
        <v>4413899</v>
      </c>
      <c r="G7" s="614" t="s">
        <v>602</v>
      </c>
      <c r="H7" s="13" t="s">
        <v>650</v>
      </c>
      <c r="I7" s="12" t="s">
        <v>651</v>
      </c>
      <c r="J7" s="29">
        <f>'Table for GL'!J18</f>
        <v>42.5218894996044</v>
      </c>
      <c r="K7" s="50">
        <f>'Table for GL'!L18</f>
        <v>354.9940740740741</v>
      </c>
      <c r="L7" s="29">
        <f>'Table for GL'!I18</f>
        <v>12.830765972173333</v>
      </c>
      <c r="M7" s="29">
        <f>L7*365*24*60*60/1000000</f>
        <v>404.6310356984582</v>
      </c>
      <c r="N7" s="292">
        <f>0.85*((J7*K7)/1000)</f>
        <v>12.830765972173333</v>
      </c>
      <c r="Q7" s="208" t="s">
        <v>57</v>
      </c>
      <c r="R7" s="209">
        <v>0.95</v>
      </c>
      <c r="U7" s="161" t="s">
        <v>661</v>
      </c>
      <c r="V7" s="44" t="s">
        <v>660</v>
      </c>
      <c r="W7" s="42">
        <f>'[2]A'!$B$14/8760</f>
        <v>1</v>
      </c>
      <c r="X7" s="42">
        <v>0.9</v>
      </c>
      <c r="Z7" s="13" t="s">
        <v>656</v>
      </c>
      <c r="AA7" s="12" t="s">
        <v>657</v>
      </c>
      <c r="AB7" s="210" t="s">
        <v>497</v>
      </c>
      <c r="AC7">
        <v>2010</v>
      </c>
      <c r="AD7" t="s">
        <v>417</v>
      </c>
      <c r="AF7" s="13" t="s">
        <v>698</v>
      </c>
      <c r="AG7" s="12" t="s">
        <v>699</v>
      </c>
      <c r="AH7" s="219">
        <v>2335880.7296132054</v>
      </c>
      <c r="AI7" s="219">
        <v>970748.1082700599</v>
      </c>
      <c r="AJ7" s="219" t="s">
        <v>734</v>
      </c>
      <c r="AK7" s="219" t="s">
        <v>734</v>
      </c>
      <c r="AR7" s="51" t="s">
        <v>607</v>
      </c>
      <c r="AS7" s="611" t="s">
        <v>1378</v>
      </c>
      <c r="AT7" s="612"/>
      <c r="AU7" s="210" t="s">
        <v>734</v>
      </c>
      <c r="AV7" s="29">
        <f>'Table for GL'!J61</f>
        <v>4.5066634749649355</v>
      </c>
      <c r="AW7" s="50">
        <f>'Table for GL'!L61</f>
        <v>2938</v>
      </c>
      <c r="AX7" s="29">
        <f>'Table for GL'!I61</f>
        <v>13.24057728944698</v>
      </c>
      <c r="AY7" s="29">
        <f aca="true" t="shared" si="1" ref="AY7:AY12">AX7*60*60*24*365/1000000</f>
        <v>417.5548454</v>
      </c>
      <c r="BC7" s="610"/>
      <c r="BD7" s="13" t="s">
        <v>609</v>
      </c>
      <c r="BE7" s="606" t="s">
        <v>583</v>
      </c>
      <c r="BF7" s="606"/>
      <c r="BI7" s="597"/>
      <c r="BJ7" s="217" t="s">
        <v>1471</v>
      </c>
      <c r="BK7" s="599" t="s">
        <v>445</v>
      </c>
      <c r="BL7" s="600"/>
      <c r="BM7" s="601"/>
      <c r="BP7" s="597"/>
      <c r="BQ7" s="583"/>
      <c r="BR7" s="13" t="s">
        <v>652</v>
      </c>
      <c r="BS7" s="12" t="s">
        <v>653</v>
      </c>
      <c r="BT7" s="12">
        <v>50</v>
      </c>
      <c r="BU7" s="50">
        <f>'Table for GL'!F19</f>
        <v>55</v>
      </c>
      <c r="BV7" s="29">
        <f>'Table for GL'!G19</f>
        <v>4.5</v>
      </c>
      <c r="BW7" s="50">
        <f>'Table for GL'!D19</f>
        <v>276680</v>
      </c>
      <c r="BX7" s="50">
        <f>'Table for GL'!E19</f>
        <v>188050</v>
      </c>
      <c r="BY7" s="228"/>
      <c r="BZ7" s="29" t="str">
        <f>'Table for GL'!O19</f>
        <v>Sinter plant</v>
      </c>
      <c r="CC7" s="218">
        <v>3</v>
      </c>
      <c r="CD7" s="218" t="s">
        <v>468</v>
      </c>
      <c r="CE7" s="60">
        <v>276897</v>
      </c>
      <c r="CF7" s="60">
        <v>189544</v>
      </c>
      <c r="CG7" s="271"/>
    </row>
    <row r="8" spans="7:85" ht="15.75" customHeight="1" thickBot="1">
      <c r="G8" s="614"/>
      <c r="H8" s="13" t="s">
        <v>652</v>
      </c>
      <c r="I8" s="12" t="s">
        <v>653</v>
      </c>
      <c r="J8" s="29">
        <f>'Table for GL'!J19</f>
        <v>41.354453695835346</v>
      </c>
      <c r="K8" s="50">
        <f>'Table for GL'!L19</f>
        <v>202.33138888888888</v>
      </c>
      <c r="L8" s="29">
        <f>'Table for GL'!I19</f>
        <v>7.112208445066669</v>
      </c>
      <c r="M8" s="29">
        <f>L8*365*24*60*60/1000000</f>
        <v>224.29060552362245</v>
      </c>
      <c r="N8" s="292">
        <f>0.85*(J8*K8)/1000</f>
        <v>7.112208445066669</v>
      </c>
      <c r="Q8" s="208" t="s">
        <v>58</v>
      </c>
      <c r="R8" s="209">
        <v>0.1</v>
      </c>
      <c r="U8" s="161" t="s">
        <v>663</v>
      </c>
      <c r="V8" s="44" t="s">
        <v>662</v>
      </c>
      <c r="W8" s="42">
        <f>'[2]A'!$E$14/8760</f>
        <v>1</v>
      </c>
      <c r="X8" s="42">
        <v>0.9</v>
      </c>
      <c r="Z8" s="13" t="s">
        <v>658</v>
      </c>
      <c r="AA8" s="12" t="s">
        <v>659</v>
      </c>
      <c r="AB8" s="210" t="s">
        <v>498</v>
      </c>
      <c r="AC8">
        <v>2010</v>
      </c>
      <c r="AD8" t="s">
        <v>417</v>
      </c>
      <c r="AF8" s="202" t="s">
        <v>706</v>
      </c>
      <c r="AG8" s="12" t="s">
        <v>707</v>
      </c>
      <c r="AH8" s="219">
        <v>752208.0964022626</v>
      </c>
      <c r="AI8" s="219">
        <v>523575.8938627043</v>
      </c>
      <c r="AJ8" s="219">
        <v>18187.738317656836</v>
      </c>
      <c r="AK8" s="220" t="s">
        <v>734</v>
      </c>
      <c r="AR8" s="609" t="s">
        <v>599</v>
      </c>
      <c r="AS8" s="622" t="s">
        <v>1425</v>
      </c>
      <c r="AT8" s="13" t="s">
        <v>504</v>
      </c>
      <c r="AU8" s="623" t="s">
        <v>377</v>
      </c>
      <c r="AV8" s="29" t="s">
        <v>437</v>
      </c>
      <c r="AW8" s="50">
        <v>0</v>
      </c>
      <c r="AX8" s="28">
        <f>'PT Diffuse emissions - process'!F7</f>
        <v>0.06592184717465753</v>
      </c>
      <c r="AY8" s="29">
        <f t="shared" si="1"/>
        <v>2.0789113725</v>
      </c>
      <c r="BC8" s="51" t="s">
        <v>607</v>
      </c>
      <c r="BD8" s="13" t="s">
        <v>1378</v>
      </c>
      <c r="BE8" s="29">
        <f>'PT Diffuse emissions - process'!C25</f>
        <v>94.6</v>
      </c>
      <c r="BF8" s="29" t="str">
        <f>'PT Diffuse emissions - process'!D25</f>
        <v>g/tonne LS</v>
      </c>
      <c r="BI8" s="597"/>
      <c r="BJ8" s="217" t="s">
        <v>1562</v>
      </c>
      <c r="BK8" s="599" t="s">
        <v>445</v>
      </c>
      <c r="BL8" s="600"/>
      <c r="BM8" s="601"/>
      <c r="BP8" s="597"/>
      <c r="BQ8" s="584"/>
      <c r="BR8" s="13" t="s">
        <v>654</v>
      </c>
      <c r="BS8" s="12" t="s">
        <v>655</v>
      </c>
      <c r="BT8" s="12">
        <v>30</v>
      </c>
      <c r="BU8" s="50">
        <f>'Table for GL'!F20</f>
        <v>20</v>
      </c>
      <c r="BV8" s="29">
        <f>'Table for GL'!G20</f>
        <v>2.5</v>
      </c>
      <c r="BW8" s="50">
        <f>'Table for GL'!D20</f>
        <v>276757</v>
      </c>
      <c r="BX8" s="50">
        <f>'Table for GL'!E20</f>
        <v>188026</v>
      </c>
      <c r="BY8" s="228"/>
      <c r="BZ8" s="29" t="str">
        <f>'Table for GL'!O20</f>
        <v>Sinter plant</v>
      </c>
      <c r="CC8" s="218">
        <v>4</v>
      </c>
      <c r="CD8" s="218" t="s">
        <v>469</v>
      </c>
      <c r="CE8" s="60">
        <v>277403</v>
      </c>
      <c r="CF8" s="60">
        <v>189316</v>
      </c>
      <c r="CG8" s="271"/>
    </row>
    <row r="9" spans="7:85" ht="15" customHeight="1" thickBot="1">
      <c r="G9" s="614"/>
      <c r="H9" s="13" t="s">
        <v>451</v>
      </c>
      <c r="I9" s="12" t="s">
        <v>655</v>
      </c>
      <c r="J9" s="29">
        <f>'Table for GL'!J20</f>
        <v>95.6</v>
      </c>
      <c r="K9" s="28">
        <f>'Table for GL'!L20</f>
        <v>5.4</v>
      </c>
      <c r="L9" s="28">
        <f>'Table for GL'!I20</f>
        <v>0.42323420159999997</v>
      </c>
      <c r="M9" s="29">
        <f>L9*365*24*60*60/1000000</f>
        <v>13.3471137816576</v>
      </c>
      <c r="N9" s="287">
        <f>0.85*(J9*K9)/1000</f>
        <v>0.43880399999999997</v>
      </c>
      <c r="Q9" s="208" t="s">
        <v>59</v>
      </c>
      <c r="R9" s="209">
        <v>0.1</v>
      </c>
      <c r="U9" s="161" t="s">
        <v>665</v>
      </c>
      <c r="V9" s="44" t="s">
        <v>664</v>
      </c>
      <c r="W9" s="42"/>
      <c r="X9" s="42">
        <v>0.9</v>
      </c>
      <c r="Z9" s="13" t="s">
        <v>660</v>
      </c>
      <c r="AA9" s="12" t="s">
        <v>661</v>
      </c>
      <c r="AB9" s="12" t="s">
        <v>424</v>
      </c>
      <c r="AC9">
        <v>2010</v>
      </c>
      <c r="AF9" s="202" t="s">
        <v>26</v>
      </c>
      <c r="AG9" s="12" t="s">
        <v>709</v>
      </c>
      <c r="AH9" s="219">
        <v>656107.8601564114</v>
      </c>
      <c r="AI9" s="219">
        <v>62230.649955428235</v>
      </c>
      <c r="AJ9" s="219">
        <v>126696.98635609601</v>
      </c>
      <c r="AK9" s="219">
        <v>52542.810515969824</v>
      </c>
      <c r="AR9" s="591"/>
      <c r="AS9" s="591"/>
      <c r="AT9" s="13" t="s">
        <v>508</v>
      </c>
      <c r="AU9" s="595"/>
      <c r="AV9" s="29" t="s">
        <v>437</v>
      </c>
      <c r="AW9" s="50">
        <v>0</v>
      </c>
      <c r="AX9" s="29">
        <f>'PT Diffuse emissions - process'!F10</f>
        <v>0.4391166189954347</v>
      </c>
      <c r="AY9" s="29">
        <f t="shared" si="1"/>
        <v>13.847981696640032</v>
      </c>
      <c r="BC9" s="609" t="s">
        <v>599</v>
      </c>
      <c r="BD9" s="13" t="s">
        <v>737</v>
      </c>
      <c r="BE9" s="29">
        <f>'PT Diffuse emissions - process'!C7</f>
        <v>2.2005</v>
      </c>
      <c r="BF9" s="29" t="str">
        <f>'PT Diffuse emissions - process'!D7</f>
        <v>g/tonne coke</v>
      </c>
      <c r="BI9" s="597"/>
      <c r="BJ9" s="217" t="s">
        <v>1532</v>
      </c>
      <c r="BK9" s="599" t="s">
        <v>445</v>
      </c>
      <c r="BL9" s="600"/>
      <c r="BM9" s="601"/>
      <c r="BP9" s="597"/>
      <c r="BQ9" s="582" t="s">
        <v>644</v>
      </c>
      <c r="BR9" s="13" t="s">
        <v>656</v>
      </c>
      <c r="BS9" s="12" t="s">
        <v>657</v>
      </c>
      <c r="BT9" s="12">
        <v>200</v>
      </c>
      <c r="BU9" s="50">
        <f>'Table for GL'!F24</f>
        <v>88</v>
      </c>
      <c r="BV9" s="29">
        <f>'Table for GL'!G24</f>
        <v>0.6</v>
      </c>
      <c r="BW9" s="50">
        <f>'Table for GL'!D24</f>
        <v>277120</v>
      </c>
      <c r="BX9" s="50">
        <f>'Table for GL'!E24</f>
        <v>188110</v>
      </c>
      <c r="BY9" s="228"/>
      <c r="BZ9" s="29" t="str">
        <f>'Table for GL'!O24</f>
        <v>No. 4 BF casthouse</v>
      </c>
      <c r="CC9" s="218">
        <v>5</v>
      </c>
      <c r="CD9" s="218" t="s">
        <v>470</v>
      </c>
      <c r="CE9" s="60">
        <v>278086</v>
      </c>
      <c r="CF9" s="60">
        <v>187558</v>
      </c>
      <c r="CG9" s="271"/>
    </row>
    <row r="10" spans="7:85" ht="18" thickBot="1">
      <c r="G10" s="614"/>
      <c r="H10" s="605" t="s">
        <v>642</v>
      </c>
      <c r="I10" s="605"/>
      <c r="J10" s="605"/>
      <c r="K10" s="605"/>
      <c r="L10" s="605"/>
      <c r="M10" s="29">
        <f>SUM(M7:M9)</f>
        <v>642.2687550037383</v>
      </c>
      <c r="Q10" s="208" t="s">
        <v>60</v>
      </c>
      <c r="R10" s="209">
        <v>0.96</v>
      </c>
      <c r="U10" s="161" t="s">
        <v>667</v>
      </c>
      <c r="V10" s="44" t="s">
        <v>666</v>
      </c>
      <c r="W10" s="42"/>
      <c r="X10" s="42">
        <v>0.9</v>
      </c>
      <c r="Z10" s="13" t="s">
        <v>662</v>
      </c>
      <c r="AA10" s="12" t="s">
        <v>663</v>
      </c>
      <c r="AB10" s="12" t="s">
        <v>424</v>
      </c>
      <c r="AC10">
        <v>2010</v>
      </c>
      <c r="AF10" s="202" t="s">
        <v>157</v>
      </c>
      <c r="AG10" s="12" t="s">
        <v>711</v>
      </c>
      <c r="AH10" s="219">
        <v>2020530.988815736</v>
      </c>
      <c r="AI10" s="219">
        <v>401391.61484817433</v>
      </c>
      <c r="AJ10" s="219">
        <v>238378.36998167512</v>
      </c>
      <c r="AK10" s="219">
        <v>586364.840026684</v>
      </c>
      <c r="AR10" s="591"/>
      <c r="AS10" s="591"/>
      <c r="AT10" s="222" t="s">
        <v>506</v>
      </c>
      <c r="AU10" s="595"/>
      <c r="AV10" s="29" t="s">
        <v>437</v>
      </c>
      <c r="AW10" s="50">
        <v>0</v>
      </c>
      <c r="AX10" s="29">
        <f>'PT Diffuse emissions - process'!F13</f>
        <v>0.1109931578196347</v>
      </c>
      <c r="AY10" s="29">
        <f t="shared" si="1"/>
        <v>3.5002802249999996</v>
      </c>
      <c r="BC10" s="591"/>
      <c r="BD10" s="13" t="s">
        <v>586</v>
      </c>
      <c r="BE10" s="29">
        <f>'PT Diffuse emissions - process'!C13</f>
        <v>3.8</v>
      </c>
      <c r="BF10" s="29" t="str">
        <f>'PT Diffuse emissions - process'!D16</f>
        <v>g/tonne coke</v>
      </c>
      <c r="BI10" s="598"/>
      <c r="BJ10" s="16" t="s">
        <v>638</v>
      </c>
      <c r="BK10" s="599" t="s">
        <v>445</v>
      </c>
      <c r="BL10" s="600"/>
      <c r="BM10" s="601"/>
      <c r="BP10" s="597"/>
      <c r="BQ10" s="585"/>
      <c r="BR10" s="13" t="s">
        <v>658</v>
      </c>
      <c r="BS10" s="12" t="s">
        <v>659</v>
      </c>
      <c r="BT10" s="12">
        <v>200</v>
      </c>
      <c r="BU10" s="50">
        <f>'Table for GL'!F26</f>
        <v>83</v>
      </c>
      <c r="BV10" s="29">
        <f>'Table for GL'!G26</f>
        <v>0.6</v>
      </c>
      <c r="BW10" s="50">
        <f>'Table for GL'!D26</f>
        <v>277090</v>
      </c>
      <c r="BX10" s="50">
        <f>'Table for GL'!E26</f>
        <v>187950</v>
      </c>
      <c r="BY10" s="228"/>
      <c r="BZ10" s="29" t="str">
        <f>'Table for GL'!O26</f>
        <v>No. 5 BF casthouse</v>
      </c>
      <c r="CC10" s="218">
        <v>6</v>
      </c>
      <c r="CD10" s="218" t="s">
        <v>471</v>
      </c>
      <c r="CE10" s="60">
        <v>278731</v>
      </c>
      <c r="CF10" s="60">
        <v>186762</v>
      </c>
      <c r="CG10" s="271"/>
    </row>
    <row r="11" spans="7:85" ht="17.25" customHeight="1" thickBot="1">
      <c r="G11" s="602" t="s">
        <v>644</v>
      </c>
      <c r="H11" s="13" t="s">
        <v>452</v>
      </c>
      <c r="I11" s="12" t="s">
        <v>657</v>
      </c>
      <c r="J11" s="29">
        <f>'Table for GL'!J24</f>
        <v>200</v>
      </c>
      <c r="K11" s="28">
        <f>'Table for GL'!L24</f>
        <v>0.27</v>
      </c>
      <c r="L11" s="268">
        <f>'Table for GL'!I24</f>
        <v>0.048276000000000006</v>
      </c>
      <c r="M11" s="29">
        <f aca="true" t="shared" si="2" ref="M11:M19">L11*365*24*60*60/1000000</f>
        <v>1.5224319360000003</v>
      </c>
      <c r="N11" s="22">
        <f>0.93*(J11*K11)/1000</f>
        <v>0.05022000000000001</v>
      </c>
      <c r="Q11" s="208" t="s">
        <v>63</v>
      </c>
      <c r="R11" s="209">
        <v>0.46</v>
      </c>
      <c r="U11" s="161" t="s">
        <v>669</v>
      </c>
      <c r="V11" s="44" t="s">
        <v>668</v>
      </c>
      <c r="W11" s="42">
        <f>'[2]A'!$N$14/8760</f>
        <v>1</v>
      </c>
      <c r="X11" s="42">
        <v>0.9</v>
      </c>
      <c r="Z11" s="13" t="s">
        <v>404</v>
      </c>
      <c r="AA11" s="12" t="s">
        <v>665</v>
      </c>
      <c r="AB11" s="12">
        <v>100</v>
      </c>
      <c r="AC11">
        <v>2010</v>
      </c>
      <c r="AD11" t="s">
        <v>417</v>
      </c>
      <c r="AF11" s="202" t="s">
        <v>27</v>
      </c>
      <c r="AG11" s="12" t="s">
        <v>713</v>
      </c>
      <c r="AH11" s="219">
        <v>2319230.876253048</v>
      </c>
      <c r="AI11" s="219">
        <v>693400.7632149818</v>
      </c>
      <c r="AJ11" s="219">
        <v>305789.43813263916</v>
      </c>
      <c r="AK11" s="219">
        <v>817945.9949958746</v>
      </c>
      <c r="AR11" s="591"/>
      <c r="AS11" s="591"/>
      <c r="AT11" s="222" t="s">
        <v>507</v>
      </c>
      <c r="AU11" s="595"/>
      <c r="AV11" s="29" t="s">
        <v>437</v>
      </c>
      <c r="AW11" s="50">
        <v>0</v>
      </c>
      <c r="AX11" s="29">
        <f>'PT Diffuse emissions - process'!F16</f>
        <v>0.41191792713089803</v>
      </c>
      <c r="AY11" s="29">
        <f t="shared" si="1"/>
        <v>12.99024375</v>
      </c>
      <c r="BC11" s="591"/>
      <c r="BD11" s="13" t="s">
        <v>587</v>
      </c>
      <c r="BE11" s="29">
        <f>'PT Diffuse emissions - process'!C17</f>
        <v>55</v>
      </c>
      <c r="BF11" s="29" t="str">
        <f>'PT Diffuse emissions - process'!D17</f>
        <v>g/tonne coke</v>
      </c>
      <c r="BI11" s="631" t="s">
        <v>444</v>
      </c>
      <c r="BJ11" s="217" t="s">
        <v>1469</v>
      </c>
      <c r="BK11" s="599" t="s">
        <v>445</v>
      </c>
      <c r="BL11" s="600"/>
      <c r="BM11" s="601"/>
      <c r="BP11" s="597"/>
      <c r="BQ11" s="585"/>
      <c r="BR11" s="13" t="s">
        <v>660</v>
      </c>
      <c r="BS11" s="12" t="s">
        <v>661</v>
      </c>
      <c r="BT11" s="12">
        <v>242</v>
      </c>
      <c r="BU11" s="50">
        <f>'Table for GL'!F28</f>
        <v>74</v>
      </c>
      <c r="BV11" s="29">
        <v>3.81</v>
      </c>
      <c r="BW11" s="50">
        <f>'Table for GL'!D28</f>
        <v>277088</v>
      </c>
      <c r="BX11" s="50">
        <f>'Table for GL'!E28</f>
        <v>188165</v>
      </c>
      <c r="BY11" s="228"/>
      <c r="BZ11" s="29" t="str">
        <f>'Table for GL'!O28</f>
        <v>No. 4 BF casthouse</v>
      </c>
      <c r="CC11" s="104">
        <v>7</v>
      </c>
      <c r="CD11" s="104" t="s">
        <v>354</v>
      </c>
      <c r="CE11" s="12">
        <v>277689</v>
      </c>
      <c r="CF11" s="12">
        <v>188235</v>
      </c>
      <c r="CG11" s="68"/>
    </row>
    <row r="12" spans="7:78" ht="17.25" customHeight="1" thickBot="1">
      <c r="G12" s="603"/>
      <c r="H12" s="13" t="s">
        <v>453</v>
      </c>
      <c r="I12" s="12" t="s">
        <v>659</v>
      </c>
      <c r="J12" s="29">
        <f>'Table for GL'!J26</f>
        <v>200</v>
      </c>
      <c r="K12" s="28">
        <f>'Table for GL'!L26</f>
        <v>0.27</v>
      </c>
      <c r="L12" s="268">
        <f>'Table for GL'!I26</f>
        <v>0.051408</v>
      </c>
      <c r="M12" s="29">
        <f t="shared" si="2"/>
        <v>1.6212026880000001</v>
      </c>
      <c r="N12" s="22">
        <f>0.92*(J12*K12)/1000</f>
        <v>0.04968</v>
      </c>
      <c r="Q12" s="208" t="s">
        <v>494</v>
      </c>
      <c r="R12" s="209">
        <v>0.96</v>
      </c>
      <c r="U12" s="161" t="s">
        <v>731</v>
      </c>
      <c r="V12" s="44" t="s">
        <v>676</v>
      </c>
      <c r="W12" s="42"/>
      <c r="X12" s="42">
        <v>0.38</v>
      </c>
      <c r="Z12" s="13" t="s">
        <v>405</v>
      </c>
      <c r="AA12" s="12" t="s">
        <v>667</v>
      </c>
      <c r="AB12" s="210" t="s">
        <v>497</v>
      </c>
      <c r="AC12">
        <v>2010</v>
      </c>
      <c r="AD12" t="s">
        <v>417</v>
      </c>
      <c r="AF12" s="202" t="s">
        <v>409</v>
      </c>
      <c r="AG12" s="12" t="s">
        <v>681</v>
      </c>
      <c r="AH12" s="219">
        <v>1374098.3521231564</v>
      </c>
      <c r="AI12" s="219">
        <v>129310.80926374352</v>
      </c>
      <c r="AJ12" s="219">
        <v>30139.482193234286</v>
      </c>
      <c r="AK12" s="219">
        <v>85497.6590900523</v>
      </c>
      <c r="AR12" s="592"/>
      <c r="AS12" s="592"/>
      <c r="AT12" t="s">
        <v>505</v>
      </c>
      <c r="AU12" s="565"/>
      <c r="AV12" s="224" t="s">
        <v>437</v>
      </c>
      <c r="AW12" s="225">
        <v>0</v>
      </c>
      <c r="AX12" s="224">
        <f>SUM(AX8:AX11)</f>
        <v>1.027949551120625</v>
      </c>
      <c r="AY12" s="224">
        <f t="shared" si="1"/>
        <v>32.41741704414003</v>
      </c>
      <c r="BC12" s="592"/>
      <c r="BD12" s="211" t="s">
        <v>584</v>
      </c>
      <c r="BE12" s="606" t="s">
        <v>588</v>
      </c>
      <c r="BF12" s="606"/>
      <c r="BI12" s="631"/>
      <c r="BJ12" s="217" t="s">
        <v>1267</v>
      </c>
      <c r="BK12" s="599" t="s">
        <v>445</v>
      </c>
      <c r="BL12" s="600"/>
      <c r="BM12" s="601"/>
      <c r="BP12" s="597"/>
      <c r="BQ12" s="585"/>
      <c r="BR12" s="13" t="s">
        <v>662</v>
      </c>
      <c r="BS12" s="12" t="s">
        <v>663</v>
      </c>
      <c r="BT12" s="12">
        <v>200</v>
      </c>
      <c r="BU12" s="50">
        <f>'Table for GL'!F29</f>
        <v>74</v>
      </c>
      <c r="BV12" s="29">
        <f>'Table for GL'!G29</f>
        <v>3.5</v>
      </c>
      <c r="BW12" s="50">
        <f>'Table for GL'!D29</f>
        <v>277077</v>
      </c>
      <c r="BX12" s="50">
        <f>'Table for GL'!E29</f>
        <v>187921</v>
      </c>
      <c r="BY12" s="228"/>
      <c r="BZ12" s="29" t="str">
        <f>'Table for GL'!O29</f>
        <v>No. 5 BF casthouse</v>
      </c>
    </row>
    <row r="13" spans="7:78" ht="15" customHeight="1" thickBot="1">
      <c r="G13" s="603"/>
      <c r="H13" s="13" t="s">
        <v>660</v>
      </c>
      <c r="I13" s="12" t="s">
        <v>661</v>
      </c>
      <c r="J13" s="29">
        <f>'Table for GL'!J28</f>
        <v>4.506097057792379</v>
      </c>
      <c r="K13" s="29">
        <f>'Table for GL'!L28</f>
        <v>34.59487961058284</v>
      </c>
      <c r="L13" s="29">
        <f>'Table for GL'!I28</f>
        <v>0.1558878852279289</v>
      </c>
      <c r="M13" s="29">
        <f t="shared" si="2"/>
        <v>4.9160803485479665</v>
      </c>
      <c r="N13" s="287">
        <f t="shared" si="0"/>
        <v>0.1558878852279289</v>
      </c>
      <c r="Q13" s="294" t="s">
        <v>493</v>
      </c>
      <c r="R13" s="293">
        <v>0.1</v>
      </c>
      <c r="U13" s="161" t="s">
        <v>732</v>
      </c>
      <c r="V13" s="44" t="s">
        <v>676</v>
      </c>
      <c r="W13" s="42"/>
      <c r="X13" s="42">
        <v>0.38</v>
      </c>
      <c r="Z13" s="13" t="s">
        <v>406</v>
      </c>
      <c r="AA13" s="12" t="s">
        <v>669</v>
      </c>
      <c r="AB13" s="210" t="s">
        <v>498</v>
      </c>
      <c r="AC13">
        <v>2010</v>
      </c>
      <c r="AF13" s="202" t="s">
        <v>714</v>
      </c>
      <c r="AG13" s="12" t="s">
        <v>715</v>
      </c>
      <c r="AH13" s="219">
        <v>1684449.3499211576</v>
      </c>
      <c r="AI13" s="219" t="s">
        <v>734</v>
      </c>
      <c r="AJ13" s="219">
        <v>230693.62879634148</v>
      </c>
      <c r="AK13" s="219">
        <v>126312.18048542566</v>
      </c>
      <c r="AR13" s="609" t="s">
        <v>986</v>
      </c>
      <c r="AS13" s="611" t="s">
        <v>1380</v>
      </c>
      <c r="AT13" s="612"/>
      <c r="AU13" s="599" t="s">
        <v>438</v>
      </c>
      <c r="AV13" s="600"/>
      <c r="AW13" s="600"/>
      <c r="AX13" s="600"/>
      <c r="AY13" s="601"/>
      <c r="BC13" s="609" t="s">
        <v>986</v>
      </c>
      <c r="BD13" s="13" t="s">
        <v>1380</v>
      </c>
      <c r="BE13" s="606" t="s">
        <v>583</v>
      </c>
      <c r="BF13" s="606"/>
      <c r="BI13" s="631"/>
      <c r="BJ13" s="217" t="s">
        <v>447</v>
      </c>
      <c r="BK13" s="599" t="s">
        <v>445</v>
      </c>
      <c r="BL13" s="600"/>
      <c r="BM13" s="601"/>
      <c r="BP13" s="597"/>
      <c r="BQ13" s="585"/>
      <c r="BR13" s="83" t="s">
        <v>664</v>
      </c>
      <c r="BS13" s="60" t="s">
        <v>665</v>
      </c>
      <c r="BT13" s="60">
        <v>50</v>
      </c>
      <c r="BU13" s="50">
        <f>'Table for GL'!F30</f>
        <v>32</v>
      </c>
      <c r="BV13" s="29">
        <f>'Table for GL'!G30</f>
        <v>4</v>
      </c>
      <c r="BW13" s="50">
        <f>'Table for GL'!D30</f>
        <v>277053</v>
      </c>
      <c r="BX13" s="50">
        <f>'Table for GL'!E30</f>
        <v>188214</v>
      </c>
      <c r="BY13" s="228"/>
      <c r="BZ13" s="29" t="str">
        <f>'Table for GL'!O30</f>
        <v>No. 4 BF casthouse</v>
      </c>
    </row>
    <row r="14" spans="7:78" ht="17.25" thickBot="1">
      <c r="G14" s="603"/>
      <c r="H14" s="13" t="s">
        <v>662</v>
      </c>
      <c r="I14" s="12" t="s">
        <v>663</v>
      </c>
      <c r="J14" s="29">
        <f>'Table for GL'!J29</f>
        <v>3.4359846469430155</v>
      </c>
      <c r="K14" s="29">
        <f>'Table for GL'!L29</f>
        <v>48.46024475725456</v>
      </c>
      <c r="L14" s="29">
        <f>'Table for GL'!I29</f>
        <v>0.16650865697302744</v>
      </c>
      <c r="M14" s="29">
        <f t="shared" si="2"/>
        <v>5.251017006301394</v>
      </c>
      <c r="N14" s="287">
        <f t="shared" si="0"/>
        <v>0.16650865697302744</v>
      </c>
      <c r="Q14" s="208" t="s">
        <v>93</v>
      </c>
      <c r="R14" s="209">
        <v>0.87</v>
      </c>
      <c r="U14" s="161" t="s">
        <v>735</v>
      </c>
      <c r="V14" s="44"/>
      <c r="W14" s="42"/>
      <c r="X14" s="42" t="s">
        <v>155</v>
      </c>
      <c r="Z14" s="13" t="s">
        <v>418</v>
      </c>
      <c r="AA14" s="12" t="s">
        <v>731</v>
      </c>
      <c r="AB14" s="210" t="s">
        <v>499</v>
      </c>
      <c r="AC14">
        <v>2005</v>
      </c>
      <c r="AF14" s="202" t="s">
        <v>111</v>
      </c>
      <c r="AG14" s="12" t="s">
        <v>958</v>
      </c>
      <c r="AH14" s="219">
        <v>786014.3781999999</v>
      </c>
      <c r="AI14" s="219" t="s">
        <v>734</v>
      </c>
      <c r="AJ14" s="219">
        <v>1199152.4071999998</v>
      </c>
      <c r="AK14" s="219" t="s">
        <v>734</v>
      </c>
      <c r="AR14" s="610"/>
      <c r="AS14" s="611" t="s">
        <v>1379</v>
      </c>
      <c r="AT14" s="612"/>
      <c r="AU14" s="599" t="s">
        <v>438</v>
      </c>
      <c r="AV14" s="600"/>
      <c r="AW14" s="600"/>
      <c r="AX14" s="600"/>
      <c r="AY14" s="601"/>
      <c r="BC14" s="610"/>
      <c r="BD14" s="13" t="s">
        <v>1379</v>
      </c>
      <c r="BE14" s="606" t="s">
        <v>583</v>
      </c>
      <c r="BF14" s="606"/>
      <c r="BI14" s="631"/>
      <c r="BJ14" s="16" t="s">
        <v>446</v>
      </c>
      <c r="BK14" s="599" t="s">
        <v>445</v>
      </c>
      <c r="BL14" s="600"/>
      <c r="BM14" s="601"/>
      <c r="BP14" s="597"/>
      <c r="BQ14" s="585"/>
      <c r="BR14" s="83" t="s">
        <v>666</v>
      </c>
      <c r="BS14" s="60" t="s">
        <v>667</v>
      </c>
      <c r="BT14" s="60">
        <v>50</v>
      </c>
      <c r="BU14" s="50">
        <f>'Table for GL'!F31</f>
        <v>32</v>
      </c>
      <c r="BV14" s="29">
        <f>'Table for GL'!G31</f>
        <v>4</v>
      </c>
      <c r="BW14" s="50">
        <f>'Table for GL'!D31</f>
        <v>277042</v>
      </c>
      <c r="BX14" s="50">
        <f>'Table for GL'!E31</f>
        <v>188160</v>
      </c>
      <c r="BY14" s="228"/>
      <c r="BZ14" s="29" t="str">
        <f>'Table for GL'!O31</f>
        <v>No. 4 BF casthouse</v>
      </c>
    </row>
    <row r="15" spans="7:78" ht="18" thickBot="1">
      <c r="G15" s="603"/>
      <c r="H15" s="13" t="s">
        <v>404</v>
      </c>
      <c r="I15" s="12" t="s">
        <v>665</v>
      </c>
      <c r="J15" s="29">
        <f>'Table for GL'!J30</f>
        <v>3.1685896294900253</v>
      </c>
      <c r="K15" s="29">
        <f>'Table for GL'!L30</f>
        <v>159.43055555555554</v>
      </c>
      <c r="L15" s="29">
        <f>'Table for GL'!I30</f>
        <v>0.5051700049571667</v>
      </c>
      <c r="M15" s="29">
        <f t="shared" si="2"/>
        <v>15.931041276329209</v>
      </c>
      <c r="N15" s="287">
        <f t="shared" si="0"/>
        <v>0.5051700049571666</v>
      </c>
      <c r="Q15" s="208" t="s">
        <v>94</v>
      </c>
      <c r="R15" s="209">
        <v>0.86</v>
      </c>
      <c r="U15" s="161" t="s">
        <v>683</v>
      </c>
      <c r="V15" s="44" t="s">
        <v>682</v>
      </c>
      <c r="W15" s="42">
        <f>'[3]A'!$Q$12/8760</f>
        <v>1</v>
      </c>
      <c r="X15" s="42">
        <v>0.94</v>
      </c>
      <c r="Z15" s="13" t="s">
        <v>419</v>
      </c>
      <c r="AA15" s="12" t="s">
        <v>732</v>
      </c>
      <c r="AB15" s="210" t="s">
        <v>500</v>
      </c>
      <c r="AC15">
        <v>2010</v>
      </c>
      <c r="AD15" t="s">
        <v>417</v>
      </c>
      <c r="AF15" s="202" t="s">
        <v>112</v>
      </c>
      <c r="AG15" s="12" t="s">
        <v>962</v>
      </c>
      <c r="AH15" s="219">
        <v>920511.8544999999</v>
      </c>
      <c r="AI15" s="219" t="s">
        <v>734</v>
      </c>
      <c r="AJ15" s="219">
        <v>1052451.4082000002</v>
      </c>
      <c r="AK15" s="219" t="s">
        <v>734</v>
      </c>
      <c r="AR15" s="607" t="s">
        <v>890</v>
      </c>
      <c r="AS15" s="607"/>
      <c r="AT15" s="608"/>
      <c r="AU15" s="608"/>
      <c r="AV15" s="608"/>
      <c r="AW15" s="608"/>
      <c r="AX15" s="608"/>
      <c r="AY15" s="38">
        <f>AY3+AY4+AY5+AY7+AY12</f>
        <v>609.642279345239</v>
      </c>
      <c r="BC15" s="214" t="s">
        <v>589</v>
      </c>
      <c r="BI15" s="631"/>
      <c r="BJ15" s="16" t="s">
        <v>1415</v>
      </c>
      <c r="BK15" s="599" t="s">
        <v>445</v>
      </c>
      <c r="BL15" s="600"/>
      <c r="BM15" s="601"/>
      <c r="BP15" s="597"/>
      <c r="BQ15" s="585"/>
      <c r="BR15" s="13" t="s">
        <v>406</v>
      </c>
      <c r="BS15" s="12" t="s">
        <v>669</v>
      </c>
      <c r="BT15" s="12">
        <v>50</v>
      </c>
      <c r="BU15" s="50">
        <f>'Table for GL'!F32</f>
        <v>40</v>
      </c>
      <c r="BV15" s="29">
        <f>'Table for GL'!G32</f>
        <v>7</v>
      </c>
      <c r="BW15" s="50">
        <f>'Table for GL'!D32</f>
        <v>277200</v>
      </c>
      <c r="BX15" s="50">
        <f>'Table for GL'!E32</f>
        <v>187900</v>
      </c>
      <c r="BY15" s="228"/>
      <c r="BZ15" s="29" t="str">
        <f>'Table for GL'!O32</f>
        <v>No. 5 BF casthouse</v>
      </c>
    </row>
    <row r="16" spans="7:78" ht="18" thickBot="1">
      <c r="G16" s="603"/>
      <c r="H16" s="13" t="s">
        <v>405</v>
      </c>
      <c r="I16" s="12" t="s">
        <v>667</v>
      </c>
      <c r="J16" s="29">
        <f>'Table for GL'!J31</f>
        <v>4.251685199999999</v>
      </c>
      <c r="K16" s="29">
        <f>'Table for GL'!L31</f>
        <v>141.31472222222223</v>
      </c>
      <c r="L16" s="28">
        <f>'Table for GL'!I31</f>
        <v>0.5371381874348139</v>
      </c>
      <c r="M16" s="29">
        <f t="shared" si="2"/>
        <v>16.93918987894429</v>
      </c>
      <c r="N16" s="287">
        <f t="shared" si="0"/>
        <v>0.6008257130143333</v>
      </c>
      <c r="Q16" s="208" t="s">
        <v>95</v>
      </c>
      <c r="R16" s="209">
        <v>0.86</v>
      </c>
      <c r="U16" s="161" t="s">
        <v>685</v>
      </c>
      <c r="V16" s="44" t="s">
        <v>684</v>
      </c>
      <c r="W16" s="42">
        <f>'[3]A'!$T$12/8760</f>
        <v>1</v>
      </c>
      <c r="X16" s="42">
        <v>0.94</v>
      </c>
      <c r="Z16" s="13" t="s">
        <v>420</v>
      </c>
      <c r="AA16" s="12" t="s">
        <v>735</v>
      </c>
      <c r="AB16" s="210" t="s">
        <v>501</v>
      </c>
      <c r="AC16">
        <v>2010</v>
      </c>
      <c r="AD16" t="s">
        <v>417</v>
      </c>
      <c r="AR16" s="229" t="s">
        <v>376</v>
      </c>
      <c r="BC16" s="214" t="s">
        <v>936</v>
      </c>
      <c r="BI16" s="605" t="s">
        <v>890</v>
      </c>
      <c r="BJ16" s="605"/>
      <c r="BK16" s="605"/>
      <c r="BL16" s="605"/>
      <c r="BM16" s="50">
        <f>SUM(BM4:BM6)</f>
        <v>27.497409319221088</v>
      </c>
      <c r="BP16" s="597"/>
      <c r="BQ16" s="585"/>
      <c r="BR16" s="13" t="s">
        <v>1593</v>
      </c>
      <c r="BS16" s="60" t="s">
        <v>571</v>
      </c>
      <c r="BT16" s="60">
        <v>80</v>
      </c>
      <c r="BU16" s="50">
        <f>'Table for GL'!F41</f>
        <v>27</v>
      </c>
      <c r="BV16" s="29">
        <f>'Table for GL'!G41</f>
        <v>1.8384776310850235</v>
      </c>
      <c r="BW16" s="50">
        <f>'Table for GL'!D41</f>
        <v>277002</v>
      </c>
      <c r="BX16" s="50">
        <f>'Table for GL'!E41</f>
        <v>187942</v>
      </c>
      <c r="BY16" s="228"/>
      <c r="BZ16" s="29" t="str">
        <f>'Table for GL'!O40</f>
        <v>No. 5 BF casthouse</v>
      </c>
    </row>
    <row r="17" spans="7:78" ht="17.25" thickBot="1">
      <c r="G17" s="603"/>
      <c r="H17" s="13" t="s">
        <v>406</v>
      </c>
      <c r="I17" s="12" t="s">
        <v>669</v>
      </c>
      <c r="J17" s="29">
        <f>'Table for GL'!J32</f>
        <v>2.924</v>
      </c>
      <c r="K17" s="29">
        <f>'Table for GL'!L32</f>
        <v>347.9172222222222</v>
      </c>
      <c r="L17" s="28">
        <f>'Table for GL'!I32</f>
        <v>0.9684790798044444</v>
      </c>
      <c r="M17" s="29">
        <f t="shared" si="2"/>
        <v>30.541956260712958</v>
      </c>
      <c r="N17" s="287">
        <f t="shared" si="0"/>
        <v>1.0173099577777778</v>
      </c>
      <c r="Q17" s="208" t="s">
        <v>96</v>
      </c>
      <c r="R17" s="209">
        <v>0.86</v>
      </c>
      <c r="U17" s="161" t="s">
        <v>728</v>
      </c>
      <c r="V17" s="44" t="s">
        <v>689</v>
      </c>
      <c r="W17" s="42">
        <f>'[3]A'!$H$12/8760</f>
        <v>1</v>
      </c>
      <c r="X17" s="42">
        <v>0.67</v>
      </c>
      <c r="Z17" s="13" t="s">
        <v>682</v>
      </c>
      <c r="AA17" s="12" t="s">
        <v>683</v>
      </c>
      <c r="AB17" s="12">
        <v>100</v>
      </c>
      <c r="AC17">
        <v>2010</v>
      </c>
      <c r="AD17" t="s">
        <v>417</v>
      </c>
      <c r="AR17" s="229" t="s">
        <v>378</v>
      </c>
      <c r="BC17" s="214" t="s">
        <v>590</v>
      </c>
      <c r="BP17" s="597"/>
      <c r="BQ17" s="586"/>
      <c r="BR17" s="13" t="s">
        <v>570</v>
      </c>
      <c r="BS17" s="60" t="s">
        <v>572</v>
      </c>
      <c r="BT17" s="60">
        <v>80</v>
      </c>
      <c r="BU17" s="50">
        <f>'Table for GL'!F39</f>
        <v>27</v>
      </c>
      <c r="BV17" s="29">
        <f>'Table for GL'!G39</f>
        <v>1.3</v>
      </c>
      <c r="BW17" s="50">
        <f>'Table for GL'!D39</f>
        <v>276912</v>
      </c>
      <c r="BX17" s="50">
        <f>'Table for GL'!E39</f>
        <v>187960</v>
      </c>
      <c r="BY17" s="228"/>
      <c r="BZ17" s="29" t="str">
        <f>'Table for GL'!O39</f>
        <v>No. 5 BF casthouse</v>
      </c>
    </row>
    <row r="18" spans="7:78" ht="18" thickBot="1">
      <c r="G18" s="603"/>
      <c r="H18" s="13" t="s">
        <v>454</v>
      </c>
      <c r="I18" s="12" t="s">
        <v>1594</v>
      </c>
      <c r="J18" s="29">
        <f>'Table for GL'!J41</f>
        <v>4.902000000000001</v>
      </c>
      <c r="K18" s="29">
        <f>'Table for GL'!L41</f>
        <v>17.881666666666668</v>
      </c>
      <c r="L18" s="268">
        <f>'Table for GL'!I41</f>
        <v>0.018591434993333336</v>
      </c>
      <c r="M18" s="29">
        <f>L18*365*24*60*60/1000000</f>
        <v>0.5862994939497601</v>
      </c>
      <c r="N18" s="288">
        <f>0.34*(J18*K18)/1000</f>
        <v>0.02980301620000001</v>
      </c>
      <c r="U18" s="161" t="s">
        <v>729</v>
      </c>
      <c r="V18" s="44" t="s">
        <v>689</v>
      </c>
      <c r="W18" s="42">
        <f>'[3]A'!$K$12/8760</f>
        <v>1</v>
      </c>
      <c r="X18" s="42">
        <v>0.67</v>
      </c>
      <c r="Z18" s="13" t="s">
        <v>684</v>
      </c>
      <c r="AA18" s="12" t="s">
        <v>685</v>
      </c>
      <c r="AB18" s="12">
        <v>100</v>
      </c>
      <c r="AC18">
        <v>2010</v>
      </c>
      <c r="BP18" s="597"/>
      <c r="BQ18" s="582" t="s">
        <v>607</v>
      </c>
      <c r="BR18" s="13" t="s">
        <v>682</v>
      </c>
      <c r="BS18" s="12" t="s">
        <v>683</v>
      </c>
      <c r="BT18" s="12">
        <v>40</v>
      </c>
      <c r="BU18" s="50">
        <f>'Table for GL'!F50</f>
        <v>29</v>
      </c>
      <c r="BV18" s="29">
        <f>'Table for GL'!G50</f>
        <v>3.2</v>
      </c>
      <c r="BW18" s="50">
        <f>'Table for GL'!D50</f>
        <v>277069</v>
      </c>
      <c r="BX18" s="50">
        <f>'Table for GL'!E50</f>
        <v>187043</v>
      </c>
      <c r="BY18" s="228"/>
      <c r="BZ18" s="29" t="str">
        <f>'Table for GL'!O50</f>
        <v>BOS plant</v>
      </c>
    </row>
    <row r="19" spans="7:78" ht="18" thickBot="1">
      <c r="G19" s="603"/>
      <c r="H19" s="13" t="s">
        <v>379</v>
      </c>
      <c r="I19" s="12" t="s">
        <v>735</v>
      </c>
      <c r="J19" s="29">
        <f>'Table for GL'!J39</f>
        <v>2.2360000000000007</v>
      </c>
      <c r="K19" s="29">
        <f>'Table for GL'!L39</f>
        <v>10.802777777777777</v>
      </c>
      <c r="L19" s="268">
        <f>'Table for GL'!I39</f>
        <v>0.024155011111111114</v>
      </c>
      <c r="M19" s="29">
        <f t="shared" si="2"/>
        <v>0.7617524304000001</v>
      </c>
      <c r="N19" s="290">
        <f>0.46*(J19*K19)/1000</f>
        <v>0.011111305111111114</v>
      </c>
      <c r="U19" s="161"/>
      <c r="V19" s="44"/>
      <c r="W19" s="42"/>
      <c r="X19" s="42"/>
      <c r="Z19" s="13" t="s">
        <v>686</v>
      </c>
      <c r="AA19" s="12" t="s">
        <v>687</v>
      </c>
      <c r="AB19" s="12">
        <v>100</v>
      </c>
      <c r="BP19" s="597"/>
      <c r="BQ19" s="597"/>
      <c r="BR19" s="13" t="s">
        <v>684</v>
      </c>
      <c r="BS19" s="12" t="s">
        <v>685</v>
      </c>
      <c r="BT19" s="12">
        <v>50</v>
      </c>
      <c r="BU19" s="50">
        <f>'Table for GL'!F51</f>
        <v>41</v>
      </c>
      <c r="BV19" s="29">
        <f>'Table for GL'!G51</f>
        <v>2.8</v>
      </c>
      <c r="BW19" s="50">
        <f>'Table for GL'!D51</f>
        <v>277055</v>
      </c>
      <c r="BX19" s="50">
        <f>'Table for GL'!E51</f>
        <v>187072</v>
      </c>
      <c r="BY19" s="228"/>
      <c r="BZ19" s="29" t="str">
        <f>'Table for GL'!O51</f>
        <v>BOS plant</v>
      </c>
    </row>
    <row r="20" spans="7:78" ht="15.75" thickBot="1">
      <c r="G20" s="604"/>
      <c r="H20" s="605" t="s">
        <v>643</v>
      </c>
      <c r="I20" s="605"/>
      <c r="J20" s="605"/>
      <c r="K20" s="605"/>
      <c r="L20" s="605"/>
      <c r="M20" s="29">
        <f>SUM(M11:M19)</f>
        <v>78.07097131918559</v>
      </c>
      <c r="U20" s="161" t="s">
        <v>730</v>
      </c>
      <c r="V20" s="44" t="s">
        <v>689</v>
      </c>
      <c r="W20" s="42">
        <f>'[3]A'!$N$12/8760</f>
        <v>1</v>
      </c>
      <c r="X20" s="42">
        <v>0.67</v>
      </c>
      <c r="Z20" s="13" t="s">
        <v>407</v>
      </c>
      <c r="AA20" s="12" t="s">
        <v>365</v>
      </c>
      <c r="AB20" s="12">
        <v>12</v>
      </c>
      <c r="AC20">
        <v>2010</v>
      </c>
      <c r="BP20" s="597"/>
      <c r="BQ20" s="597"/>
      <c r="BR20" s="13" t="s">
        <v>686</v>
      </c>
      <c r="BS20" s="12" t="s">
        <v>687</v>
      </c>
      <c r="BT20" s="12">
        <v>40</v>
      </c>
      <c r="BU20" s="50">
        <f>'Table for GL'!F52</f>
        <v>15</v>
      </c>
      <c r="BV20" s="29">
        <f>'Table for GL'!G52</f>
        <v>1</v>
      </c>
      <c r="BW20" s="50">
        <f>'Table for GL'!D52</f>
        <v>277406</v>
      </c>
      <c r="BX20" s="50">
        <f>'Table for GL'!E52</f>
        <v>186888</v>
      </c>
      <c r="BY20" s="228"/>
      <c r="BZ20" s="29" t="str">
        <f>'Table for GL'!O52</f>
        <v>BOS plant</v>
      </c>
    </row>
    <row r="21" spans="7:78" ht="15.75" thickBot="1">
      <c r="G21" s="602" t="s">
        <v>607</v>
      </c>
      <c r="H21" s="13" t="s">
        <v>682</v>
      </c>
      <c r="I21" s="12" t="s">
        <v>683</v>
      </c>
      <c r="J21" s="29">
        <f>'Table for GL'!J50</f>
        <v>20.209999999999997</v>
      </c>
      <c r="K21" s="29">
        <f>'Table for GL'!L50</f>
        <v>122.55805555555555</v>
      </c>
      <c r="L21" s="28">
        <f>'Table for GL'!I50</f>
        <v>2.476898302777778</v>
      </c>
      <c r="M21" s="29">
        <f aca="true" t="shared" si="3" ref="M21:M34">L21*365*24*60*60/1000000</f>
        <v>78.1114648764</v>
      </c>
      <c r="N21" s="22">
        <f>(J21*K21)/1000</f>
        <v>2.476898302777778</v>
      </c>
      <c r="U21" s="161" t="s">
        <v>687</v>
      </c>
      <c r="V21" s="44" t="s">
        <v>686</v>
      </c>
      <c r="W21" s="42">
        <f>'[3]A'!$W$12/8760</f>
        <v>1</v>
      </c>
      <c r="X21" s="42">
        <v>0.94</v>
      </c>
      <c r="Z21" s="13" t="s">
        <v>408</v>
      </c>
      <c r="AA21" s="12" t="s">
        <v>364</v>
      </c>
      <c r="AB21" s="12" t="s">
        <v>422</v>
      </c>
      <c r="AC21">
        <v>2010</v>
      </c>
      <c r="BP21" s="597"/>
      <c r="BQ21" s="597"/>
      <c r="BR21" s="13" t="s">
        <v>407</v>
      </c>
      <c r="BS21" s="60" t="s">
        <v>726</v>
      </c>
      <c r="BT21" s="60">
        <v>65</v>
      </c>
      <c r="BU21" s="50">
        <f>'Table for GL'!F60</f>
        <v>70</v>
      </c>
      <c r="BV21" s="29">
        <f>'Table for GL'!G59</f>
        <v>2.85</v>
      </c>
      <c r="BW21" s="50">
        <v>276939</v>
      </c>
      <c r="BX21" s="50">
        <v>186962</v>
      </c>
      <c r="BY21" s="228"/>
      <c r="BZ21" s="29" t="str">
        <f>'Table for GL'!O58</f>
        <v>BOS plant</v>
      </c>
    </row>
    <row r="22" spans="7:78" ht="15.75" customHeight="1" thickBot="1">
      <c r="G22" s="615"/>
      <c r="H22" s="13" t="s">
        <v>684</v>
      </c>
      <c r="I22" s="12" t="s">
        <v>685</v>
      </c>
      <c r="J22" s="29">
        <f>'Table for GL'!J51</f>
        <v>0.8599999999999999</v>
      </c>
      <c r="K22" s="29">
        <f>'Table for GL'!L51</f>
        <v>39.874722222222225</v>
      </c>
      <c r="L22" s="28">
        <f>'Table for GL'!I51</f>
        <v>0.03429226111111111</v>
      </c>
      <c r="M22" s="29">
        <f t="shared" si="3"/>
        <v>1.0814407464</v>
      </c>
      <c r="N22" s="22">
        <f>(J22*K22)/1000</f>
        <v>0.03429226111111111</v>
      </c>
      <c r="U22" s="161" t="s">
        <v>692</v>
      </c>
      <c r="V22" s="44" t="s">
        <v>691</v>
      </c>
      <c r="W22" s="42">
        <f>'[3]A'!$Z$12/8760</f>
        <v>0.07397260273972603</v>
      </c>
      <c r="X22" s="42">
        <v>0.1</v>
      </c>
      <c r="Z22" s="13" t="s">
        <v>691</v>
      </c>
      <c r="AA22" s="12" t="s">
        <v>694</v>
      </c>
      <c r="AB22" s="210" t="s">
        <v>425</v>
      </c>
      <c r="AC22" t="s">
        <v>421</v>
      </c>
      <c r="BP22" s="597"/>
      <c r="BQ22" s="597"/>
      <c r="BR22" s="13" t="s">
        <v>407</v>
      </c>
      <c r="BS22" s="60" t="s">
        <v>727</v>
      </c>
      <c r="BT22" s="60">
        <v>65</v>
      </c>
      <c r="BU22" s="50">
        <f>'Table for GL'!F61</f>
        <v>70</v>
      </c>
      <c r="BV22" s="29">
        <f>'Table for GL'!G60</f>
        <v>2.85</v>
      </c>
      <c r="BW22" s="50">
        <v>276977</v>
      </c>
      <c r="BX22" s="50">
        <v>186883</v>
      </c>
      <c r="BY22" s="228"/>
      <c r="BZ22" s="29" t="str">
        <f>'Table for GL'!O59</f>
        <v>BOS plant</v>
      </c>
    </row>
    <row r="23" spans="7:78" ht="15.75" customHeight="1" thickBot="1">
      <c r="G23" s="615"/>
      <c r="H23" s="13" t="s">
        <v>686</v>
      </c>
      <c r="I23" s="12" t="s">
        <v>687</v>
      </c>
      <c r="J23" s="29">
        <f>'Table for GL'!J52</f>
        <v>0.5159999999999999</v>
      </c>
      <c r="K23" s="29">
        <f>'Table for GL'!L52</f>
        <v>6.773611111111111</v>
      </c>
      <c r="L23" s="206">
        <f>'Table for GL'!I52</f>
        <v>0.0034951833333333325</v>
      </c>
      <c r="M23" s="28">
        <f t="shared" si="3"/>
        <v>0.11022410159999999</v>
      </c>
      <c r="N23" s="286">
        <f>(J23*K23)/1000</f>
        <v>0.003495183333333333</v>
      </c>
      <c r="U23" s="161" t="s">
        <v>958</v>
      </c>
      <c r="V23" s="44" t="s">
        <v>111</v>
      </c>
      <c r="W23" s="42"/>
      <c r="X23" s="42">
        <v>0.87</v>
      </c>
      <c r="Z23" s="13" t="s">
        <v>693</v>
      </c>
      <c r="AA23" s="12" t="s">
        <v>692</v>
      </c>
      <c r="AB23" s="210" t="s">
        <v>503</v>
      </c>
      <c r="AC23">
        <v>2010</v>
      </c>
      <c r="BP23" s="597"/>
      <c r="BQ23" s="597"/>
      <c r="BR23" s="13" t="s">
        <v>408</v>
      </c>
      <c r="BS23" s="60" t="s">
        <v>573</v>
      </c>
      <c r="BT23" s="60">
        <v>50</v>
      </c>
      <c r="BU23" s="50">
        <f>'Table for GL'!F56</f>
        <v>20</v>
      </c>
      <c r="BV23" s="29">
        <f>'Table for GL'!G56</f>
        <v>6.928203230275509</v>
      </c>
      <c r="BW23" s="50">
        <f>'Table for GL'!D56</f>
        <v>277115</v>
      </c>
      <c r="BX23" s="50">
        <f>'Table for GL'!E56</f>
        <v>186718</v>
      </c>
      <c r="BY23" s="228"/>
      <c r="BZ23" s="29" t="str">
        <f>'Table for GL'!O53</f>
        <v>BOS plant</v>
      </c>
    </row>
    <row r="24" spans="7:78" ht="18" thickBot="1">
      <c r="G24" s="615"/>
      <c r="H24" s="13" t="s">
        <v>102</v>
      </c>
      <c r="I24" s="12" t="s">
        <v>726</v>
      </c>
      <c r="J24" s="50">
        <v>50</v>
      </c>
      <c r="K24" s="50">
        <f>'[7]Fb FM'!$S$56/2</f>
        <v>12.82190858324608</v>
      </c>
      <c r="L24" s="268">
        <f>'[7]Fb FM'!$V$61</f>
        <v>0.06712295977612887</v>
      </c>
      <c r="M24" s="29">
        <f t="shared" si="3"/>
        <v>2.1167896594999998</v>
      </c>
      <c r="N24" s="289">
        <f>0.12*(J24*K24)/1000</f>
        <v>0.07693145149947647</v>
      </c>
      <c r="U24" s="161" t="s">
        <v>962</v>
      </c>
      <c r="V24" s="44" t="s">
        <v>112</v>
      </c>
      <c r="W24" s="42"/>
      <c r="X24" s="42"/>
      <c r="Z24" s="13" t="s">
        <v>698</v>
      </c>
      <c r="AA24" s="12" t="s">
        <v>699</v>
      </c>
      <c r="AB24" s="12" t="s">
        <v>424</v>
      </c>
      <c r="AC24">
        <v>2005</v>
      </c>
      <c r="BP24" s="597"/>
      <c r="BQ24" s="597"/>
      <c r="BR24" s="13" t="s">
        <v>514</v>
      </c>
      <c r="BS24" s="12" t="s">
        <v>694</v>
      </c>
      <c r="BT24" s="12">
        <v>25</v>
      </c>
      <c r="BU24" s="50">
        <f>'Table for GL'!F57</f>
        <v>33</v>
      </c>
      <c r="BV24" s="29">
        <f>'Table for GL'!G57</f>
        <v>0.5</v>
      </c>
      <c r="BW24" s="50">
        <f>'Table for GL'!D57</f>
        <v>277350</v>
      </c>
      <c r="BX24" s="50">
        <f>'Table for GL'!E57</f>
        <v>186720</v>
      </c>
      <c r="BY24" s="228"/>
      <c r="BZ24" s="29" t="str">
        <f>'Table for GL'!O57</f>
        <v>BOS plant</v>
      </c>
    </row>
    <row r="25" spans="7:78" ht="17.25" thickBot="1">
      <c r="G25" s="615"/>
      <c r="H25" s="13" t="s">
        <v>102</v>
      </c>
      <c r="I25" s="12" t="s">
        <v>727</v>
      </c>
      <c r="J25" s="50">
        <v>50</v>
      </c>
      <c r="K25" s="50">
        <f>'[7]Fb FM'!$S$56/2</f>
        <v>12.82190858324608</v>
      </c>
      <c r="L25" s="268">
        <f>'[7]Fb FM'!$V$61</f>
        <v>0.06712295977612887</v>
      </c>
      <c r="M25" s="29">
        <f t="shared" si="3"/>
        <v>2.1167896594999998</v>
      </c>
      <c r="N25" s="289">
        <f>0.12*(J25*K25)/1000</f>
        <v>0.07693145149947647</v>
      </c>
      <c r="U25" s="161" t="s">
        <v>709</v>
      </c>
      <c r="V25" s="44" t="s">
        <v>156</v>
      </c>
      <c r="W25" s="42"/>
      <c r="X25" s="42">
        <v>0.99</v>
      </c>
      <c r="Z25" s="13" t="s">
        <v>700</v>
      </c>
      <c r="AA25" s="12" t="s">
        <v>701</v>
      </c>
      <c r="AB25" s="210" t="s">
        <v>495</v>
      </c>
      <c r="AC25">
        <v>2005</v>
      </c>
      <c r="BP25" s="597"/>
      <c r="BQ25" s="598"/>
      <c r="BR25" s="13" t="s">
        <v>515</v>
      </c>
      <c r="BS25" s="12" t="s">
        <v>692</v>
      </c>
      <c r="BT25" s="12">
        <v>25</v>
      </c>
      <c r="BU25" s="50">
        <f>'Table for GL'!F58</f>
        <v>51</v>
      </c>
      <c r="BV25" s="29">
        <f>'Table for GL'!G58</f>
        <v>0.5</v>
      </c>
      <c r="BW25" s="50">
        <f>'Table for GL'!D58</f>
        <v>277309</v>
      </c>
      <c r="BX25" s="50">
        <f>'Table for GL'!E58</f>
        <v>186704</v>
      </c>
      <c r="BY25" s="228"/>
      <c r="BZ25" s="29" t="str">
        <f>'Table for GL'!O58</f>
        <v>BOS plant</v>
      </c>
    </row>
    <row r="26" spans="7:78" ht="17.25" thickBot="1">
      <c r="G26" s="615"/>
      <c r="H26" s="13" t="s">
        <v>408</v>
      </c>
      <c r="I26" s="12" t="s">
        <v>364</v>
      </c>
      <c r="J26" s="29">
        <f>'Table for GL'!J56</f>
        <v>13.455105355835911</v>
      </c>
      <c r="K26" s="29">
        <f>'Table for GL'!L56</f>
        <v>354.8625</v>
      </c>
      <c r="L26" s="28">
        <f>'Table for GL'!I56</f>
        <v>3.0946518066666666</v>
      </c>
      <c r="M26" s="29">
        <f t="shared" si="3"/>
        <v>97.59293937504002</v>
      </c>
      <c r="N26" s="289">
        <f>(J26*K26)/1000</f>
        <v>4.774712324335321</v>
      </c>
      <c r="U26" s="161" t="s">
        <v>681</v>
      </c>
      <c r="V26" s="44" t="s">
        <v>680</v>
      </c>
      <c r="W26" s="42"/>
      <c r="X26" s="42">
        <v>0.96</v>
      </c>
      <c r="Z26" s="13" t="s">
        <v>704</v>
      </c>
      <c r="AA26" s="12" t="s">
        <v>1431</v>
      </c>
      <c r="AB26" s="12" t="s">
        <v>423</v>
      </c>
      <c r="AC26">
        <v>2005</v>
      </c>
      <c r="BP26" s="597"/>
      <c r="BQ26" s="582" t="s">
        <v>646</v>
      </c>
      <c r="BR26" s="202" t="s">
        <v>706</v>
      </c>
      <c r="BS26" s="12" t="s">
        <v>707</v>
      </c>
      <c r="BT26" s="12">
        <v>200</v>
      </c>
      <c r="BU26" s="50">
        <f>'Table for GL'!F103</f>
        <v>68</v>
      </c>
      <c r="BV26" s="50">
        <f>'Table for GL'!G103</f>
        <v>2.4</v>
      </c>
      <c r="BW26" s="50">
        <f>'Table for GL'!D103</f>
        <v>277830</v>
      </c>
      <c r="BX26" s="50">
        <f>'Table for GL'!E103</f>
        <v>186664</v>
      </c>
      <c r="BY26" s="228"/>
      <c r="BZ26" s="50" t="str">
        <f>'Table for GL'!O103</f>
        <v>Mill</v>
      </c>
    </row>
    <row r="27" spans="7:78" ht="17.25" thickBot="1">
      <c r="G27" s="615"/>
      <c r="H27" s="13" t="s">
        <v>455</v>
      </c>
      <c r="I27" s="12" t="s">
        <v>694</v>
      </c>
      <c r="J27" s="29">
        <f>'Table for GL'!J57</f>
        <v>8.6</v>
      </c>
      <c r="K27" s="29">
        <f>'Table for GL'!L57</f>
        <v>1</v>
      </c>
      <c r="L27" s="206">
        <f>'Table for GL'!I57</f>
        <v>0.00086</v>
      </c>
      <c r="M27" s="28">
        <f t="shared" si="3"/>
        <v>0.02712096</v>
      </c>
      <c r="N27" s="291">
        <f>0.1*(J27*K27)/1000</f>
        <v>0.00086</v>
      </c>
      <c r="U27" s="161" t="s">
        <v>707</v>
      </c>
      <c r="V27" s="44" t="s">
        <v>154</v>
      </c>
      <c r="W27" s="42"/>
      <c r="X27" s="42">
        <v>0.96</v>
      </c>
      <c r="Z27" s="202" t="s">
        <v>706</v>
      </c>
      <c r="AA27" s="12" t="s">
        <v>707</v>
      </c>
      <c r="AB27" s="12" t="s">
        <v>424</v>
      </c>
      <c r="AC27">
        <v>2010</v>
      </c>
      <c r="BP27" s="597"/>
      <c r="BQ27" s="583"/>
      <c r="BR27" s="202" t="s">
        <v>26</v>
      </c>
      <c r="BS27" s="12" t="s">
        <v>709</v>
      </c>
      <c r="BT27" s="12">
        <v>180</v>
      </c>
      <c r="BU27" s="50">
        <f>'Table for GL'!F104</f>
        <v>32</v>
      </c>
      <c r="BV27" s="50">
        <f>'Table for GL'!G104</f>
        <v>2.4</v>
      </c>
      <c r="BW27" s="50">
        <f>'Table for GL'!D104</f>
        <v>277017</v>
      </c>
      <c r="BX27" s="50">
        <f>'Table for GL'!E104</f>
        <v>188513</v>
      </c>
      <c r="BY27" s="228"/>
      <c r="BZ27" s="50" t="str">
        <f>'Table for GL'!O104</f>
        <v>Boiler house A5</v>
      </c>
    </row>
    <row r="28" spans="7:78" ht="18" thickBot="1">
      <c r="G28" s="615"/>
      <c r="H28" s="13" t="s">
        <v>456</v>
      </c>
      <c r="I28" s="12" t="s">
        <v>692</v>
      </c>
      <c r="J28" s="29">
        <f>'Table for GL'!J58</f>
        <v>0.9116000000000002</v>
      </c>
      <c r="K28" s="29">
        <f>'Table for GL'!L58</f>
        <v>1.1630555555555555</v>
      </c>
      <c r="L28" s="206">
        <f>'Table for GL'!I58</f>
        <v>0.000784578668888889</v>
      </c>
      <c r="M28" s="28">
        <f t="shared" si="3"/>
        <v>0.02474247290208</v>
      </c>
      <c r="N28" s="291">
        <f>0.74*(J28*K28)/1000</f>
        <v>0.0007845786688888889</v>
      </c>
      <c r="U28" s="161" t="s">
        <v>715</v>
      </c>
      <c r="V28" s="44" t="s">
        <v>714</v>
      </c>
      <c r="W28" s="42"/>
      <c r="X28" s="42">
        <v>0.99</v>
      </c>
      <c r="Z28" s="202" t="s">
        <v>26</v>
      </c>
      <c r="AA28" s="12" t="s">
        <v>709</v>
      </c>
      <c r="AB28" s="12" t="s">
        <v>424</v>
      </c>
      <c r="AC28">
        <v>2010</v>
      </c>
      <c r="AD28" t="s">
        <v>417</v>
      </c>
      <c r="BP28" s="597"/>
      <c r="BQ28" s="583"/>
      <c r="BR28" s="202" t="s">
        <v>411</v>
      </c>
      <c r="BS28" s="12" t="s">
        <v>574</v>
      </c>
      <c r="BT28" s="12">
        <v>220</v>
      </c>
      <c r="BU28" s="50">
        <f>'Table for GL'!F107</f>
        <v>121</v>
      </c>
      <c r="BV28" s="29">
        <f>'Table for GL'!G107</f>
        <v>3.8890872965260113</v>
      </c>
      <c r="BW28" s="50">
        <f>'Table for GL'!D107</f>
        <v>277145</v>
      </c>
      <c r="BX28" s="50">
        <f>'Table for GL'!E107</f>
        <v>188454</v>
      </c>
      <c r="BY28" s="228"/>
      <c r="BZ28" s="29" t="str">
        <f>'Table for GL'!O105</f>
        <v>Boiler house 6 &amp; 7</v>
      </c>
    </row>
    <row r="29" spans="7:78" ht="18" thickBot="1">
      <c r="G29" s="616"/>
      <c r="H29" s="613" t="s">
        <v>645</v>
      </c>
      <c r="I29" s="570"/>
      <c r="J29" s="570"/>
      <c r="K29" s="570"/>
      <c r="L29" s="571"/>
      <c r="M29" s="29">
        <f>SUM(M21:M28)</f>
        <v>181.1815118513421</v>
      </c>
      <c r="U29" s="161" t="s">
        <v>711</v>
      </c>
      <c r="V29" s="44" t="s">
        <v>113</v>
      </c>
      <c r="W29" s="42"/>
      <c r="X29" s="42">
        <v>0.99</v>
      </c>
      <c r="Z29" s="202" t="s">
        <v>411</v>
      </c>
      <c r="AA29" s="12" t="s">
        <v>412</v>
      </c>
      <c r="AB29" s="12" t="s">
        <v>424</v>
      </c>
      <c r="BP29" s="597"/>
      <c r="BQ29" s="583"/>
      <c r="BR29" s="202" t="s">
        <v>409</v>
      </c>
      <c r="BS29" s="12" t="s">
        <v>681</v>
      </c>
      <c r="BT29" s="12">
        <v>200</v>
      </c>
      <c r="BU29" s="50">
        <f>'Table for GL'!F108</f>
        <v>37</v>
      </c>
      <c r="BV29" s="29">
        <f>'Table for GL'!G108</f>
        <v>2.7</v>
      </c>
      <c r="BW29" s="50">
        <f>'Table for GL'!D108</f>
        <v>277100</v>
      </c>
      <c r="BX29" s="50">
        <f>'Table for GL'!E108</f>
        <v>188200</v>
      </c>
      <c r="BY29" s="228"/>
      <c r="BZ29" s="29" t="str">
        <f>'Table for GL'!O108</f>
        <v>No. 4 BF casthouse</v>
      </c>
    </row>
    <row r="30" spans="7:78" ht="17.25" thickBot="1">
      <c r="G30" s="614" t="s">
        <v>1463</v>
      </c>
      <c r="H30" s="202" t="s">
        <v>706</v>
      </c>
      <c r="I30" s="12" t="s">
        <v>707</v>
      </c>
      <c r="J30" s="29">
        <f>'Table for GL'!J103</f>
        <v>3.089308135036227</v>
      </c>
      <c r="K30" s="29">
        <f>'Table for GL'!L103</f>
        <v>29.023030501154533</v>
      </c>
      <c r="L30" s="28">
        <f>'Table for GL'!I103</f>
        <v>0.08966108423062125</v>
      </c>
      <c r="M30" s="29">
        <f t="shared" si="3"/>
        <v>2.8275519522968713</v>
      </c>
      <c r="N30" s="22">
        <f>(J30*K30)/1000</f>
        <v>0.08966108423062125</v>
      </c>
      <c r="U30" s="161" t="s">
        <v>30</v>
      </c>
      <c r="V30" s="44" t="s">
        <v>114</v>
      </c>
      <c r="W30" s="42"/>
      <c r="X30" s="42">
        <v>0.99</v>
      </c>
      <c r="Z30" s="202" t="s">
        <v>409</v>
      </c>
      <c r="AA30" s="12" t="s">
        <v>681</v>
      </c>
      <c r="AB30" s="12" t="s">
        <v>424</v>
      </c>
      <c r="BP30" s="597"/>
      <c r="BQ30" s="584"/>
      <c r="BR30" s="202" t="s">
        <v>714</v>
      </c>
      <c r="BS30" s="12" t="s">
        <v>715</v>
      </c>
      <c r="BT30" s="12">
        <v>200</v>
      </c>
      <c r="BU30" s="50">
        <f>'Table for GL'!F109</f>
        <v>33</v>
      </c>
      <c r="BV30" s="50">
        <f>'Table for GL'!G109</f>
        <v>2.8</v>
      </c>
      <c r="BW30" s="50">
        <f>'Table for GL'!D109</f>
        <v>276990</v>
      </c>
      <c r="BX30" s="50">
        <f>'Table for GL'!E109</f>
        <v>188413</v>
      </c>
      <c r="BY30" s="228"/>
      <c r="BZ30" s="50" t="str">
        <f>'Table for GL'!O109</f>
        <v>Boiler house A5</v>
      </c>
    </row>
    <row r="31" spans="7:78" ht="17.25" customHeight="1">
      <c r="G31" s="614"/>
      <c r="H31" s="202" t="s">
        <v>26</v>
      </c>
      <c r="I31" s="12" t="s">
        <v>709</v>
      </c>
      <c r="J31" s="29">
        <f>'Table for GL'!J104</f>
        <v>1.7224820218026946</v>
      </c>
      <c r="K31" s="29">
        <f>'Table for GL'!L104</f>
        <v>19.690987991839265</v>
      </c>
      <c r="L31" s="28">
        <f>'Table for GL'!I104</f>
        <v>0.03391737280747588</v>
      </c>
      <c r="M31" s="29">
        <f t="shared" si="3"/>
        <v>1.0696182688565594</v>
      </c>
      <c r="N31" s="22">
        <f>(J31*K31)/1000</f>
        <v>0.03391737280747588</v>
      </c>
      <c r="Z31" s="202" t="s">
        <v>714</v>
      </c>
      <c r="AA31" s="12" t="s">
        <v>715</v>
      </c>
      <c r="AB31" s="12" t="s">
        <v>424</v>
      </c>
      <c r="BP31" s="597"/>
      <c r="BQ31" s="232" t="s">
        <v>1458</v>
      </c>
      <c r="BR31" s="202" t="s">
        <v>531</v>
      </c>
      <c r="BS31" s="12" t="s">
        <v>723</v>
      </c>
      <c r="BT31" s="12">
        <v>40</v>
      </c>
      <c r="BU31" s="50">
        <f>'Table for GL'!F99</f>
        <v>24</v>
      </c>
      <c r="BV31" s="29">
        <f>'Table for GL'!G99</f>
        <v>1</v>
      </c>
      <c r="BW31" s="50">
        <f>'Table for GL'!D99</f>
        <v>278300</v>
      </c>
      <c r="BX31" s="50">
        <f>'Table for GL'!E99</f>
        <v>186000</v>
      </c>
      <c r="BY31" s="228"/>
      <c r="BZ31" s="29" t="str">
        <f>'Table for GL'!O99</f>
        <v>Annealing bay</v>
      </c>
    </row>
    <row r="32" spans="7:78" ht="17.25" customHeight="1">
      <c r="G32" s="614"/>
      <c r="H32" s="202" t="s">
        <v>411</v>
      </c>
      <c r="I32" s="12" t="s">
        <v>412</v>
      </c>
      <c r="J32" s="29">
        <f>'Table for GL'!J107</f>
        <v>3.021839033569579</v>
      </c>
      <c r="K32" s="29">
        <f>'Table for GL'!L107</f>
        <v>117.02841283992215</v>
      </c>
      <c r="L32" s="28">
        <f>'Table for GL'!I107</f>
        <v>0.3536410259563721</v>
      </c>
      <c r="M32" s="29">
        <f t="shared" si="3"/>
        <v>11.152423394560147</v>
      </c>
      <c r="N32" s="22">
        <f>(J32*K32)/1000</f>
        <v>0.35364102595637203</v>
      </c>
      <c r="Z32" s="202" t="s">
        <v>410</v>
      </c>
      <c r="AA32" s="12" t="s">
        <v>366</v>
      </c>
      <c r="AB32" s="12" t="s">
        <v>424</v>
      </c>
      <c r="BP32" s="598"/>
      <c r="BQ32" s="232" t="s">
        <v>741</v>
      </c>
      <c r="BR32" s="202" t="s">
        <v>410</v>
      </c>
      <c r="BS32" s="12" t="s">
        <v>582</v>
      </c>
      <c r="BT32" s="12">
        <v>265</v>
      </c>
      <c r="BU32" s="50">
        <f>'Table for GL'!F95</f>
        <v>110</v>
      </c>
      <c r="BV32" s="29">
        <f>'Table for GL'!G95</f>
        <v>4.666904755831213</v>
      </c>
      <c r="BW32" s="50">
        <f>'Table for GL'!D95</f>
        <v>277988</v>
      </c>
      <c r="BX32" s="50">
        <f>'Table for GL'!E95</f>
        <v>187023</v>
      </c>
      <c r="BY32" s="228"/>
      <c r="BZ32" s="29" t="str">
        <f>'Table for GL'!O95</f>
        <v>Mill</v>
      </c>
    </row>
    <row r="33" spans="7:78" ht="15">
      <c r="G33" s="614"/>
      <c r="H33" s="202" t="s">
        <v>409</v>
      </c>
      <c r="I33" s="12" t="s">
        <v>681</v>
      </c>
      <c r="J33" s="29">
        <f>'Table for GL'!J108</f>
        <v>4.362715828431248</v>
      </c>
      <c r="K33" s="29">
        <f>'Table for GL'!L108</f>
        <v>38.798958853835856</v>
      </c>
      <c r="L33" s="28">
        <f>'Table for GL'!I108</f>
        <v>0.1692688319182824</v>
      </c>
      <c r="M33" s="29">
        <f t="shared" si="3"/>
        <v>5.338061883374953</v>
      </c>
      <c r="N33" s="22">
        <f>(J33*K33)/1000</f>
        <v>0.16926883191828238</v>
      </c>
      <c r="Z33" s="212" t="s">
        <v>426</v>
      </c>
      <c r="BP33" s="602" t="s">
        <v>516</v>
      </c>
      <c r="BQ33" s="578" t="s">
        <v>644</v>
      </c>
      <c r="BR33" s="13" t="s">
        <v>435</v>
      </c>
      <c r="BS33" s="210" t="s">
        <v>734</v>
      </c>
      <c r="BT33" s="210">
        <v>40</v>
      </c>
      <c r="BU33" s="50">
        <f>'Table for GL'!F47</f>
        <v>24</v>
      </c>
      <c r="BV33" s="29">
        <f>'Table for GL'!G47</f>
        <v>7.885747863384002</v>
      </c>
      <c r="BW33" s="50">
        <f>'Table for GL'!D47</f>
        <v>277110</v>
      </c>
      <c r="BX33" s="50">
        <f>'Table for GL'!E47</f>
        <v>188100</v>
      </c>
      <c r="BY33" s="228"/>
      <c r="BZ33" s="29" t="str">
        <f>'Table for GL'!O47</f>
        <v>No. 4 BF casthouse</v>
      </c>
    </row>
    <row r="34" spans="7:78" ht="15">
      <c r="G34" s="614"/>
      <c r="H34" s="202" t="s">
        <v>714</v>
      </c>
      <c r="I34" s="12" t="s">
        <v>715</v>
      </c>
      <c r="J34" s="29">
        <f>'Table for GL'!J109</f>
        <v>1.2697667273062285</v>
      </c>
      <c r="K34" s="29">
        <f>'Table for GL'!L109</f>
        <v>56.68678264591906</v>
      </c>
      <c r="L34" s="28">
        <f>'Table for GL'!I109</f>
        <v>0.07197899048182815</v>
      </c>
      <c r="M34" s="29">
        <f t="shared" si="3"/>
        <v>2.2699294438349327</v>
      </c>
      <c r="N34" s="22">
        <f>(J34*K34)/1000</f>
        <v>0.07197899048182815</v>
      </c>
      <c r="Z34" s="213" t="s">
        <v>427</v>
      </c>
      <c r="BP34" s="603"/>
      <c r="BQ34" s="578"/>
      <c r="BR34" s="13" t="s">
        <v>436</v>
      </c>
      <c r="BS34" s="210" t="s">
        <v>734</v>
      </c>
      <c r="BT34" s="210">
        <v>40</v>
      </c>
      <c r="BU34" s="50">
        <f>'Table for GL'!F48</f>
        <v>24</v>
      </c>
      <c r="BV34" s="29">
        <f>'Table for GL'!G48</f>
        <v>7.569397566060481</v>
      </c>
      <c r="BW34" s="50">
        <f>'Table for GL'!D48</f>
        <v>277080</v>
      </c>
      <c r="BX34" s="50">
        <f>'Table for GL'!E48</f>
        <v>187950</v>
      </c>
      <c r="BY34" s="228"/>
      <c r="BZ34" s="29" t="str">
        <f>'Table for GL'!O48</f>
        <v>No. 5 BF casthouse</v>
      </c>
    </row>
    <row r="35" spans="7:78" ht="15">
      <c r="G35" s="614"/>
      <c r="H35" s="605" t="s">
        <v>647</v>
      </c>
      <c r="I35" s="605"/>
      <c r="J35" s="605"/>
      <c r="K35" s="605"/>
      <c r="L35" s="605"/>
      <c r="M35" s="29">
        <f>SUM(M30:M34)</f>
        <v>22.657584942923464</v>
      </c>
      <c r="Z35" s="213" t="s">
        <v>428</v>
      </c>
      <c r="AC35">
        <v>2005</v>
      </c>
      <c r="BP35" s="603"/>
      <c r="BQ35" s="197" t="s">
        <v>602</v>
      </c>
      <c r="BR35" s="218" t="s">
        <v>610</v>
      </c>
      <c r="BS35" s="264" t="s">
        <v>734</v>
      </c>
      <c r="BT35" s="60">
        <v>100</v>
      </c>
      <c r="BU35" s="265">
        <f>'Table for GL'!F22</f>
        <v>5</v>
      </c>
      <c r="BV35" s="102">
        <f>'Table for GL'!G22</f>
        <v>14.1</v>
      </c>
      <c r="BW35" s="265">
        <f>'Table for GL'!D22</f>
        <v>276743</v>
      </c>
      <c r="BX35" s="265">
        <f>'Table for GL'!E22</f>
        <v>187979</v>
      </c>
      <c r="BY35" s="228"/>
      <c r="BZ35" s="29" t="str">
        <f>'Table for GL'!O22</f>
        <v>Sinter plant</v>
      </c>
    </row>
    <row r="36" spans="7:78" ht="15">
      <c r="G36" s="602" t="s">
        <v>986</v>
      </c>
      <c r="H36" s="202" t="s">
        <v>722</v>
      </c>
      <c r="I36" s="12" t="s">
        <v>723</v>
      </c>
      <c r="J36" s="29">
        <f>'Table for GL'!J99</f>
        <v>4</v>
      </c>
      <c r="K36" s="29">
        <f>'Table for GL'!L99</f>
        <v>5</v>
      </c>
      <c r="L36" s="28">
        <f>'Table for GL'!I99</f>
        <v>0.018</v>
      </c>
      <c r="M36" s="29">
        <f>'Table for GL'!M99</f>
        <v>0.567648</v>
      </c>
      <c r="N36" s="22">
        <f>(J36*K36)/1000</f>
        <v>0.02</v>
      </c>
      <c r="Z36" s="213" t="s">
        <v>496</v>
      </c>
      <c r="BP36" s="603"/>
      <c r="BQ36" s="232" t="s">
        <v>607</v>
      </c>
      <c r="BR36" s="13" t="s">
        <v>1378</v>
      </c>
      <c r="BS36" s="210" t="s">
        <v>734</v>
      </c>
      <c r="BT36" s="210">
        <v>40</v>
      </c>
      <c r="BU36" s="50">
        <f>'Table for GL'!F61</f>
        <v>70</v>
      </c>
      <c r="BV36" s="29">
        <f>'Table for GL'!G61</f>
        <v>30.4</v>
      </c>
      <c r="BW36" s="50">
        <f>'Table for GL'!D61</f>
        <v>277150</v>
      </c>
      <c r="BX36" s="50">
        <f>'Table for GL'!E61</f>
        <v>186950</v>
      </c>
      <c r="BY36" s="228"/>
      <c r="BZ36" s="29" t="str">
        <f>'Table for GL'!O61</f>
        <v>BOS plant</v>
      </c>
    </row>
    <row r="37" spans="7:78" ht="15">
      <c r="G37" s="603"/>
      <c r="H37" s="202" t="s">
        <v>410</v>
      </c>
      <c r="I37" s="12" t="s">
        <v>366</v>
      </c>
      <c r="J37" s="29">
        <f>'Table for GL'!J95</f>
        <v>4.593850552917646</v>
      </c>
      <c r="K37" s="29">
        <f>'Table for GL'!L95</f>
        <v>64.79096905863994</v>
      </c>
      <c r="L37" s="29">
        <f>'Table for GL'!I95</f>
        <v>0.2976400290341032</v>
      </c>
      <c r="M37" s="29">
        <f>L37*365*24*60*60/1000000</f>
        <v>9.386375955619478</v>
      </c>
      <c r="N37" s="22">
        <f>(J37*K37)/1000</f>
        <v>0.2976400290341032</v>
      </c>
      <c r="BP37" s="603"/>
      <c r="BQ37" s="582" t="s">
        <v>599</v>
      </c>
      <c r="BR37" s="590" t="s">
        <v>517</v>
      </c>
      <c r="BS37" s="623" t="s">
        <v>697</v>
      </c>
      <c r="BT37" s="563">
        <v>15</v>
      </c>
      <c r="BU37" s="573">
        <f>'Table for GL'!F64</f>
        <v>10</v>
      </c>
      <c r="BV37" s="628"/>
      <c r="BW37" s="596"/>
      <c r="BX37" s="596"/>
      <c r="BY37" s="231" t="s">
        <v>519</v>
      </c>
      <c r="BZ37" s="566" t="str">
        <f>'Table for GL'!O64</f>
        <v>Coke battery</v>
      </c>
    </row>
    <row r="38" spans="7:78" ht="16.5" customHeight="1">
      <c r="G38" s="604"/>
      <c r="H38" s="569" t="s">
        <v>369</v>
      </c>
      <c r="I38" s="570"/>
      <c r="J38" s="570"/>
      <c r="K38" s="570"/>
      <c r="L38" s="571"/>
      <c r="M38" s="29">
        <f>SUM(M36:M37)</f>
        <v>9.954023955619478</v>
      </c>
      <c r="BP38" s="603"/>
      <c r="BQ38" s="588"/>
      <c r="BR38" s="591"/>
      <c r="BS38" s="595"/>
      <c r="BT38" s="595"/>
      <c r="BU38" s="595"/>
      <c r="BV38" s="597"/>
      <c r="BW38" s="597"/>
      <c r="BX38" s="597"/>
      <c r="BY38" s="231" t="s">
        <v>520</v>
      </c>
      <c r="BZ38" s="595"/>
    </row>
    <row r="39" spans="7:78" ht="15">
      <c r="G39" s="607" t="s">
        <v>890</v>
      </c>
      <c r="H39" s="608"/>
      <c r="I39" s="608"/>
      <c r="J39" s="608"/>
      <c r="K39" s="608"/>
      <c r="L39" s="608"/>
      <c r="M39" s="38">
        <f>M6+M10+M20+M29+M35+M38</f>
        <v>952.5994374322505</v>
      </c>
      <c r="BP39" s="603"/>
      <c r="BQ39" s="588"/>
      <c r="BR39" s="591"/>
      <c r="BS39" s="595"/>
      <c r="BT39" s="595"/>
      <c r="BU39" s="595"/>
      <c r="BV39" s="597"/>
      <c r="BW39" s="597"/>
      <c r="BX39" s="597"/>
      <c r="BY39" s="231" t="s">
        <v>521</v>
      </c>
      <c r="BZ39" s="595"/>
    </row>
    <row r="40" spans="7:78" ht="15">
      <c r="G40" s="205" t="s">
        <v>103</v>
      </c>
      <c r="BP40" s="604"/>
      <c r="BQ40" s="589"/>
      <c r="BR40" s="592"/>
      <c r="BS40" s="565"/>
      <c r="BT40" s="565"/>
      <c r="BU40" s="565"/>
      <c r="BV40" s="598"/>
      <c r="BW40" s="598"/>
      <c r="BX40" s="598"/>
      <c r="BY40" s="12" t="s">
        <v>522</v>
      </c>
      <c r="BZ40" s="565"/>
    </row>
    <row r="41" spans="7:78" ht="15">
      <c r="G41" s="205" t="s">
        <v>449</v>
      </c>
      <c r="BP41" s="602" t="s">
        <v>567</v>
      </c>
      <c r="BQ41" s="582" t="s">
        <v>443</v>
      </c>
      <c r="BR41" s="579" t="s">
        <v>753</v>
      </c>
      <c r="BS41" s="563" t="s">
        <v>734</v>
      </c>
      <c r="BT41" s="563">
        <v>15</v>
      </c>
      <c r="BU41" s="573">
        <v>10</v>
      </c>
      <c r="BV41" s="575"/>
      <c r="BW41" s="624"/>
      <c r="BX41" s="624"/>
      <c r="BY41" s="12" t="s">
        <v>526</v>
      </c>
      <c r="BZ41" s="566" t="s">
        <v>1331</v>
      </c>
    </row>
    <row r="42" spans="7:78" ht="15">
      <c r="G42" s="205" t="s">
        <v>450</v>
      </c>
      <c r="BP42" s="597"/>
      <c r="BQ42" s="597"/>
      <c r="BR42" s="580"/>
      <c r="BS42" s="564"/>
      <c r="BT42" s="564"/>
      <c r="BU42" s="574"/>
      <c r="BV42" s="576"/>
      <c r="BW42" s="625"/>
      <c r="BX42" s="625"/>
      <c r="BY42" s="12" t="s">
        <v>527</v>
      </c>
      <c r="BZ42" s="567"/>
    </row>
    <row r="43" spans="7:78" ht="15">
      <c r="G43" s="33" t="s">
        <v>23</v>
      </c>
      <c r="BP43" s="597"/>
      <c r="BQ43" s="597"/>
      <c r="BR43" s="580"/>
      <c r="BS43" s="564"/>
      <c r="BT43" s="564"/>
      <c r="BU43" s="574"/>
      <c r="BV43" s="576"/>
      <c r="BW43" s="625"/>
      <c r="BX43" s="625"/>
      <c r="BY43" s="12" t="s">
        <v>528</v>
      </c>
      <c r="BZ43" s="567"/>
    </row>
    <row r="44" spans="68:78" ht="15">
      <c r="BP44" s="597"/>
      <c r="BQ44" s="597"/>
      <c r="BR44" s="587"/>
      <c r="BS44" s="572"/>
      <c r="BT44" s="572"/>
      <c r="BU44" s="627"/>
      <c r="BV44" s="577"/>
      <c r="BW44" s="626"/>
      <c r="BX44" s="626"/>
      <c r="BY44" s="12" t="s">
        <v>529</v>
      </c>
      <c r="BZ44" s="568"/>
    </row>
    <row r="45" spans="68:78" ht="15">
      <c r="BP45" s="597"/>
      <c r="BQ45" s="597"/>
      <c r="BR45" s="579" t="s">
        <v>752</v>
      </c>
      <c r="BS45" s="563" t="s">
        <v>734</v>
      </c>
      <c r="BT45" s="563">
        <v>15</v>
      </c>
      <c r="BU45" s="573">
        <v>10</v>
      </c>
      <c r="BV45" s="575"/>
      <c r="BW45" s="624"/>
      <c r="BX45" s="624"/>
      <c r="BY45" s="12" t="s">
        <v>523</v>
      </c>
      <c r="BZ45" s="566" t="s">
        <v>1331</v>
      </c>
    </row>
    <row r="46" spans="68:78" ht="15">
      <c r="BP46" s="597"/>
      <c r="BQ46" s="597"/>
      <c r="BR46" s="580"/>
      <c r="BS46" s="564"/>
      <c r="BT46" s="564"/>
      <c r="BU46" s="574"/>
      <c r="BV46" s="576"/>
      <c r="BW46" s="625"/>
      <c r="BX46" s="625"/>
      <c r="BY46" s="12" t="s">
        <v>524</v>
      </c>
      <c r="BZ46" s="567"/>
    </row>
    <row r="47" spans="68:78" ht="15">
      <c r="BP47" s="597"/>
      <c r="BQ47" s="597"/>
      <c r="BR47" s="580"/>
      <c r="BS47" s="564"/>
      <c r="BT47" s="564"/>
      <c r="BU47" s="574"/>
      <c r="BV47" s="576"/>
      <c r="BW47" s="625"/>
      <c r="BX47" s="625"/>
      <c r="BY47" s="12" t="s">
        <v>530</v>
      </c>
      <c r="BZ47" s="567"/>
    </row>
    <row r="48" spans="68:78" ht="15">
      <c r="BP48" s="597"/>
      <c r="BQ48" s="597"/>
      <c r="BR48" s="581"/>
      <c r="BS48" s="565"/>
      <c r="BT48" s="572"/>
      <c r="BU48" s="565"/>
      <c r="BV48" s="577"/>
      <c r="BW48" s="626"/>
      <c r="BX48" s="626"/>
      <c r="BY48" s="12" t="s">
        <v>525</v>
      </c>
      <c r="BZ48" s="568"/>
    </row>
    <row r="49" spans="68:78" ht="15" customHeight="1">
      <c r="BP49" s="597"/>
      <c r="BQ49" s="597"/>
      <c r="BR49" s="579" t="s">
        <v>1262</v>
      </c>
      <c r="BS49" s="563" t="s">
        <v>734</v>
      </c>
      <c r="BT49" s="563">
        <v>15</v>
      </c>
      <c r="BU49" s="573">
        <v>20</v>
      </c>
      <c r="BV49" s="575"/>
      <c r="BW49" s="624"/>
      <c r="BX49" s="624"/>
      <c r="BY49" s="12" t="s">
        <v>160</v>
      </c>
      <c r="BZ49" s="566" t="s">
        <v>1331</v>
      </c>
    </row>
    <row r="50" spans="68:78" ht="15">
      <c r="BP50" s="597"/>
      <c r="BQ50" s="597"/>
      <c r="BR50" s="580"/>
      <c r="BS50" s="564"/>
      <c r="BT50" s="564"/>
      <c r="BU50" s="574"/>
      <c r="BV50" s="576"/>
      <c r="BW50" s="625"/>
      <c r="BX50" s="625"/>
      <c r="BY50" s="12" t="s">
        <v>161</v>
      </c>
      <c r="BZ50" s="567"/>
    </row>
    <row r="51" spans="68:78" ht="15">
      <c r="BP51" s="597"/>
      <c r="BQ51" s="597"/>
      <c r="BR51" s="580"/>
      <c r="BS51" s="564"/>
      <c r="BT51" s="564"/>
      <c r="BU51" s="574"/>
      <c r="BV51" s="576"/>
      <c r="BW51" s="625"/>
      <c r="BX51" s="625"/>
      <c r="BY51" s="12" t="s">
        <v>162</v>
      </c>
      <c r="BZ51" s="567"/>
    </row>
    <row r="52" spans="68:78" ht="15">
      <c r="BP52" s="598"/>
      <c r="BQ52" s="598"/>
      <c r="BR52" s="581"/>
      <c r="BS52" s="565"/>
      <c r="BT52" s="572"/>
      <c r="BU52" s="565"/>
      <c r="BV52" s="577"/>
      <c r="BW52" s="626"/>
      <c r="BX52" s="626"/>
      <c r="BY52" s="12" t="s">
        <v>163</v>
      </c>
      <c r="BZ52" s="568"/>
    </row>
    <row r="53" ht="15">
      <c r="BP53" s="229" t="s">
        <v>581</v>
      </c>
    </row>
    <row r="54" ht="15">
      <c r="BP54" s="229" t="s">
        <v>532</v>
      </c>
    </row>
    <row r="57" ht="17.25" customHeight="1"/>
  </sheetData>
  <sheetProtection/>
  <mergeCells count="99">
    <mergeCell ref="BW2:BX2"/>
    <mergeCell ref="BW41:BW44"/>
    <mergeCell ref="BX41:BX44"/>
    <mergeCell ref="G11:G20"/>
    <mergeCell ref="BS37:BS40"/>
    <mergeCell ref="BT37:BT40"/>
    <mergeCell ref="BU37:BU40"/>
    <mergeCell ref="BI11:BI15"/>
    <mergeCell ref="BK11:BM11"/>
    <mergeCell ref="BK12:BM12"/>
    <mergeCell ref="BX49:BX52"/>
    <mergeCell ref="BW49:BW52"/>
    <mergeCell ref="BV45:BV48"/>
    <mergeCell ref="BW45:BW48"/>
    <mergeCell ref="BX45:BX48"/>
    <mergeCell ref="BE12:BF12"/>
    <mergeCell ref="BI16:BL16"/>
    <mergeCell ref="BU41:BU44"/>
    <mergeCell ref="BW37:BW40"/>
    <mergeCell ref="BV37:BV40"/>
    <mergeCell ref="BK13:BM13"/>
    <mergeCell ref="BP3:BP32"/>
    <mergeCell ref="BQ18:BQ25"/>
    <mergeCell ref="BE7:BF7"/>
    <mergeCell ref="BS41:BS44"/>
    <mergeCell ref="AS13:AT13"/>
    <mergeCell ref="BC4:BC5"/>
    <mergeCell ref="BC6:BC7"/>
    <mergeCell ref="BK7:BM7"/>
    <mergeCell ref="BI4:BI10"/>
    <mergeCell ref="AS2:AT2"/>
    <mergeCell ref="AS3:AT3"/>
    <mergeCell ref="AS4:AT4"/>
    <mergeCell ref="AS8:AS12"/>
    <mergeCell ref="G7:G10"/>
    <mergeCell ref="BC9:BC12"/>
    <mergeCell ref="H10:L10"/>
    <mergeCell ref="AS7:AT7"/>
    <mergeCell ref="AR8:AR12"/>
    <mergeCell ref="AU8:AU12"/>
    <mergeCell ref="G3:G6"/>
    <mergeCell ref="AH3:AK3"/>
    <mergeCell ref="AR3:AR4"/>
    <mergeCell ref="AU6:AY6"/>
    <mergeCell ref="AR5:AR6"/>
    <mergeCell ref="AS5:AT5"/>
    <mergeCell ref="AS6:AT6"/>
    <mergeCell ref="G39:L39"/>
    <mergeCell ref="H29:L29"/>
    <mergeCell ref="G30:G35"/>
    <mergeCell ref="H35:L35"/>
    <mergeCell ref="G21:G29"/>
    <mergeCell ref="G36:G38"/>
    <mergeCell ref="H20:L20"/>
    <mergeCell ref="BE14:BF14"/>
    <mergeCell ref="H6:L6"/>
    <mergeCell ref="AR15:AX15"/>
    <mergeCell ref="AU13:AY13"/>
    <mergeCell ref="BE13:BF13"/>
    <mergeCell ref="BC13:BC14"/>
    <mergeCell ref="AR13:AR14"/>
    <mergeCell ref="AU14:AY14"/>
    <mergeCell ref="AS14:AT14"/>
    <mergeCell ref="BK9:BM9"/>
    <mergeCell ref="BK8:BM8"/>
    <mergeCell ref="BR49:BR52"/>
    <mergeCell ref="BQ26:BQ30"/>
    <mergeCell ref="BP41:BP52"/>
    <mergeCell ref="BK10:BM10"/>
    <mergeCell ref="BQ41:BQ52"/>
    <mergeCell ref="BK14:BM14"/>
    <mergeCell ref="BK15:BM15"/>
    <mergeCell ref="BP33:BP40"/>
    <mergeCell ref="BT45:BT48"/>
    <mergeCell ref="CE3:CF3"/>
    <mergeCell ref="CC3:CC4"/>
    <mergeCell ref="CD3:CD4"/>
    <mergeCell ref="BZ45:BZ48"/>
    <mergeCell ref="BZ37:BZ40"/>
    <mergeCell ref="BX37:BX40"/>
    <mergeCell ref="BZ41:BZ44"/>
    <mergeCell ref="BQ33:BQ34"/>
    <mergeCell ref="BR45:BR48"/>
    <mergeCell ref="BQ3:BQ5"/>
    <mergeCell ref="BQ6:BQ8"/>
    <mergeCell ref="BQ9:BQ17"/>
    <mergeCell ref="BR41:BR44"/>
    <mergeCell ref="BQ37:BQ40"/>
    <mergeCell ref="BR37:BR40"/>
    <mergeCell ref="BS45:BS48"/>
    <mergeCell ref="BZ49:BZ52"/>
    <mergeCell ref="H38:L38"/>
    <mergeCell ref="BS49:BS52"/>
    <mergeCell ref="BT49:BT52"/>
    <mergeCell ref="BU49:BU52"/>
    <mergeCell ref="BV49:BV52"/>
    <mergeCell ref="BV41:BV44"/>
    <mergeCell ref="BT41:BT44"/>
    <mergeCell ref="BU45:BU48"/>
  </mergeCells>
  <printOptions/>
  <pageMargins left="0.75" right="0.75" top="1" bottom="1" header="0.5" footer="0.5"/>
  <pageSetup fitToHeight="1" fitToWidth="1" horizontalDpi="600" verticalDpi="600" orientation="portrait" paperSize="9" scale="68"/>
  <drawing r:id="rId1"/>
</worksheet>
</file>

<file path=xl/worksheets/sheet20.xml><?xml version="1.0" encoding="utf-8"?>
<worksheet xmlns="http://schemas.openxmlformats.org/spreadsheetml/2006/main" xmlns:r="http://schemas.openxmlformats.org/officeDocument/2006/relationships">
  <dimension ref="A1:M127"/>
  <sheetViews>
    <sheetView zoomScalePageLayoutView="0" workbookViewId="0" topLeftCell="A1">
      <selection activeCell="F47" sqref="F47"/>
    </sheetView>
  </sheetViews>
  <sheetFormatPr defaultColWidth="9.00390625" defaultRowHeight="14.25"/>
  <cols>
    <col min="3" max="3" width="10.50390625" style="0" bestFit="1" customWidth="1"/>
    <col min="6" max="6" width="19.625" style="0" customWidth="1"/>
    <col min="9" max="9" width="21.625" style="0" customWidth="1"/>
  </cols>
  <sheetData>
    <row r="1" ht="14.25">
      <c r="A1" t="s">
        <v>1196</v>
      </c>
    </row>
    <row r="3" ht="14.25">
      <c r="A3" t="s">
        <v>1197</v>
      </c>
    </row>
    <row r="5" ht="14.25">
      <c r="A5" t="s">
        <v>1199</v>
      </c>
    </row>
    <row r="7" spans="1:13" ht="14.25">
      <c r="A7" t="s">
        <v>1200</v>
      </c>
      <c r="M7" t="s">
        <v>1198</v>
      </c>
    </row>
    <row r="10" ht="14.25">
      <c r="C10" s="40" t="s">
        <v>1191</v>
      </c>
    </row>
    <row r="11" ht="14.25">
      <c r="C11" s="40" t="s">
        <v>1192</v>
      </c>
    </row>
    <row r="12" spans="4:13" ht="25.5" customHeight="1">
      <c r="D12" s="798" t="s">
        <v>1193</v>
      </c>
      <c r="E12" s="799"/>
      <c r="H12" s="313"/>
      <c r="I12" s="313"/>
      <c r="J12" s="313"/>
      <c r="K12" s="313"/>
      <c r="L12" s="313"/>
      <c r="M12" s="313"/>
    </row>
    <row r="13" spans="4:13" ht="14.25">
      <c r="D13" s="409" t="s">
        <v>1194</v>
      </c>
      <c r="E13" s="409" t="s">
        <v>1195</v>
      </c>
      <c r="H13" s="313"/>
      <c r="I13" s="313"/>
      <c r="J13" s="313"/>
      <c r="K13" s="313"/>
      <c r="L13" s="313"/>
      <c r="M13" s="313"/>
    </row>
    <row r="14" spans="3:13" ht="14.25">
      <c r="C14" s="410" t="s">
        <v>651</v>
      </c>
      <c r="D14" s="12">
        <v>85</v>
      </c>
      <c r="E14" s="12">
        <v>85.4</v>
      </c>
      <c r="F14" s="412" t="s">
        <v>1206</v>
      </c>
      <c r="H14" s="313"/>
      <c r="I14" s="313"/>
      <c r="J14" s="413"/>
      <c r="K14" s="414"/>
      <c r="L14" s="414"/>
      <c r="M14" s="313"/>
    </row>
    <row r="15" spans="3:13" ht="14.25">
      <c r="C15" s="410" t="s">
        <v>653</v>
      </c>
      <c r="D15" s="12">
        <v>85</v>
      </c>
      <c r="E15" s="12">
        <v>85.4</v>
      </c>
      <c r="F15" s="412" t="s">
        <v>1207</v>
      </c>
      <c r="H15" s="313"/>
      <c r="I15" s="313"/>
      <c r="J15" s="413"/>
      <c r="K15" s="414"/>
      <c r="L15" s="414"/>
      <c r="M15" s="313"/>
    </row>
    <row r="16" spans="3:13" ht="14.25">
      <c r="C16" s="410" t="s">
        <v>655</v>
      </c>
      <c r="D16" s="12">
        <v>85</v>
      </c>
      <c r="E16" s="12">
        <v>85.4</v>
      </c>
      <c r="F16" s="412" t="s">
        <v>1208</v>
      </c>
      <c r="H16" s="313"/>
      <c r="I16" s="313"/>
      <c r="J16" s="413"/>
      <c r="K16" s="414"/>
      <c r="L16" s="414"/>
      <c r="M16" s="313"/>
    </row>
    <row r="17" spans="3:13" ht="14.25">
      <c r="C17" s="410" t="s">
        <v>657</v>
      </c>
      <c r="D17" s="12">
        <v>93</v>
      </c>
      <c r="E17" s="12">
        <v>89.4</v>
      </c>
      <c r="F17" s="412" t="s">
        <v>656</v>
      </c>
      <c r="H17" s="313"/>
      <c r="I17" s="313"/>
      <c r="J17" s="413"/>
      <c r="K17" s="414"/>
      <c r="L17" s="414"/>
      <c r="M17" s="313"/>
    </row>
    <row r="18" spans="3:13" ht="14.25">
      <c r="C18" s="410" t="s">
        <v>659</v>
      </c>
      <c r="D18" s="12">
        <v>92</v>
      </c>
      <c r="E18" s="12">
        <v>95.2</v>
      </c>
      <c r="F18" s="412" t="s">
        <v>658</v>
      </c>
      <c r="H18" s="313"/>
      <c r="I18" s="413"/>
      <c r="J18" s="413"/>
      <c r="K18" s="414"/>
      <c r="L18" s="414"/>
      <c r="M18" s="313"/>
    </row>
    <row r="19" spans="3:13" ht="25.5">
      <c r="C19" s="410" t="s">
        <v>661</v>
      </c>
      <c r="D19" s="12">
        <v>100</v>
      </c>
      <c r="E19" s="12">
        <v>89.4</v>
      </c>
      <c r="F19" s="412" t="s">
        <v>1236</v>
      </c>
      <c r="H19" s="313"/>
      <c r="I19" s="313"/>
      <c r="J19" s="413"/>
      <c r="K19" s="414"/>
      <c r="L19" s="414"/>
      <c r="M19" s="313"/>
    </row>
    <row r="20" spans="3:13" ht="25.5">
      <c r="C20" s="410" t="s">
        <v>663</v>
      </c>
      <c r="D20" s="12">
        <v>100</v>
      </c>
      <c r="E20" s="12">
        <v>95.2</v>
      </c>
      <c r="F20" s="412" t="s">
        <v>1237</v>
      </c>
      <c r="H20" s="313"/>
      <c r="I20" s="413"/>
      <c r="J20" s="413"/>
      <c r="K20" s="414"/>
      <c r="L20" s="414"/>
      <c r="M20" s="313"/>
    </row>
    <row r="21" spans="3:13" ht="25.5">
      <c r="C21" s="410" t="s">
        <v>665</v>
      </c>
      <c r="D21" s="12">
        <v>100</v>
      </c>
      <c r="E21" s="12">
        <v>89.4</v>
      </c>
      <c r="F21" s="412" t="s">
        <v>1238</v>
      </c>
      <c r="H21" s="313"/>
      <c r="I21" s="313"/>
      <c r="J21" s="413"/>
      <c r="K21" s="414"/>
      <c r="L21" s="414"/>
      <c r="M21" s="313"/>
    </row>
    <row r="22" spans="3:13" ht="25.5">
      <c r="C22" s="410" t="s">
        <v>667</v>
      </c>
      <c r="D22" s="12">
        <v>100</v>
      </c>
      <c r="E22" s="12">
        <v>89.4</v>
      </c>
      <c r="F22" s="412" t="s">
        <v>1239</v>
      </c>
      <c r="H22" s="313"/>
      <c r="I22" s="313"/>
      <c r="J22" s="413"/>
      <c r="K22" s="414"/>
      <c r="L22" s="414"/>
      <c r="M22" s="313"/>
    </row>
    <row r="23" spans="3:13" ht="14.25">
      <c r="C23" s="410" t="s">
        <v>669</v>
      </c>
      <c r="D23" s="12">
        <v>100</v>
      </c>
      <c r="E23" s="12">
        <v>95.2</v>
      </c>
      <c r="F23" s="412" t="s">
        <v>1406</v>
      </c>
      <c r="H23" s="313"/>
      <c r="I23" s="313"/>
      <c r="J23" s="413"/>
      <c r="K23" s="414"/>
      <c r="L23" s="414"/>
      <c r="M23" s="313"/>
    </row>
    <row r="24" spans="3:13" ht="25.5">
      <c r="C24" s="410" t="s">
        <v>1592</v>
      </c>
      <c r="D24" s="12">
        <v>58</v>
      </c>
      <c r="E24" s="12" t="s">
        <v>338</v>
      </c>
      <c r="F24" s="412" t="s">
        <v>1407</v>
      </c>
      <c r="H24" s="313"/>
      <c r="I24" s="313"/>
      <c r="J24" s="413"/>
      <c r="K24" s="414"/>
      <c r="L24" s="414"/>
      <c r="M24" s="313"/>
    </row>
    <row r="25" spans="3:13" ht="25.5">
      <c r="C25" s="410" t="s">
        <v>731</v>
      </c>
      <c r="D25" s="12">
        <v>34</v>
      </c>
      <c r="E25" s="12">
        <v>43.7</v>
      </c>
      <c r="F25" s="412" t="s">
        <v>1244</v>
      </c>
      <c r="H25" s="313"/>
      <c r="I25" s="313"/>
      <c r="J25" s="413"/>
      <c r="K25" s="414"/>
      <c r="L25" s="414"/>
      <c r="M25" s="313"/>
    </row>
    <row r="26" spans="3:13" ht="25.5">
      <c r="C26" s="410" t="s">
        <v>732</v>
      </c>
      <c r="D26" s="12">
        <v>34</v>
      </c>
      <c r="E26" s="12">
        <v>41.3</v>
      </c>
      <c r="F26" s="412" t="s">
        <v>1245</v>
      </c>
      <c r="H26" s="313"/>
      <c r="I26" s="313"/>
      <c r="J26" s="413"/>
      <c r="K26" s="414"/>
      <c r="L26" s="414"/>
      <c r="M26" s="313"/>
    </row>
    <row r="27" spans="3:13" ht="25.5">
      <c r="C27" s="410" t="s">
        <v>735</v>
      </c>
      <c r="D27" s="12">
        <v>46</v>
      </c>
      <c r="E27" s="12">
        <v>100</v>
      </c>
      <c r="F27" s="412" t="s">
        <v>1256</v>
      </c>
      <c r="H27" s="313"/>
      <c r="I27" s="313"/>
      <c r="J27" s="413"/>
      <c r="K27" s="414"/>
      <c r="L27" s="414"/>
      <c r="M27" s="313"/>
    </row>
    <row r="28" spans="3:13" ht="38.25">
      <c r="C28" s="410" t="s">
        <v>683</v>
      </c>
      <c r="D28" s="12">
        <v>100</v>
      </c>
      <c r="E28" s="12" t="s">
        <v>734</v>
      </c>
      <c r="F28" s="412" t="s">
        <v>1240</v>
      </c>
      <c r="H28" s="313"/>
      <c r="I28" s="313"/>
      <c r="J28" s="413"/>
      <c r="K28" s="414"/>
      <c r="L28" s="414"/>
      <c r="M28" s="313"/>
    </row>
    <row r="29" spans="2:13" ht="38.25">
      <c r="B29" t="s">
        <v>1201</v>
      </c>
      <c r="C29" s="410" t="s">
        <v>685</v>
      </c>
      <c r="D29" s="12">
        <v>100</v>
      </c>
      <c r="E29" s="12" t="s">
        <v>734</v>
      </c>
      <c r="F29" s="412" t="s">
        <v>1240</v>
      </c>
      <c r="H29" s="313"/>
      <c r="I29" s="413"/>
      <c r="J29" s="413"/>
      <c r="K29" s="414"/>
      <c r="L29" s="414"/>
      <c r="M29" s="313"/>
    </row>
    <row r="30" spans="2:13" ht="14.25">
      <c r="B30" t="s">
        <v>1201</v>
      </c>
      <c r="C30" s="410" t="s">
        <v>687</v>
      </c>
      <c r="D30" s="12">
        <v>100</v>
      </c>
      <c r="E30" s="12" t="s">
        <v>734</v>
      </c>
      <c r="F30" s="412" t="s">
        <v>1417</v>
      </c>
      <c r="H30" s="313"/>
      <c r="I30" s="313"/>
      <c r="J30" s="413"/>
      <c r="K30" s="414"/>
      <c r="L30" s="414"/>
      <c r="M30" s="313"/>
    </row>
    <row r="31" spans="3:13" ht="25.5">
      <c r="C31" s="410" t="s">
        <v>365</v>
      </c>
      <c r="D31" s="12" t="s">
        <v>734</v>
      </c>
      <c r="E31" s="12" t="s">
        <v>734</v>
      </c>
      <c r="F31" s="412" t="s">
        <v>1253</v>
      </c>
      <c r="H31" s="313"/>
      <c r="I31" s="413"/>
      <c r="J31" s="413"/>
      <c r="K31" s="414"/>
      <c r="L31" s="414"/>
      <c r="M31" s="313"/>
    </row>
    <row r="32" spans="2:13" ht="25.5">
      <c r="B32" t="s">
        <v>1201</v>
      </c>
      <c r="C32" s="410" t="s">
        <v>364</v>
      </c>
      <c r="D32" s="12">
        <v>100</v>
      </c>
      <c r="E32" s="12" t="s">
        <v>734</v>
      </c>
      <c r="F32" s="412" t="s">
        <v>362</v>
      </c>
      <c r="H32" s="313"/>
      <c r="I32" s="413"/>
      <c r="J32" s="413"/>
      <c r="K32" s="414"/>
      <c r="L32" s="414"/>
      <c r="M32" s="313"/>
    </row>
    <row r="33" spans="3:13" ht="14.25">
      <c r="C33" s="410" t="s">
        <v>694</v>
      </c>
      <c r="D33" s="12">
        <v>10</v>
      </c>
      <c r="E33" s="12">
        <v>10.6</v>
      </c>
      <c r="F33" s="412" t="s">
        <v>1241</v>
      </c>
      <c r="H33" s="313"/>
      <c r="I33" s="313"/>
      <c r="J33" s="413"/>
      <c r="K33" s="414"/>
      <c r="L33" s="414"/>
      <c r="M33" s="313"/>
    </row>
    <row r="34" spans="3:13" ht="14.25">
      <c r="C34" s="410" t="s">
        <v>692</v>
      </c>
      <c r="D34" s="12" t="s">
        <v>1202</v>
      </c>
      <c r="E34" s="12">
        <v>7.4</v>
      </c>
      <c r="F34" s="412" t="s">
        <v>1242</v>
      </c>
      <c r="H34" s="313"/>
      <c r="I34" s="313"/>
      <c r="J34" s="413"/>
      <c r="K34" s="414"/>
      <c r="L34" s="414"/>
      <c r="M34" s="313"/>
    </row>
    <row r="35" spans="2:13" ht="14.25">
      <c r="B35" t="s">
        <v>1203</v>
      </c>
      <c r="C35" s="410" t="s">
        <v>696</v>
      </c>
      <c r="D35" s="12">
        <v>20</v>
      </c>
      <c r="E35" s="12" t="s">
        <v>734</v>
      </c>
      <c r="H35" s="313"/>
      <c r="I35" s="413"/>
      <c r="J35" s="413"/>
      <c r="K35" s="414"/>
      <c r="L35" s="414"/>
      <c r="M35" s="313"/>
    </row>
    <row r="36" spans="3:13" ht="14.25">
      <c r="C36" s="410" t="s">
        <v>699</v>
      </c>
      <c r="D36" s="12">
        <v>100</v>
      </c>
      <c r="E36" s="12">
        <v>100</v>
      </c>
      <c r="F36" s="412" t="s">
        <v>1249</v>
      </c>
      <c r="H36" s="313"/>
      <c r="I36" s="800"/>
      <c r="J36" s="800"/>
      <c r="K36" s="800"/>
      <c r="L36" s="800"/>
      <c r="M36" s="313"/>
    </row>
    <row r="37" spans="3:13" ht="14.25">
      <c r="C37" s="410" t="s">
        <v>701</v>
      </c>
      <c r="D37" s="12">
        <v>97.5</v>
      </c>
      <c r="E37" s="12">
        <v>98.1</v>
      </c>
      <c r="F37" s="412" t="s">
        <v>1250</v>
      </c>
      <c r="H37" s="313"/>
      <c r="I37" s="413"/>
      <c r="J37" s="413"/>
      <c r="K37" s="414"/>
      <c r="L37" s="414"/>
      <c r="M37" s="313"/>
    </row>
    <row r="38" spans="3:13" ht="14.25">
      <c r="C38" s="410" t="s">
        <v>1431</v>
      </c>
      <c r="D38" s="12"/>
      <c r="E38" s="12"/>
      <c r="F38" s="412" t="s">
        <v>1251</v>
      </c>
      <c r="H38" s="313"/>
      <c r="I38" s="413"/>
      <c r="J38" s="413"/>
      <c r="K38" s="414"/>
      <c r="L38" s="414"/>
      <c r="M38" s="313"/>
    </row>
    <row r="39" spans="3:13" ht="14.25">
      <c r="C39" s="410" t="s">
        <v>707</v>
      </c>
      <c r="D39" s="12"/>
      <c r="E39" s="12"/>
      <c r="F39" s="412" t="s">
        <v>1246</v>
      </c>
      <c r="H39" s="313"/>
      <c r="I39" s="313"/>
      <c r="J39" s="413"/>
      <c r="K39" s="414"/>
      <c r="L39" s="414"/>
      <c r="M39" s="313"/>
    </row>
    <row r="40" spans="3:13" ht="14.25">
      <c r="C40" s="410" t="s">
        <v>709</v>
      </c>
      <c r="D40" s="12"/>
      <c r="E40" s="12"/>
      <c r="F40" s="412" t="s">
        <v>1247</v>
      </c>
      <c r="H40" s="313"/>
      <c r="I40" s="413"/>
      <c r="J40" s="413"/>
      <c r="K40" s="414"/>
      <c r="L40" s="414"/>
      <c r="M40" s="313"/>
    </row>
    <row r="41" spans="3:13" ht="14.25">
      <c r="C41" s="410" t="s">
        <v>412</v>
      </c>
      <c r="D41" s="12"/>
      <c r="E41" s="12"/>
      <c r="F41" s="412" t="s">
        <v>1254</v>
      </c>
      <c r="H41" s="313"/>
      <c r="I41" s="413"/>
      <c r="J41" s="413"/>
      <c r="K41" s="414"/>
      <c r="L41" s="414"/>
      <c r="M41" s="313"/>
    </row>
    <row r="42" spans="3:13" ht="25.5">
      <c r="C42" s="410" t="s">
        <v>681</v>
      </c>
      <c r="D42" s="12"/>
      <c r="E42" s="12"/>
      <c r="F42" s="412" t="s">
        <v>1248</v>
      </c>
      <c r="H42" s="313"/>
      <c r="I42" s="413"/>
      <c r="J42" s="413"/>
      <c r="K42" s="414"/>
      <c r="L42" s="414"/>
      <c r="M42" s="313"/>
    </row>
    <row r="43" spans="3:13" ht="14.25">
      <c r="C43" s="410" t="s">
        <v>715</v>
      </c>
      <c r="D43" s="12"/>
      <c r="E43" s="12"/>
      <c r="F43" s="412" t="s">
        <v>1252</v>
      </c>
      <c r="H43" s="313"/>
      <c r="I43" s="413"/>
      <c r="J43" s="413"/>
      <c r="K43" s="414"/>
      <c r="L43" s="414"/>
      <c r="M43" s="313"/>
    </row>
    <row r="44" spans="2:13" ht="25.5">
      <c r="B44" t="s">
        <v>1203</v>
      </c>
      <c r="C44" s="410" t="s">
        <v>725</v>
      </c>
      <c r="D44" s="12">
        <v>90</v>
      </c>
      <c r="E44" s="12" t="s">
        <v>734</v>
      </c>
      <c r="F44" s="412" t="s">
        <v>1243</v>
      </c>
      <c r="H44" s="313"/>
      <c r="I44" s="413"/>
      <c r="J44" s="413"/>
      <c r="K44" s="414"/>
      <c r="L44" s="414"/>
      <c r="M44" s="313"/>
    </row>
    <row r="45" spans="3:13" ht="14.25">
      <c r="C45" s="410" t="s">
        <v>366</v>
      </c>
      <c r="D45" s="12"/>
      <c r="E45" s="12"/>
      <c r="F45" s="412" t="s">
        <v>1255</v>
      </c>
      <c r="H45" s="313"/>
      <c r="I45" s="800"/>
      <c r="J45" s="800"/>
      <c r="K45" s="800"/>
      <c r="L45" s="800"/>
      <c r="M45" s="313"/>
    </row>
    <row r="46" spans="8:13" ht="14.25">
      <c r="H46" s="313"/>
      <c r="I46" s="413"/>
      <c r="J46" s="413"/>
      <c r="K46" s="414"/>
      <c r="L46" s="414"/>
      <c r="M46" s="313"/>
    </row>
    <row r="47" spans="3:13" ht="14.25">
      <c r="C47" t="s">
        <v>1204</v>
      </c>
      <c r="H47" s="313"/>
      <c r="I47" s="413"/>
      <c r="J47" s="413"/>
      <c r="K47" s="414"/>
      <c r="L47" s="414"/>
      <c r="M47" s="313"/>
    </row>
    <row r="48" spans="3:13" ht="14.25">
      <c r="C48" s="411" t="s">
        <v>1205</v>
      </c>
      <c r="H48" s="313"/>
      <c r="I48" s="413"/>
      <c r="J48" s="413"/>
      <c r="K48" s="414"/>
      <c r="L48" s="414"/>
      <c r="M48" s="313"/>
    </row>
    <row r="49" spans="8:13" ht="14.25">
      <c r="H49" s="313"/>
      <c r="I49" s="413"/>
      <c r="J49" s="413"/>
      <c r="K49" s="414"/>
      <c r="L49" s="414"/>
      <c r="M49" s="313"/>
    </row>
    <row r="50" spans="8:13" ht="14.25">
      <c r="H50" s="313"/>
      <c r="I50" s="413"/>
      <c r="J50" s="413"/>
      <c r="K50" s="414"/>
      <c r="L50" s="414"/>
      <c r="M50" s="313"/>
    </row>
    <row r="51" spans="8:13" ht="14.25">
      <c r="H51" s="313"/>
      <c r="I51" s="413"/>
      <c r="J51" s="413"/>
      <c r="K51" s="414"/>
      <c r="L51" s="414"/>
      <c r="M51" s="313"/>
    </row>
    <row r="52" spans="8:13" ht="14.25">
      <c r="H52" s="313"/>
      <c r="I52" s="413"/>
      <c r="J52" s="413"/>
      <c r="K52" s="414"/>
      <c r="L52" s="414"/>
      <c r="M52" s="313"/>
    </row>
    <row r="53" spans="8:13" ht="14.25">
      <c r="H53" s="313"/>
      <c r="I53" s="313"/>
      <c r="J53" s="413"/>
      <c r="K53" s="414"/>
      <c r="L53" s="414"/>
      <c r="M53" s="313"/>
    </row>
    <row r="54" spans="8:13" ht="14.25">
      <c r="H54" s="313"/>
      <c r="I54" s="413"/>
      <c r="J54" s="413"/>
      <c r="K54" s="414"/>
      <c r="L54" s="414"/>
      <c r="M54" s="313"/>
    </row>
    <row r="55" spans="8:13" ht="14.25">
      <c r="H55" s="313"/>
      <c r="I55" s="313"/>
      <c r="J55" s="413"/>
      <c r="K55" s="414"/>
      <c r="L55" s="414"/>
      <c r="M55" s="313"/>
    </row>
    <row r="56" spans="8:13" ht="14.25">
      <c r="H56" s="313"/>
      <c r="I56" s="413"/>
      <c r="J56" s="413"/>
      <c r="K56" s="414"/>
      <c r="L56" s="414"/>
      <c r="M56" s="313"/>
    </row>
    <row r="57" spans="8:13" ht="14.25">
      <c r="H57" s="313"/>
      <c r="I57" s="313"/>
      <c r="J57" s="413"/>
      <c r="K57" s="414"/>
      <c r="L57" s="414"/>
      <c r="M57" s="313"/>
    </row>
    <row r="58" spans="8:13" ht="14.25">
      <c r="H58" s="313"/>
      <c r="I58" s="313"/>
      <c r="J58" s="413"/>
      <c r="K58" s="414"/>
      <c r="L58" s="414"/>
      <c r="M58" s="313"/>
    </row>
    <row r="59" spans="8:13" ht="25.5" customHeight="1">
      <c r="H59" s="313"/>
      <c r="I59" s="800"/>
      <c r="J59" s="800"/>
      <c r="K59" s="800"/>
      <c r="L59" s="800"/>
      <c r="M59" s="313"/>
    </row>
    <row r="60" spans="8:13" ht="14.25">
      <c r="H60" s="313"/>
      <c r="I60" s="413"/>
      <c r="J60" s="413"/>
      <c r="K60" s="414"/>
      <c r="L60" s="414"/>
      <c r="M60" s="313"/>
    </row>
    <row r="61" spans="8:13" ht="14.25">
      <c r="H61" s="313"/>
      <c r="I61" s="413"/>
      <c r="J61" s="413"/>
      <c r="K61" s="414"/>
      <c r="L61" s="414"/>
      <c r="M61" s="313"/>
    </row>
    <row r="62" spans="8:13" ht="14.25">
      <c r="H62" s="313"/>
      <c r="I62" s="413"/>
      <c r="J62" s="413"/>
      <c r="K62" s="414"/>
      <c r="L62" s="414"/>
      <c r="M62" s="313"/>
    </row>
    <row r="63" spans="8:13" ht="14.25">
      <c r="H63" s="313"/>
      <c r="I63" s="800"/>
      <c r="J63" s="800"/>
      <c r="K63" s="800"/>
      <c r="L63" s="800"/>
      <c r="M63" s="313"/>
    </row>
    <row r="64" spans="8:13" ht="14.25">
      <c r="H64" s="313"/>
      <c r="I64" s="413"/>
      <c r="J64" s="413"/>
      <c r="K64" s="414"/>
      <c r="L64" s="414"/>
      <c r="M64" s="313"/>
    </row>
    <row r="65" spans="8:13" ht="14.25">
      <c r="H65" s="313"/>
      <c r="I65" s="413"/>
      <c r="J65" s="413"/>
      <c r="K65" s="414"/>
      <c r="L65" s="414"/>
      <c r="M65" s="313"/>
    </row>
    <row r="66" spans="8:13" ht="14.25">
      <c r="H66" s="313"/>
      <c r="I66" s="413"/>
      <c r="J66" s="413"/>
      <c r="K66" s="414"/>
      <c r="L66" s="414"/>
      <c r="M66" s="313"/>
    </row>
    <row r="67" spans="8:13" ht="14.25">
      <c r="H67" s="313"/>
      <c r="I67" s="413"/>
      <c r="J67" s="413"/>
      <c r="K67" s="414"/>
      <c r="L67" s="414"/>
      <c r="M67" s="313"/>
    </row>
    <row r="68" spans="8:13" ht="14.25">
      <c r="H68" s="313"/>
      <c r="I68" s="313"/>
      <c r="J68" s="413"/>
      <c r="K68" s="414"/>
      <c r="L68" s="414"/>
      <c r="M68" s="313"/>
    </row>
    <row r="69" spans="8:13" ht="14.25">
      <c r="H69" s="313"/>
      <c r="I69" s="313"/>
      <c r="J69" s="413"/>
      <c r="K69" s="414"/>
      <c r="L69" s="414"/>
      <c r="M69" s="313"/>
    </row>
    <row r="70" spans="8:13" ht="14.25">
      <c r="H70" s="313"/>
      <c r="I70" s="313"/>
      <c r="J70" s="413"/>
      <c r="K70" s="414"/>
      <c r="L70" s="414"/>
      <c r="M70" s="313"/>
    </row>
    <row r="71" spans="8:13" ht="14.25">
      <c r="H71" s="313"/>
      <c r="I71" s="413"/>
      <c r="J71" s="413"/>
      <c r="K71" s="414"/>
      <c r="L71" s="414"/>
      <c r="M71" s="313"/>
    </row>
    <row r="72" spans="8:13" ht="14.25">
      <c r="H72" s="313"/>
      <c r="I72" s="313"/>
      <c r="J72" s="413"/>
      <c r="K72" s="414"/>
      <c r="L72" s="414"/>
      <c r="M72" s="313"/>
    </row>
    <row r="73" spans="8:13" ht="14.25">
      <c r="H73" s="313"/>
      <c r="I73" s="413"/>
      <c r="J73" s="413"/>
      <c r="K73" s="414"/>
      <c r="L73" s="414"/>
      <c r="M73" s="313"/>
    </row>
    <row r="74" spans="8:13" ht="14.25">
      <c r="H74" s="313"/>
      <c r="I74" s="313"/>
      <c r="J74" s="413"/>
      <c r="K74" s="414"/>
      <c r="L74" s="414"/>
      <c r="M74" s="313"/>
    </row>
    <row r="75" spans="8:13" ht="14.25">
      <c r="H75" s="313"/>
      <c r="I75" s="313"/>
      <c r="J75" s="413"/>
      <c r="K75" s="414"/>
      <c r="L75" s="414"/>
      <c r="M75" s="313"/>
    </row>
    <row r="76" spans="8:13" ht="14.25">
      <c r="H76" s="313"/>
      <c r="I76" s="413"/>
      <c r="J76" s="413"/>
      <c r="K76" s="414"/>
      <c r="L76" s="414"/>
      <c r="M76" s="313"/>
    </row>
    <row r="77" spans="8:13" ht="14.25">
      <c r="H77" s="313"/>
      <c r="I77" s="413"/>
      <c r="J77" s="413"/>
      <c r="K77" s="414"/>
      <c r="L77" s="414"/>
      <c r="M77" s="313"/>
    </row>
    <row r="78" spans="8:13" ht="14.25">
      <c r="H78" s="313"/>
      <c r="I78" s="413"/>
      <c r="J78" s="413"/>
      <c r="K78" s="414"/>
      <c r="L78" s="414"/>
      <c r="M78" s="313"/>
    </row>
    <row r="79" spans="8:13" ht="14.25">
      <c r="H79" s="313"/>
      <c r="I79" s="313"/>
      <c r="J79" s="413"/>
      <c r="K79" s="414"/>
      <c r="L79" s="414"/>
      <c r="M79" s="313"/>
    </row>
    <row r="80" spans="8:13" ht="14.25">
      <c r="H80" s="313"/>
      <c r="I80" s="413"/>
      <c r="J80" s="413"/>
      <c r="K80" s="414"/>
      <c r="L80" s="414"/>
      <c r="M80" s="313"/>
    </row>
    <row r="81" spans="8:13" ht="14.25">
      <c r="H81" s="313"/>
      <c r="I81" s="800"/>
      <c r="J81" s="800"/>
      <c r="K81" s="801"/>
      <c r="L81" s="414"/>
      <c r="M81" s="313"/>
    </row>
    <row r="82" spans="8:13" ht="14.25">
      <c r="H82" s="313"/>
      <c r="I82" s="800"/>
      <c r="J82" s="800"/>
      <c r="K82" s="801"/>
      <c r="L82" s="414"/>
      <c r="M82" s="313"/>
    </row>
    <row r="83" spans="8:13" ht="14.25">
      <c r="H83" s="313"/>
      <c r="I83" s="415"/>
      <c r="J83" s="415"/>
      <c r="K83" s="415"/>
      <c r="L83" s="415"/>
      <c r="M83" s="313"/>
    </row>
    <row r="84" spans="8:13" ht="14.25">
      <c r="H84" s="313"/>
      <c r="I84" s="413"/>
      <c r="J84" s="413"/>
      <c r="K84" s="414"/>
      <c r="L84" s="415"/>
      <c r="M84" s="313"/>
    </row>
    <row r="85" spans="8:13" ht="14.25">
      <c r="H85" s="313"/>
      <c r="I85" s="413"/>
      <c r="J85" s="413"/>
      <c r="K85" s="414"/>
      <c r="L85" s="415"/>
      <c r="M85" s="313"/>
    </row>
    <row r="86" spans="8:13" ht="14.25">
      <c r="H86" s="313"/>
      <c r="I86" s="415"/>
      <c r="J86" s="415"/>
      <c r="K86" s="415"/>
      <c r="L86" s="415"/>
      <c r="M86" s="313"/>
    </row>
    <row r="87" spans="8:13" ht="14.25">
      <c r="H87" s="313"/>
      <c r="I87" s="413"/>
      <c r="J87" s="413"/>
      <c r="K87" s="414"/>
      <c r="L87" s="415"/>
      <c r="M87" s="313"/>
    </row>
    <row r="88" spans="8:13" ht="14.25">
      <c r="H88" s="313"/>
      <c r="I88" s="415"/>
      <c r="J88" s="415"/>
      <c r="K88" s="415"/>
      <c r="L88" s="415"/>
      <c r="M88" s="313"/>
    </row>
    <row r="89" spans="8:13" ht="14.25">
      <c r="H89" s="313"/>
      <c r="I89" s="313"/>
      <c r="J89" s="313"/>
      <c r="K89" s="313"/>
      <c r="L89" s="313"/>
      <c r="M89" s="313"/>
    </row>
    <row r="90" spans="8:13" ht="14.25">
      <c r="H90" s="313"/>
      <c r="I90" s="313"/>
      <c r="J90" s="313"/>
      <c r="K90" s="313"/>
      <c r="L90" s="313"/>
      <c r="M90" s="313"/>
    </row>
    <row r="91" spans="8:13" ht="14.25">
      <c r="H91" s="313"/>
      <c r="I91" s="313"/>
      <c r="J91" s="313"/>
      <c r="K91" s="313"/>
      <c r="L91" s="313"/>
      <c r="M91" s="313"/>
    </row>
    <row r="92" spans="8:13" ht="14.25">
      <c r="H92" s="313"/>
      <c r="I92" s="313"/>
      <c r="J92" s="313"/>
      <c r="K92" s="313"/>
      <c r="L92" s="313"/>
      <c r="M92" s="313"/>
    </row>
    <row r="93" spans="8:13" ht="14.25">
      <c r="H93" s="313"/>
      <c r="I93" s="313"/>
      <c r="J93" s="313"/>
      <c r="K93" s="313"/>
      <c r="L93" s="313"/>
      <c r="M93" s="313"/>
    </row>
    <row r="94" spans="8:13" ht="14.25">
      <c r="H94" s="313"/>
      <c r="I94" s="313"/>
      <c r="J94" s="313"/>
      <c r="K94" s="313"/>
      <c r="L94" s="313"/>
      <c r="M94" s="313"/>
    </row>
    <row r="95" spans="8:13" ht="14.25">
      <c r="H95" s="313"/>
      <c r="I95" s="313"/>
      <c r="J95" s="313"/>
      <c r="K95" s="313"/>
      <c r="L95" s="313"/>
      <c r="M95" s="313"/>
    </row>
    <row r="96" spans="8:13" ht="14.25">
      <c r="H96" s="313"/>
      <c r="I96" s="313"/>
      <c r="J96" s="313"/>
      <c r="K96" s="313"/>
      <c r="L96" s="313"/>
      <c r="M96" s="313"/>
    </row>
    <row r="97" spans="8:13" ht="14.25">
      <c r="H97" s="313"/>
      <c r="I97" s="313"/>
      <c r="J97" s="313"/>
      <c r="K97" s="313"/>
      <c r="L97" s="313"/>
      <c r="M97" s="313"/>
    </row>
    <row r="98" spans="8:13" ht="14.25">
      <c r="H98" s="313"/>
      <c r="I98" s="313"/>
      <c r="J98" s="313"/>
      <c r="K98" s="313"/>
      <c r="L98" s="313"/>
      <c r="M98" s="313"/>
    </row>
    <row r="99" spans="8:13" ht="14.25">
      <c r="H99" s="313"/>
      <c r="I99" s="313"/>
      <c r="J99" s="313"/>
      <c r="K99" s="313"/>
      <c r="L99" s="313"/>
      <c r="M99" s="313"/>
    </row>
    <row r="100" spans="8:13" ht="14.25">
      <c r="H100" s="313"/>
      <c r="I100" s="313"/>
      <c r="J100" s="313"/>
      <c r="K100" s="313"/>
      <c r="L100" s="313"/>
      <c r="M100" s="313"/>
    </row>
    <row r="101" spans="8:13" ht="14.25">
      <c r="H101" s="313"/>
      <c r="I101" s="313"/>
      <c r="J101" s="313"/>
      <c r="K101" s="313"/>
      <c r="L101" s="313"/>
      <c r="M101" s="313"/>
    </row>
    <row r="102" spans="8:13" ht="14.25">
      <c r="H102" s="313"/>
      <c r="I102" s="313"/>
      <c r="J102" s="313"/>
      <c r="K102" s="313"/>
      <c r="L102" s="313"/>
      <c r="M102" s="313"/>
    </row>
    <row r="103" spans="8:13" ht="14.25">
      <c r="H103" s="313"/>
      <c r="I103" s="313"/>
      <c r="J103" s="313"/>
      <c r="K103" s="313"/>
      <c r="L103" s="313"/>
      <c r="M103" s="313"/>
    </row>
    <row r="104" spans="8:13" ht="14.25">
      <c r="H104" s="313"/>
      <c r="I104" s="313"/>
      <c r="J104" s="313"/>
      <c r="K104" s="313"/>
      <c r="L104" s="313"/>
      <c r="M104" s="313"/>
    </row>
    <row r="105" spans="8:13" ht="14.25">
      <c r="H105" s="313"/>
      <c r="I105" s="313"/>
      <c r="J105" s="313"/>
      <c r="K105" s="313"/>
      <c r="L105" s="313"/>
      <c r="M105" s="313"/>
    </row>
    <row r="106" spans="8:13" ht="14.25">
      <c r="H106" s="313"/>
      <c r="I106" s="313"/>
      <c r="J106" s="313"/>
      <c r="K106" s="313"/>
      <c r="L106" s="313"/>
      <c r="M106" s="313"/>
    </row>
    <row r="107" spans="8:13" ht="14.25">
      <c r="H107" s="313"/>
      <c r="I107" s="313"/>
      <c r="J107" s="313"/>
      <c r="K107" s="313"/>
      <c r="L107" s="313"/>
      <c r="M107" s="313"/>
    </row>
    <row r="108" spans="8:13" ht="14.25">
      <c r="H108" s="313"/>
      <c r="I108" s="313"/>
      <c r="J108" s="313"/>
      <c r="K108" s="313"/>
      <c r="L108" s="313"/>
      <c r="M108" s="313"/>
    </row>
    <row r="109" spans="8:13" ht="14.25">
      <c r="H109" s="313"/>
      <c r="I109" s="313"/>
      <c r="J109" s="313"/>
      <c r="K109" s="313"/>
      <c r="L109" s="313"/>
      <c r="M109" s="313"/>
    </row>
    <row r="110" spans="8:13" ht="14.25">
      <c r="H110" s="313"/>
      <c r="I110" s="313"/>
      <c r="J110" s="313"/>
      <c r="K110" s="313"/>
      <c r="L110" s="313"/>
      <c r="M110" s="313"/>
    </row>
    <row r="111" spans="8:13" ht="14.25">
      <c r="H111" s="313"/>
      <c r="I111" s="313"/>
      <c r="J111" s="313"/>
      <c r="K111" s="313"/>
      <c r="L111" s="313"/>
      <c r="M111" s="313"/>
    </row>
    <row r="112" spans="8:13" ht="14.25">
      <c r="H112" s="313"/>
      <c r="I112" s="313"/>
      <c r="J112" s="313"/>
      <c r="K112" s="313"/>
      <c r="L112" s="313"/>
      <c r="M112" s="313"/>
    </row>
    <row r="113" spans="8:13" ht="14.25">
      <c r="H113" s="313"/>
      <c r="I113" s="313"/>
      <c r="J113" s="313"/>
      <c r="K113" s="313"/>
      <c r="L113" s="313"/>
      <c r="M113" s="313"/>
    </row>
    <row r="114" spans="8:13" ht="14.25">
      <c r="H114" s="313"/>
      <c r="I114" s="313"/>
      <c r="J114" s="313"/>
      <c r="K114" s="313"/>
      <c r="L114" s="313"/>
      <c r="M114" s="313"/>
    </row>
    <row r="115" spans="8:13" ht="14.25">
      <c r="H115" s="313"/>
      <c r="I115" s="313"/>
      <c r="J115" s="313"/>
      <c r="K115" s="313"/>
      <c r="L115" s="313"/>
      <c r="M115" s="313"/>
    </row>
    <row r="116" spans="8:13" ht="14.25">
      <c r="H116" s="313"/>
      <c r="I116" s="313"/>
      <c r="J116" s="313"/>
      <c r="K116" s="313"/>
      <c r="L116" s="313"/>
      <c r="M116" s="313"/>
    </row>
    <row r="117" spans="8:13" ht="14.25">
      <c r="H117" s="313"/>
      <c r="I117" s="313"/>
      <c r="J117" s="313"/>
      <c r="K117" s="313"/>
      <c r="L117" s="313"/>
      <c r="M117" s="313"/>
    </row>
    <row r="118" spans="8:13" ht="14.25">
      <c r="H118" s="313"/>
      <c r="I118" s="313"/>
      <c r="J118" s="313"/>
      <c r="K118" s="313"/>
      <c r="L118" s="313"/>
      <c r="M118" s="313"/>
    </row>
    <row r="119" spans="8:13" ht="14.25">
      <c r="H119" s="313"/>
      <c r="I119" s="313"/>
      <c r="J119" s="313"/>
      <c r="K119" s="313"/>
      <c r="L119" s="313"/>
      <c r="M119" s="313"/>
    </row>
    <row r="120" spans="8:13" ht="14.25">
      <c r="H120" s="313"/>
      <c r="I120" s="313"/>
      <c r="J120" s="313"/>
      <c r="K120" s="313"/>
      <c r="L120" s="313"/>
      <c r="M120" s="313"/>
    </row>
    <row r="121" spans="8:13" ht="14.25">
      <c r="H121" s="313"/>
      <c r="I121" s="313"/>
      <c r="J121" s="313"/>
      <c r="K121" s="313"/>
      <c r="L121" s="313"/>
      <c r="M121" s="313"/>
    </row>
    <row r="122" spans="8:13" ht="14.25">
      <c r="H122" s="313"/>
      <c r="I122" s="313"/>
      <c r="J122" s="313"/>
      <c r="K122" s="313"/>
      <c r="L122" s="313"/>
      <c r="M122" s="313"/>
    </row>
    <row r="123" spans="8:13" ht="14.25">
      <c r="H123" s="313"/>
      <c r="I123" s="313"/>
      <c r="J123" s="313"/>
      <c r="K123" s="313"/>
      <c r="L123" s="313"/>
      <c r="M123" s="313"/>
    </row>
    <row r="124" spans="8:13" ht="14.25">
      <c r="H124" s="313"/>
      <c r="I124" s="313"/>
      <c r="J124" s="313"/>
      <c r="K124" s="313"/>
      <c r="L124" s="313"/>
      <c r="M124" s="313"/>
    </row>
    <row r="125" spans="8:13" ht="14.25">
      <c r="H125" s="313"/>
      <c r="I125" s="313"/>
      <c r="J125" s="313"/>
      <c r="K125" s="313"/>
      <c r="L125" s="313"/>
      <c r="M125" s="313"/>
    </row>
    <row r="126" spans="8:13" ht="14.25">
      <c r="H126" s="313"/>
      <c r="I126" s="313"/>
      <c r="J126" s="313"/>
      <c r="K126" s="313"/>
      <c r="L126" s="313"/>
      <c r="M126" s="313"/>
    </row>
    <row r="127" spans="8:13" ht="14.25">
      <c r="H127" s="313"/>
      <c r="I127" s="313"/>
      <c r="J127" s="313"/>
      <c r="K127" s="313"/>
      <c r="L127" s="313"/>
      <c r="M127" s="313"/>
    </row>
  </sheetData>
  <sheetProtection/>
  <mergeCells count="8">
    <mergeCell ref="D12:E12"/>
    <mergeCell ref="I36:L36"/>
    <mergeCell ref="I45:L45"/>
    <mergeCell ref="I59:L59"/>
    <mergeCell ref="I63:L63"/>
    <mergeCell ref="I81:I82"/>
    <mergeCell ref="J81:J82"/>
    <mergeCell ref="K81:K8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A2:P62"/>
  <sheetViews>
    <sheetView zoomScalePageLayoutView="0" workbookViewId="0" topLeftCell="A10">
      <selection activeCell="C15" sqref="C15"/>
    </sheetView>
  </sheetViews>
  <sheetFormatPr defaultColWidth="9.00390625" defaultRowHeight="14.25"/>
  <cols>
    <col min="1" max="1" width="13.75390625" style="0" customWidth="1"/>
    <col min="2" max="2" width="12.625" style="9" bestFit="1" customWidth="1"/>
    <col min="3" max="3" width="13.75390625" style="9" bestFit="1" customWidth="1"/>
    <col min="4" max="4" width="20.25390625" style="9" bestFit="1" customWidth="1"/>
    <col min="5" max="5" width="22.875" style="9" bestFit="1" customWidth="1"/>
    <col min="6" max="6" width="16.50390625" style="9" bestFit="1" customWidth="1"/>
    <col min="7" max="7" width="24.75390625" style="0" bestFit="1" customWidth="1"/>
    <col min="8" max="8" width="33.00390625" style="0" bestFit="1" customWidth="1"/>
  </cols>
  <sheetData>
    <row r="1" ht="14.25"/>
    <row r="2" spans="1:6" ht="28.5">
      <c r="A2" s="63"/>
      <c r="B2" s="60" t="s">
        <v>631</v>
      </c>
      <c r="C2" s="61" t="s">
        <v>611</v>
      </c>
      <c r="D2" s="60" t="s">
        <v>613</v>
      </c>
      <c r="E2" s="60" t="s">
        <v>612</v>
      </c>
      <c r="F2" s="60" t="s">
        <v>630</v>
      </c>
    </row>
    <row r="3" spans="1:7" ht="14.25">
      <c r="A3" s="808" t="s">
        <v>754</v>
      </c>
      <c r="B3" s="70" t="s">
        <v>1282</v>
      </c>
      <c r="C3" s="70">
        <v>55.6</v>
      </c>
      <c r="D3" s="70" t="s">
        <v>615</v>
      </c>
      <c r="E3" s="71"/>
      <c r="F3" s="72"/>
      <c r="G3" t="s">
        <v>1281</v>
      </c>
    </row>
    <row r="4" spans="1:6" ht="14.25">
      <c r="A4" s="808"/>
      <c r="B4" s="70" t="s">
        <v>633</v>
      </c>
      <c r="C4" s="70">
        <f>(5.3*C3)/100</f>
        <v>2.9468</v>
      </c>
      <c r="D4" s="70" t="s">
        <v>615</v>
      </c>
      <c r="E4" s="71"/>
      <c r="F4" s="72"/>
    </row>
    <row r="5" spans="1:6" ht="14.25">
      <c r="A5" s="808"/>
      <c r="B5" s="70" t="s">
        <v>634</v>
      </c>
      <c r="C5" s="70">
        <f>(5*C3)/100</f>
        <v>2.78</v>
      </c>
      <c r="D5" s="70" t="s">
        <v>615</v>
      </c>
      <c r="E5" s="71"/>
      <c r="F5" s="72"/>
    </row>
    <row r="6" spans="1:14" ht="14.25">
      <c r="A6" s="802" t="s">
        <v>737</v>
      </c>
      <c r="B6" s="12" t="s">
        <v>632</v>
      </c>
      <c r="C6" s="12">
        <v>4.5</v>
      </c>
      <c r="D6" s="12" t="s">
        <v>615</v>
      </c>
      <c r="E6" s="28">
        <f>(C6*Production!$E$3)/1000000</f>
        <v>4.2513525</v>
      </c>
      <c r="F6" s="62">
        <f aca="true" t="shared" si="0" ref="F6:F32">E6*1000000/(60*60*24*365)</f>
        <v>0.13480950342465753</v>
      </c>
      <c r="L6" t="s">
        <v>632</v>
      </c>
      <c r="M6" t="s">
        <v>633</v>
      </c>
      <c r="N6" t="s">
        <v>634</v>
      </c>
    </row>
    <row r="7" spans="1:16" ht="14.25">
      <c r="A7" s="802"/>
      <c r="B7" s="275" t="s">
        <v>633</v>
      </c>
      <c r="C7" s="275">
        <f>C6*0.489</f>
        <v>2.2005</v>
      </c>
      <c r="D7" s="275" t="s">
        <v>615</v>
      </c>
      <c r="E7" s="276">
        <f>(C7*Production!$E$3)/1000000</f>
        <v>2.0789113725</v>
      </c>
      <c r="F7" s="277">
        <f t="shared" si="0"/>
        <v>0.06592184717465753</v>
      </c>
      <c r="K7" t="s">
        <v>737</v>
      </c>
      <c r="L7">
        <v>4.2513525</v>
      </c>
      <c r="M7">
        <v>2.0789113725</v>
      </c>
      <c r="N7">
        <v>1.6622788275000002</v>
      </c>
      <c r="O7">
        <f>N7/M7</f>
        <v>0.7995910020449899</v>
      </c>
      <c r="P7">
        <v>0.5</v>
      </c>
    </row>
    <row r="8" spans="1:16" ht="14.25">
      <c r="A8" s="802"/>
      <c r="B8" s="12" t="s">
        <v>634</v>
      </c>
      <c r="C8" s="12">
        <f>C6*0.391</f>
        <v>1.7595</v>
      </c>
      <c r="D8" s="12" t="s">
        <v>615</v>
      </c>
      <c r="E8" s="28">
        <f>(C8*Production!$E$3)/1000000</f>
        <v>1.6622788275000002</v>
      </c>
      <c r="F8" s="62">
        <f t="shared" si="0"/>
        <v>0.0527105158390411</v>
      </c>
      <c r="K8" t="s">
        <v>738</v>
      </c>
      <c r="L8">
        <v>14.443346736000027</v>
      </c>
      <c r="M8">
        <v>13.847981696640028</v>
      </c>
      <c r="N8">
        <v>10.890115576704027</v>
      </c>
      <c r="O8">
        <f aca="true" t="shared" si="1" ref="O8:O19">N8/M8</f>
        <v>0.7864045328241821</v>
      </c>
      <c r="P8">
        <v>0.5</v>
      </c>
    </row>
    <row r="9" spans="1:16" ht="14.25">
      <c r="A9" s="802" t="s">
        <v>738</v>
      </c>
      <c r="B9" s="12" t="s">
        <v>632</v>
      </c>
      <c r="C9" s="12" t="s">
        <v>808</v>
      </c>
      <c r="D9" s="12" t="s">
        <v>615</v>
      </c>
      <c r="E9" s="28">
        <f>'Coke DLCF &amp; TLCF'!B41</f>
        <v>14.443346736000027</v>
      </c>
      <c r="F9" s="62">
        <f t="shared" si="0"/>
        <v>0.45799552054794607</v>
      </c>
      <c r="K9" t="s">
        <v>1317</v>
      </c>
      <c r="L9">
        <v>3.77898</v>
      </c>
      <c r="M9">
        <v>0.377898</v>
      </c>
      <c r="N9">
        <v>0.377898</v>
      </c>
      <c r="O9">
        <f t="shared" si="1"/>
        <v>1</v>
      </c>
      <c r="P9">
        <v>0.5</v>
      </c>
    </row>
    <row r="10" spans="1:16" ht="14.25">
      <c r="A10" s="802"/>
      <c r="B10" s="275" t="s">
        <v>633</v>
      </c>
      <c r="C10" s="275" t="s">
        <v>808</v>
      </c>
      <c r="D10" s="275" t="s">
        <v>615</v>
      </c>
      <c r="E10" s="276">
        <f>'Coke DLCF &amp; TLCF'!C41</f>
        <v>13.847981696640028</v>
      </c>
      <c r="F10" s="277">
        <f t="shared" si="0"/>
        <v>0.4391166189954347</v>
      </c>
      <c r="K10" t="s">
        <v>755</v>
      </c>
      <c r="L10">
        <v>123.368992</v>
      </c>
      <c r="M10">
        <v>104.092587</v>
      </c>
      <c r="N10">
        <v>50.118653</v>
      </c>
      <c r="O10">
        <f t="shared" si="1"/>
        <v>0.4814814814814815</v>
      </c>
      <c r="P10">
        <v>0.5</v>
      </c>
    </row>
    <row r="11" spans="1:16" ht="14.25">
      <c r="A11" s="802"/>
      <c r="B11" s="12" t="s">
        <v>634</v>
      </c>
      <c r="C11" s="12" t="s">
        <v>808</v>
      </c>
      <c r="D11" s="12" t="s">
        <v>615</v>
      </c>
      <c r="E11" s="28">
        <f>'Coke DLCF &amp; TLCF'!D41</f>
        <v>10.890115576704027</v>
      </c>
      <c r="F11" s="62">
        <f t="shared" si="0"/>
        <v>0.3453232996164392</v>
      </c>
      <c r="K11" t="s">
        <v>756</v>
      </c>
      <c r="L11">
        <v>123.368992</v>
      </c>
      <c r="M11">
        <v>104.092587</v>
      </c>
      <c r="N11">
        <v>50.118653</v>
      </c>
      <c r="O11">
        <f t="shared" si="1"/>
        <v>0.4814814814814815</v>
      </c>
      <c r="P11">
        <v>0.5</v>
      </c>
    </row>
    <row r="12" spans="1:6" ht="20.25" customHeight="1">
      <c r="A12" s="802" t="s">
        <v>473</v>
      </c>
      <c r="B12" s="12" t="s">
        <v>632</v>
      </c>
      <c r="C12" s="12">
        <v>4</v>
      </c>
      <c r="D12" s="12" t="s">
        <v>615</v>
      </c>
      <c r="E12" s="28">
        <f>(C12*Production!$E$3*0.975)/1000000</f>
        <v>3.6845055</v>
      </c>
      <c r="F12" s="62">
        <f t="shared" si="0"/>
        <v>0.11683490296803653</v>
      </c>
    </row>
    <row r="13" spans="1:6" ht="20.25" customHeight="1">
      <c r="A13" s="802"/>
      <c r="B13" s="275" t="s">
        <v>633</v>
      </c>
      <c r="C13" s="275">
        <f>0.95*C12</f>
        <v>3.8</v>
      </c>
      <c r="D13" s="275" t="s">
        <v>615</v>
      </c>
      <c r="E13" s="276">
        <f>(C13*Production!$E$3*0.975)/1000000</f>
        <v>3.500280225</v>
      </c>
      <c r="F13" s="277">
        <f t="shared" si="0"/>
        <v>0.1109931578196347</v>
      </c>
    </row>
    <row r="14" spans="1:6" ht="20.25" customHeight="1">
      <c r="A14" s="802"/>
      <c r="B14" s="12" t="s">
        <v>634</v>
      </c>
      <c r="C14" s="12">
        <f>0.95*C12</f>
        <v>3.8</v>
      </c>
      <c r="D14" s="12" t="s">
        <v>615</v>
      </c>
      <c r="E14" s="28">
        <f>(C14*Production!$E$3*0.975)/1000000</f>
        <v>3.500280225</v>
      </c>
      <c r="F14" s="62">
        <f t="shared" si="0"/>
        <v>0.1109931578196347</v>
      </c>
    </row>
    <row r="15" spans="1:16" ht="21.75" customHeight="1">
      <c r="A15" s="802" t="s">
        <v>474</v>
      </c>
      <c r="B15" s="12" t="s">
        <v>632</v>
      </c>
      <c r="C15" s="12">
        <v>550</v>
      </c>
      <c r="D15" s="12" t="s">
        <v>615</v>
      </c>
      <c r="E15" s="28">
        <f>(C15*Production!$E$3*0.25)/1000000</f>
        <v>129.9024375</v>
      </c>
      <c r="F15" s="62">
        <f t="shared" si="0"/>
        <v>4.11917927130898</v>
      </c>
      <c r="H15" t="s">
        <v>739</v>
      </c>
      <c r="I15">
        <f>4581000/630274</f>
        <v>7.268267451933603</v>
      </c>
      <c r="K15" t="s">
        <v>607</v>
      </c>
      <c r="L15">
        <v>447.1279687</v>
      </c>
      <c r="M15">
        <v>417.5548454</v>
      </c>
      <c r="N15">
        <v>265.7167198</v>
      </c>
      <c r="O15">
        <f t="shared" si="1"/>
        <v>0.6363636363636365</v>
      </c>
      <c r="P15">
        <v>0.5</v>
      </c>
    </row>
    <row r="16" spans="1:16" ht="21.75" customHeight="1">
      <c r="A16" s="802"/>
      <c r="B16" s="275" t="s">
        <v>633</v>
      </c>
      <c r="C16" s="275">
        <f>0.1*C15</f>
        <v>55</v>
      </c>
      <c r="D16" s="275" t="s">
        <v>615</v>
      </c>
      <c r="E16" s="276">
        <f>(C16*Production!$E$3*0.25)/1000000</f>
        <v>12.99024375</v>
      </c>
      <c r="F16" s="277">
        <f t="shared" si="0"/>
        <v>0.41191792713089803</v>
      </c>
      <c r="K16" t="s">
        <v>741</v>
      </c>
      <c r="L16">
        <v>27.46620225</v>
      </c>
      <c r="M16">
        <v>24.58225101375</v>
      </c>
      <c r="N16">
        <v>12.08512899</v>
      </c>
      <c r="O16">
        <f t="shared" si="1"/>
        <v>0.49162011173184356</v>
      </c>
      <c r="P16">
        <v>0.5</v>
      </c>
    </row>
    <row r="17" spans="1:16" ht="21.75" customHeight="1">
      <c r="A17" s="802"/>
      <c r="B17" s="12" t="s">
        <v>634</v>
      </c>
      <c r="C17" s="12">
        <f>0.1*C15</f>
        <v>55</v>
      </c>
      <c r="D17" s="12" t="s">
        <v>615</v>
      </c>
      <c r="E17" s="28">
        <f>(C17*Production!$E$3*0.25)/1000000</f>
        <v>12.99024375</v>
      </c>
      <c r="F17" s="62">
        <f t="shared" si="0"/>
        <v>0.41191792713089803</v>
      </c>
      <c r="K17" t="s">
        <v>742</v>
      </c>
      <c r="L17">
        <v>104.23122335999999</v>
      </c>
      <c r="M17">
        <v>93.2869449072</v>
      </c>
      <c r="N17">
        <v>45.8617382784</v>
      </c>
      <c r="O17">
        <f t="shared" si="1"/>
        <v>0.49162011173184356</v>
      </c>
      <c r="P17">
        <v>0.5</v>
      </c>
    </row>
    <row r="18" spans="1:16" ht="14.25">
      <c r="A18" s="802" t="s">
        <v>755</v>
      </c>
      <c r="B18" s="12" t="s">
        <v>632</v>
      </c>
      <c r="C18" s="12">
        <v>32</v>
      </c>
      <c r="D18" s="12" t="s">
        <v>635</v>
      </c>
      <c r="E18" s="28">
        <f>(C18*(Production!$C$41)/1000000)</f>
        <v>75.92</v>
      </c>
      <c r="F18" s="62">
        <f t="shared" si="0"/>
        <v>2.4074074074074074</v>
      </c>
      <c r="K18" t="s">
        <v>609</v>
      </c>
      <c r="O18" t="e">
        <f t="shared" si="1"/>
        <v>#DIV/0!</v>
      </c>
      <c r="P18">
        <v>0.5</v>
      </c>
    </row>
    <row r="19" spans="1:16" ht="14.25">
      <c r="A19" s="802"/>
      <c r="B19" s="275" t="s">
        <v>633</v>
      </c>
      <c r="C19" s="275">
        <v>27</v>
      </c>
      <c r="D19" s="275" t="s">
        <v>635</v>
      </c>
      <c r="E19" s="276">
        <f>(C19*(Production!$C$41)/1000000)</f>
        <v>64.0575</v>
      </c>
      <c r="F19" s="277">
        <f t="shared" si="0"/>
        <v>2.0312500000000004</v>
      </c>
      <c r="K19" t="s">
        <v>610</v>
      </c>
      <c r="L19">
        <v>24.91344</v>
      </c>
      <c r="M19">
        <v>18.68508</v>
      </c>
      <c r="N19">
        <v>12.2075856</v>
      </c>
      <c r="O19">
        <f t="shared" si="1"/>
        <v>0.6533333333333333</v>
      </c>
      <c r="P19">
        <v>0.5</v>
      </c>
    </row>
    <row r="20" spans="1:6" ht="14.25">
      <c r="A20" s="802"/>
      <c r="B20" s="12" t="s">
        <v>634</v>
      </c>
      <c r="C20" s="12">
        <v>13</v>
      </c>
      <c r="D20" s="12" t="s">
        <v>635</v>
      </c>
      <c r="E20" s="28">
        <f>(C20*(Production!$C$41)/1000000)</f>
        <v>30.8425</v>
      </c>
      <c r="F20" s="62">
        <f t="shared" si="0"/>
        <v>0.9780092592592593</v>
      </c>
    </row>
    <row r="21" spans="1:6" ht="14.25">
      <c r="A21" s="802" t="s">
        <v>756</v>
      </c>
      <c r="B21" s="12" t="s">
        <v>632</v>
      </c>
      <c r="C21" s="12">
        <v>32</v>
      </c>
      <c r="D21" s="12" t="s">
        <v>635</v>
      </c>
      <c r="E21" s="28">
        <f>(C21*(Production!$C$40)/1000000)</f>
        <v>87.6</v>
      </c>
      <c r="F21" s="62">
        <f t="shared" si="0"/>
        <v>2.7777777777777777</v>
      </c>
    </row>
    <row r="22" spans="1:6" ht="14.25">
      <c r="A22" s="802"/>
      <c r="B22" s="275" t="s">
        <v>633</v>
      </c>
      <c r="C22" s="275">
        <v>27</v>
      </c>
      <c r="D22" s="275" t="s">
        <v>635</v>
      </c>
      <c r="E22" s="276">
        <f>(C22*(Production!$C$40)/1000000)</f>
        <v>73.9125</v>
      </c>
      <c r="F22" s="277">
        <f t="shared" si="0"/>
        <v>2.34375</v>
      </c>
    </row>
    <row r="23" spans="1:6" ht="14.25">
      <c r="A23" s="802"/>
      <c r="B23" s="12" t="s">
        <v>634</v>
      </c>
      <c r="C23" s="12">
        <v>13</v>
      </c>
      <c r="D23" s="12" t="s">
        <v>635</v>
      </c>
      <c r="E23" s="28">
        <f>(C23*(Production!$C$40)/1000000)</f>
        <v>35.5875</v>
      </c>
      <c r="F23" s="62">
        <f t="shared" si="0"/>
        <v>1.1284722222222223</v>
      </c>
    </row>
    <row r="24" spans="1:6" ht="14.25">
      <c r="A24" s="802" t="s">
        <v>607</v>
      </c>
      <c r="B24" s="12" t="s">
        <v>632</v>
      </c>
      <c r="C24" s="12">
        <v>101.3</v>
      </c>
      <c r="D24" s="12" t="s">
        <v>740</v>
      </c>
      <c r="E24" s="28">
        <f>(C24*Production!$E$9)/1000000</f>
        <v>447.1279687</v>
      </c>
      <c r="F24" s="62">
        <f t="shared" si="0"/>
        <v>14.178334877600202</v>
      </c>
    </row>
    <row r="25" spans="1:6" ht="14.25">
      <c r="A25" s="802"/>
      <c r="B25" s="275" t="s">
        <v>633</v>
      </c>
      <c r="C25" s="275">
        <v>94.6</v>
      </c>
      <c r="D25" s="275" t="s">
        <v>740</v>
      </c>
      <c r="E25" s="276">
        <f>(C25*Production!$E$9)/1000000</f>
        <v>417.5548454</v>
      </c>
      <c r="F25" s="277">
        <f t="shared" si="0"/>
        <v>13.24057728944698</v>
      </c>
    </row>
    <row r="26" spans="1:6" ht="14.25">
      <c r="A26" s="802"/>
      <c r="B26" s="12" t="s">
        <v>634</v>
      </c>
      <c r="C26" s="12">
        <v>60.2</v>
      </c>
      <c r="D26" s="12" t="s">
        <v>740</v>
      </c>
      <c r="E26" s="28">
        <f>(C26*Production!$E$9)/1000000</f>
        <v>265.7167198</v>
      </c>
      <c r="F26" s="62">
        <f t="shared" si="0"/>
        <v>8.425821911466262</v>
      </c>
    </row>
    <row r="27" spans="1:6" ht="14.25">
      <c r="A27" s="802" t="s">
        <v>741</v>
      </c>
      <c r="B27" s="12" t="s">
        <v>632</v>
      </c>
      <c r="C27" s="389">
        <v>9</v>
      </c>
      <c r="D27" s="12" t="s">
        <v>1283</v>
      </c>
      <c r="E27" s="28">
        <f>(C27*Production!$E$28)/1000000</f>
        <v>27.46620225</v>
      </c>
      <c r="F27" s="62">
        <f t="shared" si="0"/>
        <v>0.8709475599315069</v>
      </c>
    </row>
    <row r="28" spans="1:6" ht="14.25">
      <c r="A28" s="802"/>
      <c r="B28" s="12" t="s">
        <v>633</v>
      </c>
      <c r="C28" s="12">
        <f>C27*89.5/100</f>
        <v>8.055</v>
      </c>
      <c r="D28" s="12" t="s">
        <v>1283</v>
      </c>
      <c r="E28" s="28">
        <f>(C28*Production!$E$28)/1000000</f>
        <v>24.58225101375</v>
      </c>
      <c r="F28" s="62">
        <f t="shared" si="0"/>
        <v>0.7794980661386985</v>
      </c>
    </row>
    <row r="29" spans="1:6" ht="14.25">
      <c r="A29" s="802"/>
      <c r="B29" s="12" t="s">
        <v>634</v>
      </c>
      <c r="C29" s="12">
        <f>C27*44/100</f>
        <v>3.96</v>
      </c>
      <c r="D29" s="12" t="s">
        <v>1283</v>
      </c>
      <c r="E29" s="28">
        <f>(C29*Production!$E$28)/1000000</f>
        <v>12.08512899</v>
      </c>
      <c r="F29" s="62">
        <f t="shared" si="0"/>
        <v>0.38321692636986304</v>
      </c>
    </row>
    <row r="30" spans="1:6" ht="14.25">
      <c r="A30" s="802" t="s">
        <v>742</v>
      </c>
      <c r="B30" s="12" t="s">
        <v>632</v>
      </c>
      <c r="C30" s="389">
        <v>96</v>
      </c>
      <c r="D30" s="12" t="s">
        <v>1284</v>
      </c>
      <c r="E30" s="28">
        <f>(C30*Production!$E$29)/1000000</f>
        <v>104.23122335999999</v>
      </c>
      <c r="F30" s="62">
        <f t="shared" si="0"/>
        <v>3.3051504109589036</v>
      </c>
    </row>
    <row r="31" spans="1:6" ht="14.25">
      <c r="A31" s="802"/>
      <c r="B31" s="12" t="s">
        <v>633</v>
      </c>
      <c r="C31" s="12">
        <f>C30*89.5/100</f>
        <v>85.92</v>
      </c>
      <c r="D31" s="12" t="s">
        <v>1284</v>
      </c>
      <c r="E31" s="28">
        <f>(C31*Production!$E$29)/1000000</f>
        <v>93.2869449072</v>
      </c>
      <c r="F31" s="62">
        <f t="shared" si="0"/>
        <v>2.958109617808219</v>
      </c>
    </row>
    <row r="32" spans="1:6" ht="14.25">
      <c r="A32" s="802"/>
      <c r="B32" s="12" t="s">
        <v>634</v>
      </c>
      <c r="C32" s="12">
        <f>C30*44/100</f>
        <v>42.24</v>
      </c>
      <c r="D32" s="12" t="s">
        <v>1284</v>
      </c>
      <c r="E32" s="28">
        <f>(C32*Production!$E$29)/1000000</f>
        <v>45.8617382784</v>
      </c>
      <c r="F32" s="62">
        <f t="shared" si="0"/>
        <v>1.4542661808219177</v>
      </c>
    </row>
    <row r="33" spans="1:6" ht="14.25">
      <c r="A33" s="802" t="s">
        <v>609</v>
      </c>
      <c r="B33" s="12" t="s">
        <v>632</v>
      </c>
      <c r="C33" s="29"/>
      <c r="D33" s="12" t="s">
        <v>629</v>
      </c>
      <c r="E33" s="29"/>
      <c r="F33" s="12"/>
    </row>
    <row r="34" spans="1:6" ht="14.25">
      <c r="A34" s="802"/>
      <c r="B34" s="12" t="s">
        <v>633</v>
      </c>
      <c r="C34" s="12"/>
      <c r="D34" s="12" t="s">
        <v>629</v>
      </c>
      <c r="E34" s="12"/>
      <c r="F34" s="12"/>
    </row>
    <row r="35" spans="1:6" ht="14.25">
      <c r="A35" s="802"/>
      <c r="B35" s="12" t="s">
        <v>634</v>
      </c>
      <c r="C35" s="12"/>
      <c r="D35" s="12" t="s">
        <v>629</v>
      </c>
      <c r="E35" s="12"/>
      <c r="F35" s="12"/>
    </row>
    <row r="36" spans="1:6" ht="14.25">
      <c r="A36" s="802" t="s">
        <v>610</v>
      </c>
      <c r="B36" s="12" t="s">
        <v>632</v>
      </c>
      <c r="C36" s="28" t="s">
        <v>808</v>
      </c>
      <c r="D36" s="12" t="s">
        <v>629</v>
      </c>
      <c r="E36" s="28">
        <f>'Sinter Transfer'!G49</f>
        <v>28.933355868131873</v>
      </c>
      <c r="F36" s="62">
        <f>E36*1000000/(60*60*24*365)</f>
        <v>0.9174706959706961</v>
      </c>
    </row>
    <row r="37" spans="1:6" ht="14.25">
      <c r="A37" s="802"/>
      <c r="B37" s="275" t="s">
        <v>633</v>
      </c>
      <c r="C37" s="276" t="s">
        <v>808</v>
      </c>
      <c r="D37" s="275" t="s">
        <v>629</v>
      </c>
      <c r="E37" s="276">
        <f>E36*75/100</f>
        <v>21.700016901098905</v>
      </c>
      <c r="F37" s="277">
        <f>E37*1000000/(60*60*24*365)</f>
        <v>0.6881030219780222</v>
      </c>
    </row>
    <row r="38" spans="1:6" ht="14.25">
      <c r="A38" s="802"/>
      <c r="B38" s="12" t="s">
        <v>634</v>
      </c>
      <c r="C38" s="28" t="s">
        <v>808</v>
      </c>
      <c r="D38" s="12" t="s">
        <v>629</v>
      </c>
      <c r="E38" s="28">
        <f>E36*49/100</f>
        <v>14.17734437538462</v>
      </c>
      <c r="F38" s="62">
        <f>E38*1000000/(60*60*24*365)</f>
        <v>0.44956064102564114</v>
      </c>
    </row>
    <row r="39" spans="1:6" ht="15">
      <c r="A39" s="804" t="s">
        <v>743</v>
      </c>
      <c r="B39" s="12" t="s">
        <v>632</v>
      </c>
      <c r="C39" s="803">
        <f>E6+E9+E15+E18+E21+E24+E33+E36+E12</f>
        <v>791.8629668041319</v>
      </c>
      <c r="D39" s="757"/>
      <c r="E39" s="757"/>
      <c r="F39" s="757"/>
    </row>
    <row r="40" spans="1:6" ht="15">
      <c r="A40" s="804"/>
      <c r="B40" s="12" t="s">
        <v>633</v>
      </c>
      <c r="C40" s="803">
        <f>E7+E10+E16+E19+E22+E25+E34+E37+E13</f>
        <v>609.642279345239</v>
      </c>
      <c r="D40" s="757"/>
      <c r="E40" s="757"/>
      <c r="F40" s="757"/>
    </row>
    <row r="41" spans="1:6" ht="15">
      <c r="A41" s="804"/>
      <c r="B41" s="12" t="s">
        <v>634</v>
      </c>
      <c r="C41" s="803">
        <f>E8+E11+E17+E20+E23+E26+E35+E38+E14</f>
        <v>375.3669825545887</v>
      </c>
      <c r="D41" s="757"/>
      <c r="E41" s="757"/>
      <c r="F41" s="757"/>
    </row>
    <row r="42" spans="1:5" ht="14.25">
      <c r="A42" s="47"/>
      <c r="E42" s="18"/>
    </row>
    <row r="43" spans="1:8" ht="15">
      <c r="A43" s="47"/>
      <c r="B43" s="805" t="s">
        <v>887</v>
      </c>
      <c r="C43" s="805"/>
      <c r="D43" s="805"/>
      <c r="E43" s="805"/>
      <c r="F43" s="805"/>
      <c r="G43" s="805"/>
      <c r="H43" s="805"/>
    </row>
    <row r="44" spans="1:8" ht="15">
      <c r="A44" s="25"/>
      <c r="B44" s="11" t="s">
        <v>599</v>
      </c>
      <c r="C44" s="11" t="s">
        <v>602</v>
      </c>
      <c r="D44" s="11" t="s">
        <v>644</v>
      </c>
      <c r="E44" s="11" t="s">
        <v>607</v>
      </c>
      <c r="F44" s="11" t="s">
        <v>646</v>
      </c>
      <c r="G44" s="11" t="s">
        <v>716</v>
      </c>
      <c r="H44" s="11" t="s">
        <v>986</v>
      </c>
    </row>
    <row r="45" spans="1:10" ht="15">
      <c r="A45" s="21" t="s">
        <v>632</v>
      </c>
      <c r="B45" s="54">
        <f>SUM(E6,E9,E15)</f>
        <v>148.597136736</v>
      </c>
      <c r="C45" s="55">
        <f>SUM(E33,E36)</f>
        <v>28.933355868131873</v>
      </c>
      <c r="D45" s="55">
        <f>SUM(E18,E21)</f>
        <v>163.51999999999998</v>
      </c>
      <c r="E45" s="55">
        <f>SUM(E24)</f>
        <v>447.1279687</v>
      </c>
      <c r="F45" s="9" t="s">
        <v>985</v>
      </c>
      <c r="G45" s="9" t="s">
        <v>985</v>
      </c>
      <c r="H45" s="54">
        <f>SUM(E27,E30)</f>
        <v>131.69742560999998</v>
      </c>
      <c r="J45" s="75">
        <f>SUM(B45:H45)</f>
        <v>919.8758869141318</v>
      </c>
    </row>
    <row r="46" spans="1:10" ht="15">
      <c r="A46" s="21" t="s">
        <v>633</v>
      </c>
      <c r="B46" s="54">
        <f>SUM(E7,E10,E16)</f>
        <v>28.917136819140026</v>
      </c>
      <c r="C46" s="55">
        <f>SUM(E34,E37)</f>
        <v>21.700016901098905</v>
      </c>
      <c r="D46" s="55">
        <f>SUM(E19,E22)</f>
        <v>137.97</v>
      </c>
      <c r="E46" s="55">
        <f>SUM(E25)</f>
        <v>417.5548454</v>
      </c>
      <c r="F46" s="9" t="s">
        <v>985</v>
      </c>
      <c r="G46" s="9" t="s">
        <v>985</v>
      </c>
      <c r="H46" s="54">
        <f>SUM(E28,E31)</f>
        <v>117.86919592094999</v>
      </c>
      <c r="J46" s="75">
        <f>SUM(B46:H46)</f>
        <v>724.0111950411889</v>
      </c>
    </row>
    <row r="47" spans="1:10" ht="15">
      <c r="A47" s="21" t="s">
        <v>634</v>
      </c>
      <c r="B47" s="54">
        <f>SUM(E8,E11,E17)</f>
        <v>25.542638154204028</v>
      </c>
      <c r="C47" s="55">
        <f>SUM(E35,E38)</f>
        <v>14.17734437538462</v>
      </c>
      <c r="D47" s="55">
        <f>SUM(E20,E23)</f>
        <v>66.43</v>
      </c>
      <c r="E47" s="55">
        <f>SUM(E26)</f>
        <v>265.7167198</v>
      </c>
      <c r="F47" s="9" t="s">
        <v>985</v>
      </c>
      <c r="G47" s="9" t="s">
        <v>985</v>
      </c>
      <c r="H47" s="54">
        <f>SUM(E29,E32)</f>
        <v>57.9468672684</v>
      </c>
      <c r="J47" s="75">
        <f>SUM(B47:H47)</f>
        <v>429.8135695979887</v>
      </c>
    </row>
    <row r="49" spans="2:8" ht="15">
      <c r="B49" s="806" t="s">
        <v>1258</v>
      </c>
      <c r="C49" s="806"/>
      <c r="D49" s="806"/>
      <c r="E49" s="806"/>
      <c r="F49" s="806"/>
      <c r="G49" s="807"/>
      <c r="H49" s="807"/>
    </row>
    <row r="50" spans="1:8" ht="15">
      <c r="A50" s="25"/>
      <c r="B50" s="11" t="s">
        <v>599</v>
      </c>
      <c r="C50" s="11" t="s">
        <v>602</v>
      </c>
      <c r="D50" s="11" t="s">
        <v>644</v>
      </c>
      <c r="E50" s="11" t="s">
        <v>607</v>
      </c>
      <c r="F50" s="11" t="s">
        <v>646</v>
      </c>
      <c r="G50" s="11" t="s">
        <v>716</v>
      </c>
      <c r="H50" s="11" t="s">
        <v>986</v>
      </c>
    </row>
    <row r="51" spans="1:8" ht="15">
      <c r="A51" s="21" t="s">
        <v>632</v>
      </c>
      <c r="B51" s="36">
        <f>SUM(E6,E9,E15)/C39</f>
        <v>0.18765511580333274</v>
      </c>
      <c r="C51" s="48">
        <f>SUM(E33,E36)/C39</f>
        <v>0.036538336910619244</v>
      </c>
      <c r="D51" s="36">
        <f>SUM(E18,E21)/C39</f>
        <v>0.206500375513137</v>
      </c>
      <c r="E51" s="36">
        <f>E24/C39</f>
        <v>0.5646532133009795</v>
      </c>
      <c r="F51" s="9" t="s">
        <v>985</v>
      </c>
      <c r="G51" s="9" t="s">
        <v>985</v>
      </c>
      <c r="H51" s="36">
        <f>SUM(E27,E30)/C39</f>
        <v>0.1663134041253573</v>
      </c>
    </row>
    <row r="52" spans="1:8" ht="15">
      <c r="A52" s="21" t="s">
        <v>633</v>
      </c>
      <c r="B52" s="36">
        <f>SUM(E7,E10,E16)/C40</f>
        <v>0.04743295830826772</v>
      </c>
      <c r="C52" s="48">
        <f>SUM(E34,E37)/C40</f>
        <v>0.03559467188595402</v>
      </c>
      <c r="D52" s="36">
        <f>SUM(E19,E22)/C40</f>
        <v>0.2263130440168634</v>
      </c>
      <c r="E52" s="36">
        <f>E25/C40</f>
        <v>0.6849177944949248</v>
      </c>
      <c r="F52" s="9" t="s">
        <v>985</v>
      </c>
      <c r="G52" s="9" t="s">
        <v>985</v>
      </c>
      <c r="H52" s="36">
        <f>SUM(E28,E31)/C40</f>
        <v>0.1933415708102504</v>
      </c>
    </row>
    <row r="53" spans="1:8" ht="15">
      <c r="A53" s="21" t="s">
        <v>634</v>
      </c>
      <c r="B53" s="36">
        <f>SUM(E8,E11,E17)/C41</f>
        <v>0.06804710947236663</v>
      </c>
      <c r="C53" s="48">
        <f>SUM(E35,E38)/C41</f>
        <v>0.037769289879732146</v>
      </c>
      <c r="D53" s="36">
        <f>SUM(E20,E23)/C41</f>
        <v>0.17697347685698292</v>
      </c>
      <c r="E53" s="36">
        <f>E26/C41</f>
        <v>0.7078851687797488</v>
      </c>
      <c r="F53" s="9" t="s">
        <v>985</v>
      </c>
      <c r="G53" s="9" t="s">
        <v>985</v>
      </c>
      <c r="H53" s="36">
        <f>SUM(E29,E32)/C41</f>
        <v>0.15437390596806935</v>
      </c>
    </row>
    <row r="54" spans="1:6" ht="15">
      <c r="A54" s="21"/>
      <c r="B54" s="36"/>
      <c r="C54" s="36"/>
      <c r="F54"/>
    </row>
    <row r="55" spans="1:6" ht="15">
      <c r="A55" s="21"/>
      <c r="B55" s="36"/>
      <c r="C55" s="41" t="s">
        <v>632</v>
      </c>
      <c r="D55" s="12" t="s">
        <v>633</v>
      </c>
      <c r="E55" s="12" t="s">
        <v>634</v>
      </c>
      <c r="F55"/>
    </row>
    <row r="56" spans="1:6" ht="15">
      <c r="A56" s="21"/>
      <c r="B56" s="41" t="s">
        <v>599</v>
      </c>
      <c r="C56" s="41">
        <f>B51</f>
        <v>0.18765511580333274</v>
      </c>
      <c r="D56" s="41">
        <f>B52</f>
        <v>0.04743295830826772</v>
      </c>
      <c r="E56" s="41">
        <f>B53</f>
        <v>0.06804710947236663</v>
      </c>
      <c r="F56"/>
    </row>
    <row r="57" spans="1:6" ht="15">
      <c r="A57" s="21"/>
      <c r="B57" s="41" t="s">
        <v>602</v>
      </c>
      <c r="C57" s="56">
        <f>C51</f>
        <v>0.036538336910619244</v>
      </c>
      <c r="D57" s="56">
        <f>C52</f>
        <v>0.03559467188595402</v>
      </c>
      <c r="E57" s="56">
        <f>C53</f>
        <v>0.037769289879732146</v>
      </c>
      <c r="F57"/>
    </row>
    <row r="58" spans="1:6" ht="15">
      <c r="A58" s="21"/>
      <c r="B58" s="41" t="s">
        <v>644</v>
      </c>
      <c r="C58" s="41">
        <f>D51</f>
        <v>0.206500375513137</v>
      </c>
      <c r="D58" s="41">
        <f>D52</f>
        <v>0.2263130440168634</v>
      </c>
      <c r="E58" s="41">
        <f>D53</f>
        <v>0.17697347685698292</v>
      </c>
      <c r="F58"/>
    </row>
    <row r="59" spans="2:5" ht="14.25">
      <c r="B59" s="12" t="s">
        <v>607</v>
      </c>
      <c r="C59" s="41">
        <f>E51</f>
        <v>0.5646532133009795</v>
      </c>
      <c r="D59" s="41">
        <f>E52</f>
        <v>0.6849177944949248</v>
      </c>
      <c r="E59" s="41">
        <f>E53</f>
        <v>0.7078851687797488</v>
      </c>
    </row>
    <row r="60" spans="2:5" ht="14.25">
      <c r="B60" s="12" t="s">
        <v>986</v>
      </c>
      <c r="C60" s="41">
        <f>H51</f>
        <v>0.1663134041253573</v>
      </c>
      <c r="D60" s="41">
        <f>H52</f>
        <v>0.1933415708102504</v>
      </c>
      <c r="E60" s="41">
        <f>H53</f>
        <v>0.15437390596806935</v>
      </c>
    </row>
    <row r="62" spans="3:5" ht="14.25">
      <c r="C62" s="49">
        <f>SUM(C56:C60)</f>
        <v>1.1616604456534259</v>
      </c>
      <c r="D62" s="49">
        <f>SUM(D56:D60)</f>
        <v>1.1876000395162605</v>
      </c>
      <c r="E62" s="49">
        <f>SUM(E56:E60)</f>
        <v>1.1450489509569</v>
      </c>
    </row>
  </sheetData>
  <sheetProtection/>
  <mergeCells count="18">
    <mergeCell ref="B43:H43"/>
    <mergeCell ref="B49:H49"/>
    <mergeCell ref="A3:A5"/>
    <mergeCell ref="A6:A8"/>
    <mergeCell ref="A9:A11"/>
    <mergeCell ref="A15:A17"/>
    <mergeCell ref="A18:A20"/>
    <mergeCell ref="A21:A23"/>
    <mergeCell ref="A24:A26"/>
    <mergeCell ref="C39:F39"/>
    <mergeCell ref="A12:A14"/>
    <mergeCell ref="C40:F40"/>
    <mergeCell ref="C41:F41"/>
    <mergeCell ref="A27:A29"/>
    <mergeCell ref="A30:A32"/>
    <mergeCell ref="A33:A35"/>
    <mergeCell ref="A36:A38"/>
    <mergeCell ref="A39:A41"/>
  </mergeCells>
  <printOptions/>
  <pageMargins left="0.75" right="0.75" top="1" bottom="1" header="0.5" footer="0.5"/>
  <pageSetup fitToHeight="1" fitToWidth="1" horizontalDpi="600" verticalDpi="600" orientation="landscape" paperSize="9" scale="76"/>
  <headerFooter alignWithMargins="0">
    <oddHeader>&amp;C&amp;Z&amp;F
&amp;A</oddHeader>
    <oddFooter>&amp;L&amp;D&amp;R93008.02</oddFooter>
  </headerFooter>
  <drawing r:id="rId3"/>
  <legacyDrawing r:id="rId2"/>
</worksheet>
</file>

<file path=xl/worksheets/sheet22.xml><?xml version="1.0" encoding="utf-8"?>
<worksheet xmlns="http://schemas.openxmlformats.org/spreadsheetml/2006/main" xmlns:r="http://schemas.openxmlformats.org/officeDocument/2006/relationships">
  <dimension ref="B2:T13"/>
  <sheetViews>
    <sheetView zoomScalePageLayoutView="0" workbookViewId="0" topLeftCell="A1">
      <selection activeCell="K35" sqref="K35"/>
    </sheetView>
  </sheetViews>
  <sheetFormatPr defaultColWidth="9.00390625" defaultRowHeight="14.25"/>
  <cols>
    <col min="2" max="2" width="14.875" style="0" bestFit="1" customWidth="1"/>
    <col min="3" max="5" width="8.75390625" style="9" customWidth="1"/>
    <col min="6" max="6" width="9.125" style="9" bestFit="1" customWidth="1"/>
    <col min="14" max="14" width="29.125" style="0" bestFit="1" customWidth="1"/>
  </cols>
  <sheetData>
    <row r="1" ht="14.25"/>
    <row r="2" spans="3:20" ht="15">
      <c r="C2" s="757" t="s">
        <v>749</v>
      </c>
      <c r="D2" s="757"/>
      <c r="E2" s="757"/>
      <c r="F2" s="757" t="s">
        <v>1258</v>
      </c>
      <c r="G2" s="757"/>
      <c r="H2" s="757"/>
      <c r="O2" s="757" t="s">
        <v>749</v>
      </c>
      <c r="P2" s="757"/>
      <c r="Q2" s="757"/>
      <c r="R2" s="757" t="s">
        <v>1258</v>
      </c>
      <c r="S2" s="757"/>
      <c r="T2" s="757"/>
    </row>
    <row r="3" spans="3:20" ht="15">
      <c r="C3" s="14" t="s">
        <v>632</v>
      </c>
      <c r="D3" s="14" t="s">
        <v>633</v>
      </c>
      <c r="E3" s="14" t="s">
        <v>634</v>
      </c>
      <c r="F3" s="14" t="s">
        <v>632</v>
      </c>
      <c r="G3" s="14" t="s">
        <v>633</v>
      </c>
      <c r="H3" s="14" t="s">
        <v>634</v>
      </c>
      <c r="O3" s="14" t="s">
        <v>632</v>
      </c>
      <c r="P3" s="14" t="s">
        <v>633</v>
      </c>
      <c r="Q3" s="14" t="s">
        <v>634</v>
      </c>
      <c r="R3" s="14" t="s">
        <v>632</v>
      </c>
      <c r="S3" s="14" t="s">
        <v>633</v>
      </c>
      <c r="T3" s="14" t="s">
        <v>634</v>
      </c>
    </row>
    <row r="4" spans="2:20" ht="15">
      <c r="B4" s="51" t="s">
        <v>1257</v>
      </c>
      <c r="C4" s="50">
        <f>'Point sources'!H52</f>
        <v>1265.962042542302</v>
      </c>
      <c r="D4" s="50">
        <f>'Point sources'!I52</f>
        <v>929.3854248596971</v>
      </c>
      <c r="E4" s="50">
        <f>'Point sources'!J52</f>
        <v>763.8495193220396</v>
      </c>
      <c r="F4" s="41">
        <f>C4/$C$7</f>
        <v>0.3009708206767157</v>
      </c>
      <c r="G4" s="41">
        <f>D4/$D$7</f>
        <v>0.31496073904155625</v>
      </c>
      <c r="H4" s="41">
        <f>E4/$E$7</f>
        <v>0.4623937608600678</v>
      </c>
      <c r="N4" s="51" t="s">
        <v>599</v>
      </c>
      <c r="O4" s="50">
        <f>'Point sources'!H7+'PT Diffuse emissions - process'!B45</f>
        <v>175.7005465038</v>
      </c>
      <c r="P4" s="50">
        <f>'Point sources'!I7+'PT Diffuse emissions - process'!B46</f>
        <v>42.16259244105002</v>
      </c>
      <c r="Q4" s="50">
        <f>'Point sources'!J7+'PT Diffuse emissions - process'!B47</f>
        <v>38.630510310114026</v>
      </c>
      <c r="R4" s="56">
        <f>O4/$O$13</f>
        <v>0.05400199431708863</v>
      </c>
      <c r="S4" s="56">
        <f>P4/$P$13</f>
        <v>0.019239153422082392</v>
      </c>
      <c r="T4" s="56">
        <f>Q4/$Q$13</f>
        <v>0.0300598798629292</v>
      </c>
    </row>
    <row r="5" spans="2:20" ht="15.75" customHeight="1">
      <c r="B5" s="51" t="s">
        <v>1259</v>
      </c>
      <c r="C5" s="50">
        <f>'PT Diffuse emissions - process'!C39</f>
        <v>791.8629668041319</v>
      </c>
      <c r="D5" s="50">
        <f>'PT Diffuse emissions - process'!C40</f>
        <v>609.642279345239</v>
      </c>
      <c r="E5" s="50">
        <f>'PT Diffuse emissions - process'!C41</f>
        <v>375.3669825545887</v>
      </c>
      <c r="F5" s="41">
        <f>C5/$C$7</f>
        <v>0.18825813015999238</v>
      </c>
      <c r="G5" s="41">
        <f>D5/$D$7</f>
        <v>0.2066025329400257</v>
      </c>
      <c r="H5" s="41">
        <f>E5/$E$7</f>
        <v>0.2272271519135899</v>
      </c>
      <c r="N5" s="51" t="s">
        <v>1320</v>
      </c>
      <c r="O5" s="50">
        <f>'Point sources'!H11+'PT Diffuse emissions - process'!C45</f>
        <v>938.012290931466</v>
      </c>
      <c r="P5" s="50">
        <f>'Point sources'!I11+'PT Diffuse emissions - process'!C46</f>
        <v>650.6216581231797</v>
      </c>
      <c r="Q5" s="50">
        <f>'Point sources'!J11+'PT Diffuse emissions - process'!C47</f>
        <v>474.50272072310776</v>
      </c>
      <c r="R5" s="56">
        <f aca="true" t="shared" si="0" ref="R5:R11">O5/$O$13</f>
        <v>0.28830038046093825</v>
      </c>
      <c r="S5" s="56">
        <f aca="true" t="shared" si="1" ref="S5:S11">P5/$P$13</f>
        <v>0.2968842562957392</v>
      </c>
      <c r="T5" s="56">
        <f aca="true" t="shared" si="2" ref="T5:T11">Q5/$Q$13</f>
        <v>0.3692287434224051</v>
      </c>
    </row>
    <row r="6" spans="2:20" ht="15">
      <c r="B6" s="51" t="s">
        <v>1260</v>
      </c>
      <c r="C6" s="50">
        <f>'Diffuse emissions summary'!E4</f>
        <v>2148.4367129556103</v>
      </c>
      <c r="D6" s="50">
        <f>'Diffuse emissions summary'!F4</f>
        <v>1411.7699974002567</v>
      </c>
      <c r="E6" s="50">
        <f>'Diffuse emissions summary'!G4</f>
        <v>512.7294887034654</v>
      </c>
      <c r="F6" s="41">
        <f>C6/$C$7</f>
        <v>0.5107710491632919</v>
      </c>
      <c r="G6" s="41">
        <f>D6/$D$7</f>
        <v>0.478436728018418</v>
      </c>
      <c r="H6" s="41">
        <f>E6/$E$7</f>
        <v>0.3103790872263424</v>
      </c>
      <c r="N6" s="51" t="s">
        <v>1264</v>
      </c>
      <c r="O6" s="50">
        <f>'Point sources'!H26+'PT Diffuse emissions - process'!D45</f>
        <v>254.62242609783988</v>
      </c>
      <c r="P6" s="50">
        <f>'Point sources'!I26+'PT Diffuse emissions - process'!D46</f>
        <v>218.53006155406422</v>
      </c>
      <c r="Q6" s="50">
        <f>'Point sources'!J26+'PT Diffuse emissions - process'!D47</f>
        <v>146.99006155406423</v>
      </c>
      <c r="R6" s="56">
        <f t="shared" si="0"/>
        <v>0.07825882776546449</v>
      </c>
      <c r="S6" s="56">
        <f t="shared" si="1"/>
        <v>0.09971714589073415</v>
      </c>
      <c r="T6" s="56">
        <f t="shared" si="2"/>
        <v>0.11437859753571288</v>
      </c>
    </row>
    <row r="7" spans="2:20" ht="15">
      <c r="B7" s="51" t="s">
        <v>733</v>
      </c>
      <c r="C7" s="52">
        <f aca="true" t="shared" si="3" ref="C7:H7">SUM(C4:C6)</f>
        <v>4206.261722302044</v>
      </c>
      <c r="D7" s="52">
        <f t="shared" si="3"/>
        <v>2950.7977016051927</v>
      </c>
      <c r="E7" s="52">
        <f t="shared" si="3"/>
        <v>1651.9459905800936</v>
      </c>
      <c r="F7" s="53">
        <f t="shared" si="3"/>
        <v>1</v>
      </c>
      <c r="G7" s="53">
        <f t="shared" si="3"/>
        <v>1</v>
      </c>
      <c r="H7" s="53">
        <f t="shared" si="3"/>
        <v>1</v>
      </c>
      <c r="N7" s="51" t="s">
        <v>1321</v>
      </c>
      <c r="O7" s="50">
        <f>'Point sources'!H38+'PT Diffuse emissions - process'!E45</f>
        <v>652.849842621328</v>
      </c>
      <c r="P7" s="50">
        <f>'Point sources'!I38+'PT Diffuse emissions - process'!E46</f>
        <v>594.4756569723421</v>
      </c>
      <c r="Q7" s="50">
        <f>'Point sources'!J38+'PT Diffuse emissions - process'!E47</f>
        <v>442.6375313723421</v>
      </c>
      <c r="R7" s="56">
        <f t="shared" si="0"/>
        <v>0.20065500189202126</v>
      </c>
      <c r="S7" s="56">
        <f t="shared" si="1"/>
        <v>0.27126435325757403</v>
      </c>
      <c r="T7" s="56">
        <f t="shared" si="2"/>
        <v>0.3444332189521336</v>
      </c>
    </row>
    <row r="8" spans="14:20" ht="15">
      <c r="N8" s="51" t="s">
        <v>646</v>
      </c>
      <c r="O8" s="50">
        <f>'Point sources'!H45</f>
        <v>23.559104580000003</v>
      </c>
      <c r="P8" s="50">
        <f>'Point sources'!I45</f>
        <v>20.3411617773</v>
      </c>
      <c r="Q8" s="50">
        <f>'Point sources'!J45</f>
        <v>23.559104580000003</v>
      </c>
      <c r="R8" s="56">
        <f t="shared" si="0"/>
        <v>0.0072409486308418584</v>
      </c>
      <c r="S8" s="56">
        <f t="shared" si="1"/>
        <v>0.00928184700132084</v>
      </c>
      <c r="T8" s="56">
        <f t="shared" si="2"/>
        <v>0.018332241735040514</v>
      </c>
    </row>
    <row r="9" spans="14:20" ht="15">
      <c r="N9" s="51" t="s">
        <v>986</v>
      </c>
      <c r="O9" s="50">
        <f>'Point sources'!H48+'PT Diffuse emissions - process'!H45</f>
        <v>141.09371872199998</v>
      </c>
      <c r="P9" s="50">
        <f>'Point sources'!I48+'PT Diffuse emissions - process'!H46</f>
        <v>127.26548903294999</v>
      </c>
      <c r="Q9" s="50">
        <f>'Point sources'!J48+'PT Diffuse emissions - process'!H47</f>
        <v>67.3431603804</v>
      </c>
      <c r="R9" s="56">
        <f t="shared" si="0"/>
        <v>0.043365500837742446</v>
      </c>
      <c r="S9" s="56">
        <f t="shared" si="1"/>
        <v>0.05807233680577473</v>
      </c>
      <c r="T9" s="56">
        <f t="shared" si="2"/>
        <v>0.05240229275704906</v>
      </c>
    </row>
    <row r="10" spans="14:20" ht="15">
      <c r="N10" s="51" t="s">
        <v>1265</v>
      </c>
      <c r="O10" s="50">
        <f>'Diffuse emissions summary'!E27+'Diffuse emissions summary'!E38+'Diffuse emissions summary'!E57</f>
        <v>341.58708029793996</v>
      </c>
      <c r="P10" s="50">
        <f>'Diffuse emissions summary'!F27+'Diffuse emissions summary'!F38+'Diffuse emissions summary'!F57</f>
        <v>179.63814195778613</v>
      </c>
      <c r="Q10" s="50">
        <f>'Diffuse emissions summary'!G27+'Diffuse emissions summary'!G38+'Diffuse emissions summary'!G57</f>
        <v>28.89728415777482</v>
      </c>
      <c r="R10" s="56">
        <f t="shared" si="0"/>
        <v>0.10498762773422163</v>
      </c>
      <c r="S10" s="56">
        <f t="shared" si="1"/>
        <v>0.08197042860720243</v>
      </c>
      <c r="T10" s="56">
        <f t="shared" si="2"/>
        <v>0.02248608375023753</v>
      </c>
    </row>
    <row r="11" spans="14:20" ht="15">
      <c r="N11" s="51" t="s">
        <v>744</v>
      </c>
      <c r="O11" s="50">
        <f>'Diffuse emissions summary'!E21</f>
        <v>536.1686533263352</v>
      </c>
      <c r="P11" s="50">
        <f>'Diffuse emissions summary'!F21</f>
        <v>231.46459968061876</v>
      </c>
      <c r="Q11" s="50">
        <f>'Diffuse emissions summary'!G21</f>
        <v>32.55821309972889</v>
      </c>
      <c r="R11" s="56">
        <f t="shared" si="0"/>
        <v>0.16479275190702725</v>
      </c>
      <c r="S11" s="56">
        <f t="shared" si="1"/>
        <v>0.10561928684206412</v>
      </c>
      <c r="T11" s="56">
        <f t="shared" si="2"/>
        <v>0.025334792796492294</v>
      </c>
    </row>
    <row r="12" spans="14:20" ht="15">
      <c r="N12" s="51" t="s">
        <v>1269</v>
      </c>
      <c r="O12" s="50">
        <f>'Diffuse emissions summary'!E47</f>
        <v>190</v>
      </c>
      <c r="P12" s="50">
        <f>'Diffuse emissions summary'!F47</f>
        <v>127.00000000000001</v>
      </c>
      <c r="Q12" s="50">
        <f>'Diffuse emissions summary'!G47</f>
        <v>30</v>
      </c>
      <c r="R12" s="56">
        <f>O12/$O$13</f>
        <v>0.058396966454654316</v>
      </c>
      <c r="S12" s="56">
        <f>P12/$P$13</f>
        <v>0.057951191877508135</v>
      </c>
      <c r="T12" s="56">
        <f>Q12/$Q$13</f>
        <v>0.02334414918800005</v>
      </c>
    </row>
    <row r="13" spans="14:20" ht="15">
      <c r="N13" s="51" t="s">
        <v>733</v>
      </c>
      <c r="O13" s="52">
        <f aca="true" t="shared" si="4" ref="O13:T13">SUM(O4:O12)</f>
        <v>3253.5936630807087</v>
      </c>
      <c r="P13" s="52">
        <f t="shared" si="4"/>
        <v>2191.499361539291</v>
      </c>
      <c r="Q13" s="52">
        <f t="shared" si="4"/>
        <v>1285.1185861775316</v>
      </c>
      <c r="R13" s="57">
        <f t="shared" si="4"/>
        <v>1.0000000000000002</v>
      </c>
      <c r="S13" s="57">
        <f t="shared" si="4"/>
        <v>1</v>
      </c>
      <c r="T13" s="57">
        <f t="shared" si="4"/>
        <v>1.0000000000000002</v>
      </c>
    </row>
  </sheetData>
  <sheetProtection/>
  <mergeCells count="4">
    <mergeCell ref="C2:E2"/>
    <mergeCell ref="F2:H2"/>
    <mergeCell ref="O2:Q2"/>
    <mergeCell ref="R2:T2"/>
  </mergeCells>
  <printOptions/>
  <pageMargins left="0.75" right="0.75" top="1" bottom="1" header="0.5" footer="0.5"/>
  <pageSetup horizontalDpi="600" verticalDpi="600"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190"/>
  <sheetViews>
    <sheetView zoomScale="50" zoomScaleNormal="50" zoomScalePageLayoutView="0" workbookViewId="0" topLeftCell="A1">
      <pane ySplit="1" topLeftCell="A14" activePane="bottomLeft" state="frozen"/>
      <selection pane="topLeft" activeCell="W37" sqref="W37"/>
      <selection pane="bottomLeft" activeCell="L59" sqref="L59"/>
    </sheetView>
  </sheetViews>
  <sheetFormatPr defaultColWidth="9.00390625" defaultRowHeight="14.25"/>
  <cols>
    <col min="1" max="1" width="40.875" style="79" bestFit="1" customWidth="1"/>
    <col min="2" max="2" width="14.125" style="98" customWidth="1"/>
    <col min="3" max="3" width="14.625" style="98" customWidth="1"/>
    <col min="4" max="5" width="7.375" style="98" customWidth="1"/>
    <col min="6" max="6" width="15.875" style="98" customWidth="1"/>
    <col min="7" max="7" width="12.125" style="98" customWidth="1"/>
    <col min="8" max="8" width="17.50390625" style="98" customWidth="1"/>
    <col min="9" max="9" width="20.875" style="115" customWidth="1"/>
    <col min="10" max="10" width="30.75390625" style="115" customWidth="1"/>
    <col min="11" max="12" width="22.00390625" style="115" customWidth="1"/>
    <col min="13" max="13" width="22.25390625" style="115" customWidth="1"/>
    <col min="14" max="14" width="21.75390625" style="115" customWidth="1"/>
    <col min="15" max="15" width="17.625" style="98" customWidth="1"/>
    <col min="16" max="16" width="30.00390625" style="98" customWidth="1"/>
    <col min="17" max="17" width="15.125" style="98" customWidth="1"/>
    <col min="18" max="18" width="11.25390625" style="96" bestFit="1" customWidth="1"/>
    <col min="19" max="19" width="47.25390625" style="79" customWidth="1"/>
    <col min="20" max="20" width="55.375" style="79" bestFit="1" customWidth="1"/>
    <col min="21" max="16384" width="9.00390625" style="96" customWidth="1"/>
  </cols>
  <sheetData>
    <row r="1" spans="1:20" s="93" customFormat="1" ht="42.75" customHeight="1">
      <c r="A1" s="88" t="s">
        <v>1387</v>
      </c>
      <c r="B1" s="89" t="s">
        <v>1312</v>
      </c>
      <c r="C1" s="89" t="s">
        <v>1381</v>
      </c>
      <c r="D1" s="721" t="s">
        <v>1382</v>
      </c>
      <c r="E1" s="721"/>
      <c r="F1" s="89" t="s">
        <v>1383</v>
      </c>
      <c r="G1" s="90" t="s">
        <v>1327</v>
      </c>
      <c r="H1" s="89" t="s">
        <v>1326</v>
      </c>
      <c r="I1" s="91" t="s">
        <v>18</v>
      </c>
      <c r="J1" s="91" t="s">
        <v>19</v>
      </c>
      <c r="K1" s="91" t="s">
        <v>373</v>
      </c>
      <c r="L1" s="91" t="s">
        <v>374</v>
      </c>
      <c r="M1" s="91" t="s">
        <v>20</v>
      </c>
      <c r="N1" s="91" t="s">
        <v>1384</v>
      </c>
      <c r="O1" s="92" t="s">
        <v>1575</v>
      </c>
      <c r="P1" s="92" t="s">
        <v>1574</v>
      </c>
      <c r="Q1" s="91" t="s">
        <v>171</v>
      </c>
      <c r="S1" s="94" t="s">
        <v>1465</v>
      </c>
      <c r="T1" s="79"/>
    </row>
    <row r="2" spans="1:20" s="95" customFormat="1" ht="15">
      <c r="A2" s="722" t="s">
        <v>1262</v>
      </c>
      <c r="B2" s="723"/>
      <c r="C2" s="723"/>
      <c r="D2" s="723"/>
      <c r="E2" s="723"/>
      <c r="F2" s="723"/>
      <c r="G2" s="723"/>
      <c r="H2" s="723"/>
      <c r="I2" s="723"/>
      <c r="J2" s="723"/>
      <c r="K2" s="723"/>
      <c r="L2" s="723"/>
      <c r="M2" s="723"/>
      <c r="N2" s="723"/>
      <c r="O2" s="723"/>
      <c r="P2" s="652"/>
      <c r="Q2" s="636"/>
      <c r="S2" s="83" t="s">
        <v>1563</v>
      </c>
      <c r="T2" s="83" t="s">
        <v>1564</v>
      </c>
    </row>
    <row r="3" spans="1:20" s="95" customFormat="1" ht="14.25">
      <c r="A3" s="78" t="s">
        <v>1302</v>
      </c>
      <c r="B3" s="632" t="s">
        <v>808</v>
      </c>
      <c r="C3" s="632" t="s">
        <v>1386</v>
      </c>
      <c r="D3" s="632">
        <v>275221</v>
      </c>
      <c r="E3" s="632">
        <v>187702</v>
      </c>
      <c r="F3" s="726">
        <v>40</v>
      </c>
      <c r="G3" s="653" t="s">
        <v>465</v>
      </c>
      <c r="H3" s="632">
        <v>0</v>
      </c>
      <c r="I3" s="724">
        <f>('Diffuse emissions summary'!F58*1000000)/(365*24*60*60)</f>
        <v>0</v>
      </c>
      <c r="J3" s="632" t="s">
        <v>1391</v>
      </c>
      <c r="K3" s="632">
        <v>0</v>
      </c>
      <c r="L3" s="632">
        <v>0</v>
      </c>
      <c r="M3" s="637">
        <f>'Diffuse emissions summary'!F58</f>
        <v>0</v>
      </c>
      <c r="N3" s="633" t="s">
        <v>808</v>
      </c>
      <c r="O3" s="657" t="s">
        <v>1331</v>
      </c>
      <c r="P3" s="657" t="s">
        <v>170</v>
      </c>
      <c r="Q3" s="653" t="s">
        <v>172</v>
      </c>
      <c r="S3" s="83" t="s">
        <v>1565</v>
      </c>
      <c r="T3" s="83" t="s">
        <v>165</v>
      </c>
    </row>
    <row r="4" spans="1:20" s="95" customFormat="1" ht="14.25">
      <c r="A4" s="78" t="s">
        <v>1303</v>
      </c>
      <c r="B4" s="632"/>
      <c r="C4" s="632"/>
      <c r="D4" s="632"/>
      <c r="E4" s="632"/>
      <c r="F4" s="726"/>
      <c r="G4" s="654"/>
      <c r="H4" s="646"/>
      <c r="I4" s="725"/>
      <c r="J4" s="646"/>
      <c r="K4" s="646"/>
      <c r="L4" s="646"/>
      <c r="M4" s="638"/>
      <c r="N4" s="633"/>
      <c r="O4" s="657"/>
      <c r="P4" s="657"/>
      <c r="Q4" s="654"/>
      <c r="S4" s="83" t="s">
        <v>1566</v>
      </c>
      <c r="T4" s="83" t="s">
        <v>165</v>
      </c>
    </row>
    <row r="5" spans="1:20" s="95" customFormat="1" ht="14.25">
      <c r="A5" s="78" t="s">
        <v>1304</v>
      </c>
      <c r="B5" s="632"/>
      <c r="C5" s="632"/>
      <c r="D5" s="632"/>
      <c r="E5" s="632"/>
      <c r="F5" s="726"/>
      <c r="G5" s="654"/>
      <c r="H5" s="646"/>
      <c r="I5" s="725"/>
      <c r="J5" s="646"/>
      <c r="K5" s="646"/>
      <c r="L5" s="646"/>
      <c r="M5" s="638"/>
      <c r="N5" s="633"/>
      <c r="O5" s="657"/>
      <c r="P5" s="657"/>
      <c r="Q5" s="654"/>
      <c r="S5" s="83" t="s">
        <v>1567</v>
      </c>
      <c r="T5" s="83" t="s">
        <v>165</v>
      </c>
    </row>
    <row r="6" spans="1:20" s="95" customFormat="1" ht="14.25">
      <c r="A6" s="78" t="s">
        <v>1305</v>
      </c>
      <c r="B6" s="632"/>
      <c r="C6" s="632"/>
      <c r="D6" s="632"/>
      <c r="E6" s="632"/>
      <c r="F6" s="726"/>
      <c r="G6" s="654"/>
      <c r="H6" s="646"/>
      <c r="I6" s="725"/>
      <c r="J6" s="646"/>
      <c r="K6" s="646"/>
      <c r="L6" s="646"/>
      <c r="M6" s="638"/>
      <c r="N6" s="633"/>
      <c r="O6" s="657"/>
      <c r="P6" s="657"/>
      <c r="Q6" s="654"/>
      <c r="S6" s="83" t="s">
        <v>1568</v>
      </c>
      <c r="T6" s="83" t="s">
        <v>165</v>
      </c>
    </row>
    <row r="7" spans="1:20" s="95" customFormat="1" ht="14.25">
      <c r="A7" s="78" t="s">
        <v>1306</v>
      </c>
      <c r="B7" s="632"/>
      <c r="C7" s="632"/>
      <c r="D7" s="632"/>
      <c r="E7" s="632"/>
      <c r="F7" s="726"/>
      <c r="G7" s="654"/>
      <c r="H7" s="646"/>
      <c r="I7" s="725"/>
      <c r="J7" s="646"/>
      <c r="K7" s="646"/>
      <c r="L7" s="646"/>
      <c r="M7" s="638"/>
      <c r="N7" s="633"/>
      <c r="O7" s="657"/>
      <c r="P7" s="657"/>
      <c r="Q7" s="654"/>
      <c r="S7" s="83" t="s">
        <v>1569</v>
      </c>
      <c r="T7" s="83" t="s">
        <v>1570</v>
      </c>
    </row>
    <row r="8" spans="1:20" s="95" customFormat="1" ht="14.25">
      <c r="A8" s="78" t="s">
        <v>1307</v>
      </c>
      <c r="B8" s="632"/>
      <c r="C8" s="632"/>
      <c r="D8" s="632"/>
      <c r="E8" s="632"/>
      <c r="F8" s="726"/>
      <c r="G8" s="654"/>
      <c r="H8" s="646"/>
      <c r="I8" s="725"/>
      <c r="J8" s="646"/>
      <c r="K8" s="646"/>
      <c r="L8" s="646"/>
      <c r="M8" s="638"/>
      <c r="N8" s="633"/>
      <c r="O8" s="657"/>
      <c r="P8" s="657"/>
      <c r="Q8" s="654"/>
      <c r="S8" s="83" t="s">
        <v>1571</v>
      </c>
      <c r="T8" s="83" t="s">
        <v>1572</v>
      </c>
    </row>
    <row r="9" spans="1:20" s="95" customFormat="1" ht="14.25">
      <c r="A9" s="78" t="s">
        <v>1308</v>
      </c>
      <c r="B9" s="632"/>
      <c r="C9" s="632"/>
      <c r="D9" s="632"/>
      <c r="E9" s="632"/>
      <c r="F9" s="726"/>
      <c r="G9" s="654"/>
      <c r="H9" s="646"/>
      <c r="I9" s="725"/>
      <c r="J9" s="646"/>
      <c r="K9" s="646"/>
      <c r="L9" s="646"/>
      <c r="M9" s="638"/>
      <c r="N9" s="633"/>
      <c r="O9" s="657"/>
      <c r="P9" s="657"/>
      <c r="Q9" s="654"/>
      <c r="S9" s="83" t="s">
        <v>1573</v>
      </c>
      <c r="T9" s="83" t="s">
        <v>166</v>
      </c>
    </row>
    <row r="10" spans="1:20" s="77" customFormat="1" ht="14.25">
      <c r="A10" s="78" t="s">
        <v>1309</v>
      </c>
      <c r="B10" s="632"/>
      <c r="C10" s="632"/>
      <c r="D10" s="632"/>
      <c r="E10" s="632"/>
      <c r="F10" s="726"/>
      <c r="G10" s="654"/>
      <c r="H10" s="646"/>
      <c r="I10" s="725"/>
      <c r="J10" s="646"/>
      <c r="K10" s="646"/>
      <c r="L10" s="646"/>
      <c r="M10" s="638"/>
      <c r="N10" s="633"/>
      <c r="O10" s="657"/>
      <c r="P10" s="657"/>
      <c r="Q10" s="654"/>
      <c r="S10" s="79"/>
      <c r="T10" s="79"/>
    </row>
    <row r="11" spans="1:20" s="77" customFormat="1" ht="14.25">
      <c r="A11" s="78" t="s">
        <v>1310</v>
      </c>
      <c r="B11" s="632"/>
      <c r="C11" s="632"/>
      <c r="D11" s="632"/>
      <c r="E11" s="632"/>
      <c r="F11" s="726"/>
      <c r="G11" s="655"/>
      <c r="H11" s="646"/>
      <c r="I11" s="725"/>
      <c r="J11" s="646"/>
      <c r="K11" s="646"/>
      <c r="L11" s="646"/>
      <c r="M11" s="638"/>
      <c r="N11" s="633"/>
      <c r="O11" s="657"/>
      <c r="P11" s="657"/>
      <c r="Q11" s="655"/>
      <c r="S11" s="79"/>
      <c r="T11" s="79"/>
    </row>
    <row r="12" spans="1:20" s="77" customFormat="1" ht="15">
      <c r="A12" s="648" t="s">
        <v>753</v>
      </c>
      <c r="B12" s="649"/>
      <c r="C12" s="649"/>
      <c r="D12" s="649"/>
      <c r="E12" s="649"/>
      <c r="F12" s="649"/>
      <c r="G12" s="649"/>
      <c r="H12" s="649"/>
      <c r="I12" s="649"/>
      <c r="J12" s="649"/>
      <c r="K12" s="649"/>
      <c r="L12" s="649"/>
      <c r="M12" s="649"/>
      <c r="N12" s="649"/>
      <c r="O12" s="650"/>
      <c r="P12" s="635"/>
      <c r="Q12" s="636"/>
      <c r="S12" s="79"/>
      <c r="T12" s="79"/>
    </row>
    <row r="13" spans="1:20" s="77" customFormat="1" ht="14.25">
      <c r="A13" s="78" t="s">
        <v>1388</v>
      </c>
      <c r="B13" s="632" t="s">
        <v>808</v>
      </c>
      <c r="C13" s="632" t="s">
        <v>1386</v>
      </c>
      <c r="D13" s="632">
        <v>276080</v>
      </c>
      <c r="E13" s="632">
        <v>188160</v>
      </c>
      <c r="F13" s="632">
        <v>10</v>
      </c>
      <c r="G13" s="653" t="s">
        <v>465</v>
      </c>
      <c r="H13" s="632">
        <v>0</v>
      </c>
      <c r="I13" s="634">
        <f>(M13*1000000)/(365*24*60*60)</f>
        <v>0.7199999999999999</v>
      </c>
      <c r="J13" s="633" t="s">
        <v>1391</v>
      </c>
      <c r="K13" s="633">
        <v>0</v>
      </c>
      <c r="L13" s="633">
        <v>0</v>
      </c>
      <c r="M13" s="733">
        <f>(0.72*60*60*24*365)/1000000</f>
        <v>22.705919999999995</v>
      </c>
      <c r="N13" s="709" t="s">
        <v>808</v>
      </c>
      <c r="O13" s="657" t="s">
        <v>1331</v>
      </c>
      <c r="P13" s="657" t="s">
        <v>1392</v>
      </c>
      <c r="Q13" s="653" t="s">
        <v>172</v>
      </c>
      <c r="S13" s="79"/>
      <c r="T13" s="79"/>
    </row>
    <row r="14" spans="1:20" s="95" customFormat="1" ht="14.25">
      <c r="A14" s="78" t="s">
        <v>1311</v>
      </c>
      <c r="B14" s="633"/>
      <c r="C14" s="633"/>
      <c r="D14" s="633"/>
      <c r="E14" s="633"/>
      <c r="F14" s="633"/>
      <c r="G14" s="654"/>
      <c r="H14" s="633"/>
      <c r="I14" s="634"/>
      <c r="J14" s="633"/>
      <c r="K14" s="633"/>
      <c r="L14" s="633"/>
      <c r="M14" s="633"/>
      <c r="N14" s="734"/>
      <c r="O14" s="657"/>
      <c r="P14" s="657"/>
      <c r="Q14" s="654"/>
      <c r="S14" s="79"/>
      <c r="T14" s="79"/>
    </row>
    <row r="15" spans="1:17" ht="14.25">
      <c r="A15" s="78" t="s">
        <v>1389</v>
      </c>
      <c r="B15" s="633"/>
      <c r="C15" s="633"/>
      <c r="D15" s="633"/>
      <c r="E15" s="633"/>
      <c r="F15" s="633"/>
      <c r="G15" s="654"/>
      <c r="H15" s="633"/>
      <c r="I15" s="634"/>
      <c r="J15" s="633"/>
      <c r="K15" s="633"/>
      <c r="L15" s="633"/>
      <c r="M15" s="633"/>
      <c r="N15" s="734"/>
      <c r="O15" s="657"/>
      <c r="P15" s="657"/>
      <c r="Q15" s="654"/>
    </row>
    <row r="16" spans="1:17" ht="14.25">
      <c r="A16" s="78" t="s">
        <v>1390</v>
      </c>
      <c r="B16" s="633"/>
      <c r="C16" s="633"/>
      <c r="D16" s="633"/>
      <c r="E16" s="633"/>
      <c r="F16" s="633"/>
      <c r="G16" s="655"/>
      <c r="H16" s="633"/>
      <c r="I16" s="634"/>
      <c r="J16" s="633"/>
      <c r="K16" s="633"/>
      <c r="L16" s="633"/>
      <c r="M16" s="633"/>
      <c r="N16" s="735"/>
      <c r="O16" s="657"/>
      <c r="P16" s="657"/>
      <c r="Q16" s="655"/>
    </row>
    <row r="17" spans="1:17" ht="15" customHeight="1">
      <c r="A17" s="648" t="s">
        <v>602</v>
      </c>
      <c r="B17" s="649"/>
      <c r="C17" s="649"/>
      <c r="D17" s="649"/>
      <c r="E17" s="649"/>
      <c r="F17" s="649"/>
      <c r="G17" s="649"/>
      <c r="H17" s="649"/>
      <c r="I17" s="649"/>
      <c r="J17" s="649"/>
      <c r="K17" s="649"/>
      <c r="L17" s="649"/>
      <c r="M17" s="649"/>
      <c r="N17" s="649"/>
      <c r="O17" s="650"/>
      <c r="P17" s="635"/>
      <c r="Q17" s="636"/>
    </row>
    <row r="18" spans="1:17" ht="168.75">
      <c r="A18" s="83" t="s">
        <v>1395</v>
      </c>
      <c r="B18" s="87" t="s">
        <v>651</v>
      </c>
      <c r="C18" s="87" t="s">
        <v>1325</v>
      </c>
      <c r="D18" s="87">
        <v>276509</v>
      </c>
      <c r="E18" s="87">
        <v>188020</v>
      </c>
      <c r="F18" s="87">
        <v>133</v>
      </c>
      <c r="G18" s="87">
        <v>6.3</v>
      </c>
      <c r="H18" s="97">
        <f>K18/(PI()*(G18/2)^2)</f>
        <v>9.679859392015407</v>
      </c>
      <c r="I18" s="97">
        <f>(M18*1000000)/(365*24*60*60)</f>
        <v>12.830765972173333</v>
      </c>
      <c r="J18" s="97">
        <f>1000*(I18/K18)</f>
        <v>42.5218894996044</v>
      </c>
      <c r="K18" s="135">
        <f>'Point sources raw data'!F65*0.85</f>
        <v>301.744962962963</v>
      </c>
      <c r="L18" s="135">
        <f>'Point sources raw data'!F65</f>
        <v>354.9940740740741</v>
      </c>
      <c r="M18" s="97">
        <f>'Point sources raw data'!F77*'Point sources'!L8</f>
        <v>404.6310356984583</v>
      </c>
      <c r="N18" s="80" t="s">
        <v>1576</v>
      </c>
      <c r="O18" s="86" t="s">
        <v>602</v>
      </c>
      <c r="P18" s="169" t="s">
        <v>1577</v>
      </c>
      <c r="Q18" s="80" t="s">
        <v>173</v>
      </c>
    </row>
    <row r="19" spans="1:17" ht="56.25">
      <c r="A19" s="83" t="s">
        <v>1396</v>
      </c>
      <c r="B19" s="87" t="s">
        <v>653</v>
      </c>
      <c r="C19" s="87" t="s">
        <v>1325</v>
      </c>
      <c r="D19" s="87">
        <v>276680</v>
      </c>
      <c r="E19" s="87">
        <v>188050</v>
      </c>
      <c r="F19" s="87">
        <v>55</v>
      </c>
      <c r="G19" s="87">
        <v>4.5</v>
      </c>
      <c r="H19" s="97">
        <f>K19/(PI()*(G19/2)^2)</f>
        <v>10.81352477300463</v>
      </c>
      <c r="I19" s="97">
        <f>(M19*1000000)/(365*24*60*60)</f>
        <v>7.112208445066669</v>
      </c>
      <c r="J19" s="97">
        <f>1000*(I19/K19)</f>
        <v>41.354453695835346</v>
      </c>
      <c r="K19" s="101">
        <f>'Point sources raw data'!D87*0.85</f>
        <v>171.98168055555556</v>
      </c>
      <c r="L19" s="101">
        <f>'Point sources raw data'!D87</f>
        <v>202.33138888888888</v>
      </c>
      <c r="M19" s="97">
        <f>'Point sources raw data'!D90*'Point sources'!L9</f>
        <v>224.29060552362245</v>
      </c>
      <c r="N19" s="80" t="s">
        <v>1576</v>
      </c>
      <c r="O19" s="86" t="s">
        <v>602</v>
      </c>
      <c r="P19" s="169" t="s">
        <v>1578</v>
      </c>
      <c r="Q19" s="80" t="s">
        <v>172</v>
      </c>
    </row>
    <row r="20" spans="1:17" ht="75">
      <c r="A20" s="83" t="s">
        <v>1397</v>
      </c>
      <c r="B20" s="87" t="s">
        <v>655</v>
      </c>
      <c r="C20" s="87" t="s">
        <v>1325</v>
      </c>
      <c r="D20" s="87">
        <v>276757</v>
      </c>
      <c r="E20" s="87">
        <v>188026</v>
      </c>
      <c r="F20" s="87">
        <v>20</v>
      </c>
      <c r="G20" s="87">
        <v>2.5</v>
      </c>
      <c r="H20" s="87">
        <v>1.019</v>
      </c>
      <c r="I20" s="97">
        <f>(M20*1000000)/(365*24*60*60)</f>
        <v>0.42323420159999997</v>
      </c>
      <c r="J20" s="101">
        <v>95.6</v>
      </c>
      <c r="K20" s="87">
        <f>5*0.854</f>
        <v>4.27</v>
      </c>
      <c r="L20" s="87">
        <v>5.4</v>
      </c>
      <c r="M20" s="97">
        <f>0.854*0.96*((J20*L20/1000)*365*24*60*60)/1000000</f>
        <v>13.3471137816576</v>
      </c>
      <c r="N20" s="80" t="s">
        <v>625</v>
      </c>
      <c r="O20" s="86" t="s">
        <v>602</v>
      </c>
      <c r="P20" s="169" t="s">
        <v>628</v>
      </c>
      <c r="Q20" s="80" t="s">
        <v>172</v>
      </c>
    </row>
    <row r="21" spans="1:17" ht="14.25">
      <c r="A21" s="128" t="s">
        <v>609</v>
      </c>
      <c r="B21" s="87" t="s">
        <v>808</v>
      </c>
      <c r="C21" s="87" t="s">
        <v>1385</v>
      </c>
      <c r="D21" s="87">
        <v>276655</v>
      </c>
      <c r="E21" s="87">
        <v>187993</v>
      </c>
      <c r="F21" s="87"/>
      <c r="G21" s="87"/>
      <c r="H21" s="87"/>
      <c r="I21" s="102"/>
      <c r="J21" s="102"/>
      <c r="K21" s="87"/>
      <c r="L21" s="87"/>
      <c r="M21" s="102"/>
      <c r="N21" s="61"/>
      <c r="O21" s="86"/>
      <c r="P21" s="86" t="s">
        <v>1579</v>
      </c>
      <c r="Q21" s="87"/>
    </row>
    <row r="22" spans="1:17" ht="57">
      <c r="A22" s="83" t="s">
        <v>610</v>
      </c>
      <c r="B22" s="87" t="s">
        <v>808</v>
      </c>
      <c r="C22" s="87" t="s">
        <v>1385</v>
      </c>
      <c r="D22" s="87">
        <v>276743</v>
      </c>
      <c r="E22" s="87">
        <v>187979</v>
      </c>
      <c r="F22" s="87">
        <v>5</v>
      </c>
      <c r="G22" s="167">
        <v>14.1</v>
      </c>
      <c r="H22" s="87"/>
      <c r="I22" s="226">
        <f>(M22*1000000)/(365*24*60*60)</f>
        <v>0.6881030219780222</v>
      </c>
      <c r="J22" s="102">
        <f>((I22*1000)/K22)*(100/75)</f>
        <v>5.396886446886448</v>
      </c>
      <c r="K22" s="101">
        <f>('Sinter Transfer'!C40/60)*0.85</f>
        <v>170</v>
      </c>
      <c r="L22" s="101">
        <f>'Sinter Transfer'!G43</f>
        <v>273.2600732600733</v>
      </c>
      <c r="M22" s="102">
        <f>'PT Diffuse emissions - process'!E37</f>
        <v>21.700016901098905</v>
      </c>
      <c r="N22" s="80" t="s">
        <v>1576</v>
      </c>
      <c r="O22" s="86" t="s">
        <v>602</v>
      </c>
      <c r="P22" s="169" t="s">
        <v>39</v>
      </c>
      <c r="Q22" s="80"/>
    </row>
    <row r="23" spans="1:17" ht="15">
      <c r="A23" s="651" t="s">
        <v>1393</v>
      </c>
      <c r="B23" s="635"/>
      <c r="C23" s="635"/>
      <c r="D23" s="635"/>
      <c r="E23" s="635"/>
      <c r="F23" s="635"/>
      <c r="G23" s="635"/>
      <c r="H23" s="635"/>
      <c r="I23" s="635"/>
      <c r="J23" s="635"/>
      <c r="K23" s="635"/>
      <c r="L23" s="635"/>
      <c r="M23" s="635"/>
      <c r="N23" s="635"/>
      <c r="O23" s="635"/>
      <c r="P23" s="652"/>
      <c r="Q23" s="636"/>
    </row>
    <row r="24" spans="1:17" ht="75">
      <c r="A24" s="83" t="s">
        <v>1399</v>
      </c>
      <c r="B24" s="87" t="s">
        <v>657</v>
      </c>
      <c r="C24" s="87" t="s">
        <v>1325</v>
      </c>
      <c r="D24" s="87">
        <v>277120</v>
      </c>
      <c r="E24" s="87">
        <v>188110</v>
      </c>
      <c r="F24" s="87">
        <v>88</v>
      </c>
      <c r="G24" s="87">
        <v>0.6</v>
      </c>
      <c r="H24" s="87">
        <v>1.061</v>
      </c>
      <c r="I24" s="117">
        <f>(M24*1000000)/(365*24*60*60)</f>
        <v>0.048276000000000006</v>
      </c>
      <c r="J24" s="97">
        <f>2000*0.1</f>
        <v>200</v>
      </c>
      <c r="K24" s="87">
        <f>0.3*0.93</f>
        <v>0.279</v>
      </c>
      <c r="L24" s="87">
        <v>0.27</v>
      </c>
      <c r="M24" s="97">
        <f>((0.894*((J24*L24)/1000))*365*24*60*60)/1000000</f>
        <v>1.5224319360000003</v>
      </c>
      <c r="N24" s="80" t="s">
        <v>616</v>
      </c>
      <c r="O24" s="86" t="s">
        <v>1580</v>
      </c>
      <c r="P24" s="169" t="s">
        <v>626</v>
      </c>
      <c r="Q24" s="80" t="s">
        <v>175</v>
      </c>
    </row>
    <row r="25" spans="1:17" ht="71.25">
      <c r="A25" s="128" t="s">
        <v>1398</v>
      </c>
      <c r="B25" s="87" t="s">
        <v>1401</v>
      </c>
      <c r="C25" s="87" t="s">
        <v>1325</v>
      </c>
      <c r="D25" s="87"/>
      <c r="E25" s="87"/>
      <c r="F25" s="87"/>
      <c r="G25" s="87"/>
      <c r="H25" s="87"/>
      <c r="I25" s="97"/>
      <c r="J25" s="97"/>
      <c r="K25" s="87"/>
      <c r="L25" s="87"/>
      <c r="M25" s="97"/>
      <c r="N25" s="87"/>
      <c r="O25" s="86"/>
      <c r="P25" s="169" t="s">
        <v>897</v>
      </c>
      <c r="Q25" s="80"/>
    </row>
    <row r="26" spans="1:17" ht="75">
      <c r="A26" s="83" t="s">
        <v>1400</v>
      </c>
      <c r="B26" s="87" t="s">
        <v>659</v>
      </c>
      <c r="C26" s="87" t="s">
        <v>1325</v>
      </c>
      <c r="D26" s="87">
        <v>277090</v>
      </c>
      <c r="E26" s="87">
        <v>187950</v>
      </c>
      <c r="F26" s="87">
        <v>83</v>
      </c>
      <c r="G26" s="87">
        <v>0.6</v>
      </c>
      <c r="H26" s="87">
        <v>1.061</v>
      </c>
      <c r="I26" s="117">
        <f>(M26*1000000)/(365*24*60*60)</f>
        <v>0.051408</v>
      </c>
      <c r="J26" s="97">
        <f>2000*0.1</f>
        <v>200</v>
      </c>
      <c r="K26" s="87">
        <f>0.3*0.92</f>
        <v>0.276</v>
      </c>
      <c r="L26" s="87">
        <v>0.27</v>
      </c>
      <c r="M26" s="97">
        <f>((0.952*((J26*L26)/1000))*365*24*60*60)/1000000</f>
        <v>1.6212026880000001</v>
      </c>
      <c r="N26" s="80" t="s">
        <v>627</v>
      </c>
      <c r="O26" s="86" t="s">
        <v>1581</v>
      </c>
      <c r="P26" s="169" t="s">
        <v>626</v>
      </c>
      <c r="Q26" s="80" t="s">
        <v>175</v>
      </c>
    </row>
    <row r="27" spans="1:17" ht="71.25">
      <c r="A27" s="128" t="s">
        <v>1402</v>
      </c>
      <c r="B27" s="87" t="s">
        <v>1403</v>
      </c>
      <c r="C27" s="87" t="s">
        <v>1325</v>
      </c>
      <c r="D27" s="87"/>
      <c r="E27" s="87"/>
      <c r="F27" s="87"/>
      <c r="G27" s="87"/>
      <c r="H27" s="87"/>
      <c r="I27" s="97"/>
      <c r="J27" s="97"/>
      <c r="K27" s="87"/>
      <c r="L27" s="87"/>
      <c r="M27" s="97"/>
      <c r="N27" s="87"/>
      <c r="O27" s="86"/>
      <c r="P27" s="169" t="s">
        <v>897</v>
      </c>
      <c r="Q27" s="80"/>
    </row>
    <row r="28" spans="1:17" ht="56.25">
      <c r="A28" s="83" t="s">
        <v>1404</v>
      </c>
      <c r="B28" s="87" t="s">
        <v>661</v>
      </c>
      <c r="C28" s="87" t="s">
        <v>1325</v>
      </c>
      <c r="D28" s="87">
        <v>277088</v>
      </c>
      <c r="E28" s="87">
        <v>188165</v>
      </c>
      <c r="F28" s="87">
        <v>74</v>
      </c>
      <c r="G28" s="87">
        <v>3.81</v>
      </c>
      <c r="H28" s="117">
        <f>K28/(PI()*(G28/2)^2)</f>
        <v>3.0343941393036875</v>
      </c>
      <c r="I28" s="116">
        <f>(M28*1000000)/(365*24*60*60)</f>
        <v>0.1558878852279289</v>
      </c>
      <c r="J28" s="97">
        <f>(I28*1000)/K28</f>
        <v>4.506097057792379</v>
      </c>
      <c r="K28" s="97">
        <f>L28</f>
        <v>34.59487961058284</v>
      </c>
      <c r="L28" s="97">
        <f>'Summary combustion sources'!M45</f>
        <v>34.59487961058284</v>
      </c>
      <c r="M28" s="97">
        <f>'Summary combustion sources'!Q45</f>
        <v>4.9160803485479665</v>
      </c>
      <c r="N28" s="80" t="s">
        <v>1582</v>
      </c>
      <c r="O28" s="86" t="s">
        <v>1580</v>
      </c>
      <c r="P28" s="169" t="s">
        <v>1584</v>
      </c>
      <c r="Q28" s="80" t="s">
        <v>176</v>
      </c>
    </row>
    <row r="29" spans="1:17" ht="41.25" customHeight="1">
      <c r="A29" s="83" t="s">
        <v>1405</v>
      </c>
      <c r="B29" s="87" t="s">
        <v>663</v>
      </c>
      <c r="C29" s="87" t="s">
        <v>1325</v>
      </c>
      <c r="D29" s="87">
        <v>277077</v>
      </c>
      <c r="E29" s="87">
        <v>187921</v>
      </c>
      <c r="F29" s="87">
        <v>74</v>
      </c>
      <c r="G29" s="87">
        <v>3.5</v>
      </c>
      <c r="H29" s="117">
        <f>K29/(PI()*(G29/2)^2)</f>
        <v>5.0368571406107225</v>
      </c>
      <c r="I29" s="116">
        <f>(M29*1000000)/(365*24*60*60)</f>
        <v>0.16650865697302744</v>
      </c>
      <c r="J29" s="97">
        <f>(I29*1000)/K29</f>
        <v>3.4359846469430155</v>
      </c>
      <c r="K29" s="97">
        <f>L29</f>
        <v>48.46024475725456</v>
      </c>
      <c r="L29" s="97">
        <f>'Summary combustion sources'!M46</f>
        <v>48.46024475725456</v>
      </c>
      <c r="M29" s="97">
        <f>'Summary combustion sources'!Q46</f>
        <v>5.251017006301394</v>
      </c>
      <c r="N29" s="80" t="s">
        <v>1582</v>
      </c>
      <c r="O29" s="86" t="s">
        <v>1581</v>
      </c>
      <c r="P29" s="169" t="s">
        <v>1583</v>
      </c>
      <c r="Q29" s="80" t="s">
        <v>176</v>
      </c>
    </row>
    <row r="30" spans="1:17" ht="48.75" customHeight="1">
      <c r="A30" s="83" t="s">
        <v>664</v>
      </c>
      <c r="B30" s="87" t="s">
        <v>665</v>
      </c>
      <c r="C30" s="87" t="s">
        <v>1325</v>
      </c>
      <c r="D30" s="87">
        <v>277053</v>
      </c>
      <c r="E30" s="87">
        <v>188214</v>
      </c>
      <c r="F30" s="87">
        <v>32</v>
      </c>
      <c r="G30" s="87">
        <v>4</v>
      </c>
      <c r="H30" s="117">
        <f>K30/(PI()*(G30/2)^2)</f>
        <v>12.68708049827685</v>
      </c>
      <c r="I30" s="97">
        <f>(M30*1000000)/(365*24*60*60)</f>
        <v>0.5051700049571667</v>
      </c>
      <c r="J30" s="97">
        <f>(I30*1000)/K30</f>
        <v>3.1685896294900253</v>
      </c>
      <c r="K30" s="97">
        <f>'Point sources raw data'!B157/(60*60)</f>
        <v>159.43055555555554</v>
      </c>
      <c r="L30" s="97">
        <f>'Point sources raw data'!B157/(60*60)</f>
        <v>159.43055555555554</v>
      </c>
      <c r="M30" s="97">
        <f>'Point sources raw data'!D155*0.86</f>
        <v>15.931041276329209</v>
      </c>
      <c r="N30" s="80" t="s">
        <v>1582</v>
      </c>
      <c r="O30" s="86" t="s">
        <v>1580</v>
      </c>
      <c r="P30" s="169" t="s">
        <v>1588</v>
      </c>
      <c r="Q30" s="80" t="s">
        <v>172</v>
      </c>
    </row>
    <row r="31" spans="1:17" ht="48.75" customHeight="1">
      <c r="A31" s="83" t="s">
        <v>666</v>
      </c>
      <c r="B31" s="87" t="s">
        <v>667</v>
      </c>
      <c r="C31" s="87" t="s">
        <v>1325</v>
      </c>
      <c r="D31" s="87">
        <v>277042</v>
      </c>
      <c r="E31" s="87">
        <v>188160</v>
      </c>
      <c r="F31" s="87">
        <v>32</v>
      </c>
      <c r="G31" s="87">
        <v>4</v>
      </c>
      <c r="H31" s="117">
        <f>K31/(PI()*(G31/2)^2)</f>
        <v>10.053448648276175</v>
      </c>
      <c r="I31" s="97">
        <f>(M31*1000000)/(365*24*60*60)</f>
        <v>0.5371381874348139</v>
      </c>
      <c r="J31" s="97">
        <f>(I31*1000)/K31</f>
        <v>4.251685199999999</v>
      </c>
      <c r="K31" s="97">
        <f>'Point sources raw data'!B151/(60*60)*0.894</f>
        <v>126.33536166666667</v>
      </c>
      <c r="L31" s="97">
        <f>'Point sources raw data'!B151/(60*60)</f>
        <v>141.31472222222223</v>
      </c>
      <c r="M31" s="97">
        <f>'Point sources raw data'!B161*0.86</f>
        <v>16.939189878944294</v>
      </c>
      <c r="N31" s="80" t="s">
        <v>616</v>
      </c>
      <c r="O31" s="86" t="s">
        <v>1580</v>
      </c>
      <c r="P31" s="169" t="s">
        <v>1588</v>
      </c>
      <c r="Q31" s="80" t="s">
        <v>172</v>
      </c>
    </row>
    <row r="32" spans="1:17" ht="48.75" customHeight="1">
      <c r="A32" s="83" t="s">
        <v>1406</v>
      </c>
      <c r="B32" s="87" t="s">
        <v>669</v>
      </c>
      <c r="C32" s="87" t="s">
        <v>1325</v>
      </c>
      <c r="D32" s="87">
        <v>277200</v>
      </c>
      <c r="E32" s="87">
        <v>187900</v>
      </c>
      <c r="F32" s="87">
        <v>40</v>
      </c>
      <c r="G32" s="87">
        <v>7</v>
      </c>
      <c r="H32" s="117">
        <f>K32/(PI()*(G32/2)^2)</f>
        <v>8.60650676076761</v>
      </c>
      <c r="I32" s="117">
        <f>(M32*1000000)/(365*24*60*60)</f>
        <v>0.9684790798044444</v>
      </c>
      <c r="J32" s="97">
        <f>(I32*1000)/K32</f>
        <v>2.924</v>
      </c>
      <c r="K32" s="97">
        <f>'Point sources raw data'!B172/(60*60)*0.952</f>
        <v>331.2171955555555</v>
      </c>
      <c r="L32" s="97">
        <f>'Point sources raw data'!B172/(60*60)</f>
        <v>347.9172222222222</v>
      </c>
      <c r="M32" s="97">
        <f>'Point sources raw data'!B175*0.86</f>
        <v>30.541956260712958</v>
      </c>
      <c r="N32" s="80" t="s">
        <v>1582</v>
      </c>
      <c r="O32" s="86" t="s">
        <v>1581</v>
      </c>
      <c r="P32" s="169" t="s">
        <v>1588</v>
      </c>
      <c r="Q32" s="80" t="s">
        <v>172</v>
      </c>
    </row>
    <row r="33" spans="1:17" ht="14.25">
      <c r="A33" s="128" t="s">
        <v>1407</v>
      </c>
      <c r="B33" s="87" t="s">
        <v>948</v>
      </c>
      <c r="C33" s="87" t="s">
        <v>1325</v>
      </c>
      <c r="D33" s="87" t="s">
        <v>359</v>
      </c>
      <c r="E33" s="87" t="s">
        <v>359</v>
      </c>
      <c r="F33" s="659" t="s">
        <v>937</v>
      </c>
      <c r="G33" s="660"/>
      <c r="H33" s="660"/>
      <c r="I33" s="660"/>
      <c r="J33" s="660"/>
      <c r="K33" s="660"/>
      <c r="L33" s="660"/>
      <c r="M33" s="660"/>
      <c r="N33" s="660"/>
      <c r="O33" s="660"/>
      <c r="P33" s="660"/>
      <c r="Q33" s="661"/>
    </row>
    <row r="34" spans="1:17" ht="14.25">
      <c r="A34" s="128" t="s">
        <v>1408</v>
      </c>
      <c r="B34" s="87" t="s">
        <v>1590</v>
      </c>
      <c r="C34" s="87" t="s">
        <v>1325</v>
      </c>
      <c r="D34" s="87" t="s">
        <v>359</v>
      </c>
      <c r="E34" s="87" t="s">
        <v>359</v>
      </c>
      <c r="F34" s="662"/>
      <c r="G34" s="663"/>
      <c r="H34" s="663"/>
      <c r="I34" s="663"/>
      <c r="J34" s="663"/>
      <c r="K34" s="663"/>
      <c r="L34" s="663"/>
      <c r="M34" s="663"/>
      <c r="N34" s="663"/>
      <c r="O34" s="663"/>
      <c r="P34" s="663"/>
      <c r="Q34" s="664"/>
    </row>
    <row r="35" spans="1:17" ht="99.75">
      <c r="A35" s="174" t="s">
        <v>1591</v>
      </c>
      <c r="B35" s="175" t="s">
        <v>893</v>
      </c>
      <c r="C35" s="176" t="s">
        <v>1325</v>
      </c>
      <c r="D35" s="176">
        <v>276929</v>
      </c>
      <c r="E35" s="176">
        <v>187942</v>
      </c>
      <c r="F35" s="662"/>
      <c r="G35" s="663"/>
      <c r="H35" s="663"/>
      <c r="I35" s="663"/>
      <c r="J35" s="663"/>
      <c r="K35" s="663"/>
      <c r="L35" s="663"/>
      <c r="M35" s="663"/>
      <c r="N35" s="663"/>
      <c r="O35" s="663"/>
      <c r="P35" s="663"/>
      <c r="Q35" s="664"/>
    </row>
    <row r="36" spans="1:17" ht="42.75">
      <c r="A36" s="181" t="s">
        <v>1591</v>
      </c>
      <c r="B36" s="182" t="s">
        <v>360</v>
      </c>
      <c r="C36" s="183" t="s">
        <v>1325</v>
      </c>
      <c r="D36" s="183">
        <v>277082</v>
      </c>
      <c r="E36" s="183">
        <v>187917</v>
      </c>
      <c r="F36" s="665"/>
      <c r="G36" s="666"/>
      <c r="H36" s="666"/>
      <c r="I36" s="666"/>
      <c r="J36" s="666"/>
      <c r="K36" s="666"/>
      <c r="L36" s="666"/>
      <c r="M36" s="666"/>
      <c r="N36" s="666"/>
      <c r="O36" s="666"/>
      <c r="P36" s="666"/>
      <c r="Q36" s="667"/>
    </row>
    <row r="37" spans="1:17" ht="56.25">
      <c r="A37" s="128" t="s">
        <v>1409</v>
      </c>
      <c r="B37" s="87" t="s">
        <v>731</v>
      </c>
      <c r="C37" s="87" t="s">
        <v>1325</v>
      </c>
      <c r="D37" s="87">
        <v>276921</v>
      </c>
      <c r="E37" s="87">
        <v>188309</v>
      </c>
      <c r="F37" s="87">
        <v>27</v>
      </c>
      <c r="G37" s="87">
        <v>1.3</v>
      </c>
      <c r="H37" s="117">
        <f>K37/(PI()*(G37/2)^2)</f>
        <v>2.8202561459890316</v>
      </c>
      <c r="I37" s="116">
        <f>(M37*1000000)/(365*24*60*60)</f>
        <v>0.009657947633333335</v>
      </c>
      <c r="J37" s="97">
        <f>(I37*1000)/K37</f>
        <v>2.5800000000000005</v>
      </c>
      <c r="K37" s="117">
        <f>('Point sources raw data'!B193/(60*60))*0.437</f>
        <v>3.7433905555555556</v>
      </c>
      <c r="L37" s="117">
        <f>'Point sources raw data'!B193/(60*60)</f>
        <v>8.56611111111111</v>
      </c>
      <c r="M37" s="117">
        <f>'Point sources raw data'!B216*0.86</f>
        <v>0.30457303656480006</v>
      </c>
      <c r="N37" s="80" t="s">
        <v>621</v>
      </c>
      <c r="O37" s="86" t="s">
        <v>1581</v>
      </c>
      <c r="P37" s="169" t="s">
        <v>1588</v>
      </c>
      <c r="Q37" s="80" t="s">
        <v>340</v>
      </c>
    </row>
    <row r="38" spans="1:17" ht="56.25">
      <c r="A38" s="128" t="s">
        <v>1410</v>
      </c>
      <c r="B38" s="87" t="s">
        <v>732</v>
      </c>
      <c r="C38" s="87" t="s">
        <v>1325</v>
      </c>
      <c r="D38" s="87">
        <v>276921</v>
      </c>
      <c r="E38" s="87">
        <v>188309</v>
      </c>
      <c r="F38" s="87">
        <v>27</v>
      </c>
      <c r="G38" s="87">
        <v>1.3</v>
      </c>
      <c r="H38" s="117">
        <f>K38/(PI()*(G38/2)^2)</f>
        <v>2.8985595408833764</v>
      </c>
      <c r="I38" s="116">
        <f>(M38*1000000)/(365*24*60*60)</f>
        <v>0.00893348736</v>
      </c>
      <c r="J38" s="97">
        <f>(I38*1000)/K38</f>
        <v>2.3220000000000005</v>
      </c>
      <c r="K38" s="117">
        <f>('Point sources raw data'!B187/(60*60))*0.413</f>
        <v>3.847324444444444</v>
      </c>
      <c r="L38" s="117">
        <f>'Point sources raw data'!B187/(60*60)</f>
        <v>9.315555555555555</v>
      </c>
      <c r="M38" s="117">
        <f>'Point sources raw data'!B212*0.86</f>
        <v>0.28172645738496005</v>
      </c>
      <c r="N38" s="80" t="s">
        <v>622</v>
      </c>
      <c r="O38" s="86" t="s">
        <v>1581</v>
      </c>
      <c r="P38" s="169" t="s">
        <v>1588</v>
      </c>
      <c r="Q38" s="80" t="s">
        <v>340</v>
      </c>
    </row>
    <row r="39" spans="1:20" ht="56.25">
      <c r="A39" s="128" t="s">
        <v>167</v>
      </c>
      <c r="B39" s="87" t="s">
        <v>735</v>
      </c>
      <c r="C39" s="87" t="s">
        <v>1325</v>
      </c>
      <c r="D39" s="98">
        <v>276912</v>
      </c>
      <c r="E39" s="87">
        <v>187960</v>
      </c>
      <c r="F39" s="87">
        <v>27</v>
      </c>
      <c r="G39" s="87">
        <v>1.3</v>
      </c>
      <c r="H39" s="117">
        <f>K39/(PI()*(G39/2)^2)</f>
        <v>8.138771514587521</v>
      </c>
      <c r="I39" s="116">
        <f>(M39*1000000)/(365*24*60*60)</f>
        <v>0.024155011111111114</v>
      </c>
      <c r="J39" s="97">
        <f>(I39*1000)/K39</f>
        <v>2.2360000000000007</v>
      </c>
      <c r="K39" s="117">
        <f>('Point sources raw data'!C207/(60*60))*1</f>
        <v>10.802777777777777</v>
      </c>
      <c r="L39" s="117">
        <f>'Point sources raw data'!C207/(60*60)</f>
        <v>10.802777777777777</v>
      </c>
      <c r="M39" s="117">
        <f>'Point sources raw data'!B220*0.86</f>
        <v>0.7617524304000001</v>
      </c>
      <c r="N39" s="80" t="s">
        <v>623</v>
      </c>
      <c r="O39" s="86" t="s">
        <v>1581</v>
      </c>
      <c r="P39" s="169" t="s">
        <v>1588</v>
      </c>
      <c r="Q39" s="80" t="s">
        <v>340</v>
      </c>
      <c r="S39" s="100"/>
      <c r="T39" s="100"/>
    </row>
    <row r="40" spans="1:17" ht="75">
      <c r="A40" s="189" t="s">
        <v>1593</v>
      </c>
      <c r="B40" s="175" t="s">
        <v>894</v>
      </c>
      <c r="C40" s="176" t="s">
        <v>1325</v>
      </c>
      <c r="D40" s="176">
        <v>277050</v>
      </c>
      <c r="E40" s="176">
        <v>187950</v>
      </c>
      <c r="F40" s="176">
        <v>27</v>
      </c>
      <c r="G40" s="176">
        <v>1.3</v>
      </c>
      <c r="H40" s="178">
        <f>K40/(PI()*(G40/2)^2)</f>
        <v>1.431452742601662</v>
      </c>
      <c r="I40" s="178">
        <f>(M40*1000000)/(365*24*60*60)</f>
        <v>0.13635210553018773</v>
      </c>
      <c r="J40" s="177">
        <f>(I40*1000)/K40</f>
        <v>71.76426606851986</v>
      </c>
      <c r="K40" s="176">
        <f>5*0.38</f>
        <v>1.9</v>
      </c>
      <c r="L40" s="176">
        <f>5</f>
        <v>5</v>
      </c>
      <c r="M40" s="177">
        <f>5*0.86</f>
        <v>4.3</v>
      </c>
      <c r="N40" s="175" t="s">
        <v>895</v>
      </c>
      <c r="O40" s="179" t="s">
        <v>1581</v>
      </c>
      <c r="P40" s="180" t="s">
        <v>104</v>
      </c>
      <c r="Q40" s="175" t="s">
        <v>340</v>
      </c>
    </row>
    <row r="41" spans="1:17" ht="42.75">
      <c r="A41" s="188" t="s">
        <v>361</v>
      </c>
      <c r="B41" s="182" t="s">
        <v>481</v>
      </c>
      <c r="C41" s="183" t="s">
        <v>1325</v>
      </c>
      <c r="D41" s="183">
        <v>277002</v>
      </c>
      <c r="E41" s="183">
        <v>187942</v>
      </c>
      <c r="F41" s="183">
        <v>27</v>
      </c>
      <c r="G41" s="184">
        <f>2*(((2*(PI()*(G37/2)^2))/PI())^0.5)</f>
        <v>1.8384776310850235</v>
      </c>
      <c r="H41" s="185">
        <f>K41/(PI()*(G41/2)^2)</f>
        <v>2.859407843436204</v>
      </c>
      <c r="I41" s="185">
        <f>SUM(I37:I38)</f>
        <v>0.018591434993333336</v>
      </c>
      <c r="J41" s="185">
        <f>SUM(J37:J38)</f>
        <v>4.902000000000001</v>
      </c>
      <c r="K41" s="185">
        <f>SUM(K37:K38)</f>
        <v>7.590714999999999</v>
      </c>
      <c r="L41" s="185">
        <f>SUM(L37:L38)</f>
        <v>17.881666666666668</v>
      </c>
      <c r="M41" s="185">
        <f>SUM(M37:M38)</f>
        <v>0.5862994939497601</v>
      </c>
      <c r="N41" s="182"/>
      <c r="O41" s="186"/>
      <c r="P41" s="187" t="s">
        <v>1560</v>
      </c>
      <c r="Q41" s="182"/>
    </row>
    <row r="42" spans="1:20" s="99" customFormat="1" ht="26.25" customHeight="1">
      <c r="A42" s="128" t="s">
        <v>1411</v>
      </c>
      <c r="B42" s="87" t="s">
        <v>1412</v>
      </c>
      <c r="C42" s="87" t="s">
        <v>1325</v>
      </c>
      <c r="D42" s="87"/>
      <c r="E42" s="87"/>
      <c r="F42" s="87"/>
      <c r="G42" s="87"/>
      <c r="H42" s="87"/>
      <c r="I42" s="97"/>
      <c r="J42" s="97"/>
      <c r="K42" s="87"/>
      <c r="L42" s="87"/>
      <c r="M42" s="97"/>
      <c r="N42" s="87"/>
      <c r="O42" s="86"/>
      <c r="P42" s="656" t="s">
        <v>896</v>
      </c>
      <c r="Q42" s="656" t="s">
        <v>172</v>
      </c>
      <c r="S42" s="100"/>
      <c r="T42" s="100"/>
    </row>
    <row r="43" spans="1:20" s="99" customFormat="1" ht="26.25" customHeight="1">
      <c r="A43" s="128" t="s">
        <v>1413</v>
      </c>
      <c r="B43" s="87" t="s">
        <v>1414</v>
      </c>
      <c r="C43" s="87" t="s">
        <v>1325</v>
      </c>
      <c r="D43" s="87"/>
      <c r="E43" s="87"/>
      <c r="F43" s="87"/>
      <c r="G43" s="87"/>
      <c r="H43" s="87"/>
      <c r="I43" s="97"/>
      <c r="J43" s="97"/>
      <c r="K43" s="87"/>
      <c r="L43" s="87"/>
      <c r="M43" s="97"/>
      <c r="N43" s="87"/>
      <c r="O43" s="86"/>
      <c r="P43" s="658"/>
      <c r="Q43" s="595"/>
      <c r="S43" s="100"/>
      <c r="T43" s="100"/>
    </row>
    <row r="44" spans="1:20" s="99" customFormat="1" ht="26.25" customHeight="1">
      <c r="A44" s="128" t="s">
        <v>1589</v>
      </c>
      <c r="B44" s="87" t="s">
        <v>341</v>
      </c>
      <c r="C44" s="87" t="s">
        <v>1325</v>
      </c>
      <c r="D44" s="87"/>
      <c r="E44" s="87"/>
      <c r="F44" s="87"/>
      <c r="G44" s="87"/>
      <c r="H44" s="87"/>
      <c r="I44" s="97"/>
      <c r="J44" s="97"/>
      <c r="K44" s="87"/>
      <c r="L44" s="87"/>
      <c r="M44" s="97"/>
      <c r="N44" s="87"/>
      <c r="O44" s="86"/>
      <c r="P44" s="565"/>
      <c r="Q44" s="565"/>
      <c r="S44" s="79"/>
      <c r="T44" s="79"/>
    </row>
    <row r="45" spans="1:17" ht="14.25">
      <c r="A45" s="128" t="s">
        <v>1415</v>
      </c>
      <c r="B45" s="87"/>
      <c r="C45" s="87" t="s">
        <v>1385</v>
      </c>
      <c r="D45" s="87"/>
      <c r="E45" s="87"/>
      <c r="F45" s="87"/>
      <c r="G45" s="87"/>
      <c r="H45" s="87"/>
      <c r="I45" s="97"/>
      <c r="J45" s="97"/>
      <c r="K45" s="87"/>
      <c r="L45" s="87"/>
      <c r="M45" s="97"/>
      <c r="N45" s="87"/>
      <c r="O45" s="86"/>
      <c r="P45" s="86" t="s">
        <v>1579</v>
      </c>
      <c r="Q45" s="87" t="s">
        <v>172</v>
      </c>
    </row>
    <row r="46" spans="1:17" ht="14.25">
      <c r="A46" s="128" t="s">
        <v>1416</v>
      </c>
      <c r="B46" s="87"/>
      <c r="C46" s="87" t="s">
        <v>1385</v>
      </c>
      <c r="D46" s="87"/>
      <c r="E46" s="87"/>
      <c r="F46" s="87"/>
      <c r="G46" s="87"/>
      <c r="H46" s="87"/>
      <c r="I46" s="97"/>
      <c r="J46" s="97"/>
      <c r="K46" s="87"/>
      <c r="L46" s="87"/>
      <c r="M46" s="97"/>
      <c r="N46" s="87"/>
      <c r="O46" s="86"/>
      <c r="P46" s="86" t="s">
        <v>1579</v>
      </c>
      <c r="Q46" s="87" t="s">
        <v>172</v>
      </c>
    </row>
    <row r="47" spans="1:17" ht="85.5">
      <c r="A47" s="83" t="s">
        <v>1376</v>
      </c>
      <c r="B47" s="87" t="s">
        <v>1376</v>
      </c>
      <c r="C47" s="87" t="s">
        <v>1385</v>
      </c>
      <c r="D47" s="87">
        <v>277110</v>
      </c>
      <c r="E47" s="87">
        <v>188100</v>
      </c>
      <c r="F47" s="103">
        <v>24</v>
      </c>
      <c r="G47" s="269">
        <f>2*(('BF casthouse'!C25/PI())^0.5)</f>
        <v>7.885747863384002</v>
      </c>
      <c r="H47" s="97">
        <f>'BF casthouse'!F15</f>
        <v>2.753333333333334</v>
      </c>
      <c r="I47" s="97">
        <f>(M47*1000000)/(365*24*60*60)</f>
        <v>2.34375</v>
      </c>
      <c r="J47" s="97">
        <f>(I47*1000)/K47</f>
        <v>17.429175268158314</v>
      </c>
      <c r="K47" s="103">
        <f>((PI()*(G47/2)^2))*H47</f>
        <v>134.47280000000003</v>
      </c>
      <c r="L47" s="103">
        <f>K47</f>
        <v>134.47280000000003</v>
      </c>
      <c r="M47" s="97">
        <f>'PT Diffuse emissions - process'!E22</f>
        <v>73.9125</v>
      </c>
      <c r="N47" s="80" t="s">
        <v>371</v>
      </c>
      <c r="O47" s="86" t="s">
        <v>1580</v>
      </c>
      <c r="P47" s="169" t="s">
        <v>100</v>
      </c>
      <c r="Q47" s="80" t="s">
        <v>342</v>
      </c>
    </row>
    <row r="48" spans="1:17" ht="85.5">
      <c r="A48" s="83" t="s">
        <v>1377</v>
      </c>
      <c r="B48" s="87" t="s">
        <v>1377</v>
      </c>
      <c r="C48" s="87" t="s">
        <v>1385</v>
      </c>
      <c r="D48" s="87">
        <v>277080</v>
      </c>
      <c r="E48" s="87">
        <v>187950</v>
      </c>
      <c r="F48" s="103">
        <v>24</v>
      </c>
      <c r="G48" s="269">
        <f>2*((45/PI())^0.5)</f>
        <v>7.569397566060481</v>
      </c>
      <c r="H48" s="97">
        <v>3</v>
      </c>
      <c r="I48" s="97">
        <f>(M48*1000000)/(365*24*60*60)</f>
        <v>2.0312500000000004</v>
      </c>
      <c r="J48" s="97">
        <f>(I48*1000)/K48</f>
        <v>15.046296296296296</v>
      </c>
      <c r="K48" s="103">
        <f>((PI()*(G48/2)^2))*H48</f>
        <v>135.00000000000003</v>
      </c>
      <c r="L48" s="103">
        <f>K48</f>
        <v>135.00000000000003</v>
      </c>
      <c r="M48" s="97">
        <f>'PT Diffuse emissions - process'!E19</f>
        <v>64.0575</v>
      </c>
      <c r="N48" s="80" t="s">
        <v>371</v>
      </c>
      <c r="O48" s="86" t="s">
        <v>1581</v>
      </c>
      <c r="P48" s="169" t="s">
        <v>100</v>
      </c>
      <c r="Q48" s="80" t="s">
        <v>342</v>
      </c>
    </row>
    <row r="49" spans="1:20" s="107" customFormat="1" ht="15">
      <c r="A49" s="651" t="s">
        <v>607</v>
      </c>
      <c r="B49" s="635"/>
      <c r="C49" s="635"/>
      <c r="D49" s="635"/>
      <c r="E49" s="635"/>
      <c r="F49" s="635"/>
      <c r="G49" s="635"/>
      <c r="H49" s="635"/>
      <c r="I49" s="635"/>
      <c r="J49" s="635"/>
      <c r="K49" s="635"/>
      <c r="L49" s="635"/>
      <c r="M49" s="635"/>
      <c r="N49" s="635"/>
      <c r="O49" s="635"/>
      <c r="P49" s="652"/>
      <c r="Q49" s="636"/>
      <c r="S49" s="106"/>
      <c r="T49" s="106"/>
    </row>
    <row r="50" spans="1:17" ht="56.25">
      <c r="A50" s="83" t="s">
        <v>682</v>
      </c>
      <c r="B50" s="87" t="s">
        <v>683</v>
      </c>
      <c r="C50" s="87" t="s">
        <v>1325</v>
      </c>
      <c r="D50" s="87">
        <v>277069</v>
      </c>
      <c r="E50" s="87">
        <v>187043</v>
      </c>
      <c r="F50" s="87">
        <v>29</v>
      </c>
      <c r="G50" s="87">
        <v>3.2</v>
      </c>
      <c r="H50" s="97">
        <f aca="true" t="shared" si="0" ref="H50:H58">K50/(PI()*(G50/2)^2)</f>
        <v>15.238844029217024</v>
      </c>
      <c r="I50" s="117">
        <f aca="true" t="shared" si="1" ref="I50:I55">(M50*1000000)/(365*24*60*60)</f>
        <v>2.476898302777778</v>
      </c>
      <c r="J50" s="97">
        <f aca="true" t="shared" si="2" ref="J50:J58">(I50*1000)/K50</f>
        <v>20.209999999999997</v>
      </c>
      <c r="K50" s="97">
        <f>'Point sources raw data'!B232/(60*60)</f>
        <v>122.55805555555555</v>
      </c>
      <c r="L50" s="97">
        <f>'Point sources raw data'!B232/(60*60)</f>
        <v>122.55805555555555</v>
      </c>
      <c r="M50" s="97">
        <f>'Point sources raw data'!B244*0.86</f>
        <v>78.11146487639999</v>
      </c>
      <c r="N50" s="80" t="s">
        <v>1582</v>
      </c>
      <c r="O50" s="86" t="s">
        <v>607</v>
      </c>
      <c r="P50" s="169" t="s">
        <v>1588</v>
      </c>
      <c r="Q50" s="80" t="s">
        <v>172</v>
      </c>
    </row>
    <row r="51" spans="1:17" ht="56.25">
      <c r="A51" s="108" t="s">
        <v>684</v>
      </c>
      <c r="B51" s="109" t="s">
        <v>685</v>
      </c>
      <c r="C51" s="109" t="s">
        <v>1325</v>
      </c>
      <c r="D51" s="109">
        <v>277055</v>
      </c>
      <c r="E51" s="109">
        <v>187072</v>
      </c>
      <c r="F51" s="109">
        <v>41</v>
      </c>
      <c r="G51" s="109">
        <v>2.8</v>
      </c>
      <c r="H51" s="97">
        <f t="shared" si="0"/>
        <v>6.475774638860116</v>
      </c>
      <c r="I51" s="117">
        <f t="shared" si="1"/>
        <v>0.03429226111111111</v>
      </c>
      <c r="J51" s="97">
        <f t="shared" si="2"/>
        <v>0.8599999999999999</v>
      </c>
      <c r="K51" s="131">
        <f>'Point sources raw data'!B239/(60*60)</f>
        <v>39.874722222222225</v>
      </c>
      <c r="L51" s="131">
        <f>'Point sources raw data'!B239/(60*60)</f>
        <v>39.874722222222225</v>
      </c>
      <c r="M51" s="110">
        <f>'Point sources raw data'!B248*0.86</f>
        <v>1.0814407464</v>
      </c>
      <c r="N51" s="130" t="s">
        <v>1582</v>
      </c>
      <c r="O51" s="111" t="s">
        <v>607</v>
      </c>
      <c r="P51" s="170" t="s">
        <v>1588</v>
      </c>
      <c r="Q51" s="130" t="s">
        <v>172</v>
      </c>
    </row>
    <row r="52" spans="1:17" ht="56.25">
      <c r="A52" s="83" t="s">
        <v>1417</v>
      </c>
      <c r="B52" s="87" t="s">
        <v>687</v>
      </c>
      <c r="C52" s="87" t="s">
        <v>1325</v>
      </c>
      <c r="D52" s="87">
        <v>277406</v>
      </c>
      <c r="E52" s="87">
        <v>186888</v>
      </c>
      <c r="F52" s="87">
        <v>15</v>
      </c>
      <c r="G52" s="87">
        <v>1</v>
      </c>
      <c r="H52" s="97">
        <f t="shared" si="0"/>
        <v>8.624429527324152</v>
      </c>
      <c r="I52" s="127">
        <f t="shared" si="1"/>
        <v>0.0034951833333333325</v>
      </c>
      <c r="J52" s="97">
        <f t="shared" si="2"/>
        <v>0.5159999999999999</v>
      </c>
      <c r="K52" s="97">
        <f>'Point sources raw data'!B297/(60*60)</f>
        <v>6.773611111111111</v>
      </c>
      <c r="L52" s="97">
        <f>'Point sources raw data'!B297/(60*60)</f>
        <v>6.773611111111111</v>
      </c>
      <c r="M52" s="117">
        <f>'Point sources raw data'!B300*0.86</f>
        <v>0.11022410159999999</v>
      </c>
      <c r="N52" s="130" t="s">
        <v>1582</v>
      </c>
      <c r="O52" s="86" t="s">
        <v>607</v>
      </c>
      <c r="P52" s="170" t="s">
        <v>1588</v>
      </c>
      <c r="Q52" s="130" t="s">
        <v>172</v>
      </c>
    </row>
    <row r="53" spans="1:17" ht="56.25">
      <c r="A53" s="108" t="s">
        <v>1418</v>
      </c>
      <c r="B53" s="87" t="s">
        <v>728</v>
      </c>
      <c r="C53" s="87" t="s">
        <v>1325</v>
      </c>
      <c r="D53" s="87">
        <v>276986</v>
      </c>
      <c r="E53" s="87">
        <v>187230</v>
      </c>
      <c r="F53" s="87">
        <v>20</v>
      </c>
      <c r="G53" s="87">
        <v>4</v>
      </c>
      <c r="H53" s="97">
        <f t="shared" si="0"/>
        <v>8.712694206180531</v>
      </c>
      <c r="I53" s="117">
        <f t="shared" si="1"/>
        <v>0.33897158</v>
      </c>
      <c r="J53" s="97">
        <f t="shared" si="2"/>
        <v>3.096</v>
      </c>
      <c r="K53" s="97">
        <f>'Point sources raw data'!B260/(60*60)</f>
        <v>109.48694444444445</v>
      </c>
      <c r="L53" s="97">
        <f>'Point sources raw data'!B260/(60*60)</f>
        <v>109.48694444444445</v>
      </c>
      <c r="M53" s="97">
        <f>'Point sources raw data'!B279*0.86</f>
        <v>10.68980774688</v>
      </c>
      <c r="N53" s="130" t="s">
        <v>1582</v>
      </c>
      <c r="O53" s="86" t="s">
        <v>607</v>
      </c>
      <c r="P53" s="170" t="s">
        <v>1588</v>
      </c>
      <c r="Q53" s="130" t="s">
        <v>172</v>
      </c>
    </row>
    <row r="54" spans="1:17" ht="56.25">
      <c r="A54" s="108" t="s">
        <v>1420</v>
      </c>
      <c r="B54" s="87" t="s">
        <v>729</v>
      </c>
      <c r="C54" s="87" t="s">
        <v>1325</v>
      </c>
      <c r="D54" s="87">
        <v>277018</v>
      </c>
      <c r="E54" s="87">
        <v>187230</v>
      </c>
      <c r="F54" s="87">
        <v>20</v>
      </c>
      <c r="G54" s="87">
        <v>4</v>
      </c>
      <c r="H54" s="97">
        <f t="shared" si="0"/>
        <v>9.050964774810431</v>
      </c>
      <c r="I54" s="117">
        <f t="shared" si="1"/>
        <v>0.18584752888888886</v>
      </c>
      <c r="J54" s="97">
        <f t="shared" si="2"/>
        <v>1.6339999999999997</v>
      </c>
      <c r="K54" s="97">
        <f>'Point sources raw data'!B267/(60*60)</f>
        <v>113.73777777777778</v>
      </c>
      <c r="L54" s="97">
        <f>'Point sources raw data'!B267/(60*60)</f>
        <v>113.73777777777778</v>
      </c>
      <c r="M54" s="97">
        <f>'Point sources raw data'!B283*0.86</f>
        <v>5.8608876710399995</v>
      </c>
      <c r="N54" s="130" t="s">
        <v>1582</v>
      </c>
      <c r="O54" s="86" t="s">
        <v>607</v>
      </c>
      <c r="P54" s="170" t="s">
        <v>1588</v>
      </c>
      <c r="Q54" s="130" t="s">
        <v>172</v>
      </c>
    </row>
    <row r="55" spans="1:17" ht="56.25">
      <c r="A55" s="108" t="s">
        <v>1419</v>
      </c>
      <c r="B55" s="87" t="s">
        <v>730</v>
      </c>
      <c r="C55" s="87" t="s">
        <v>1325</v>
      </c>
      <c r="D55" s="87">
        <v>277010</v>
      </c>
      <c r="E55" s="87">
        <v>187230</v>
      </c>
      <c r="F55" s="87">
        <v>20</v>
      </c>
      <c r="G55" s="87">
        <v>4</v>
      </c>
      <c r="H55" s="97">
        <f t="shared" si="0"/>
        <v>10.475401515482893</v>
      </c>
      <c r="I55" s="117">
        <f t="shared" si="1"/>
        <v>2.5698326977777772</v>
      </c>
      <c r="J55" s="97">
        <f t="shared" si="2"/>
        <v>19.521999999999995</v>
      </c>
      <c r="K55" s="97">
        <f>'Point sources raw data'!B274/(60*60)</f>
        <v>131.63777777777779</v>
      </c>
      <c r="L55" s="97">
        <f>'Point sources raw data'!B274/(60*60)</f>
        <v>131.63777777777779</v>
      </c>
      <c r="M55" s="97">
        <f>'Point sources raw data'!B287*0.86</f>
        <v>81.04224395712</v>
      </c>
      <c r="N55" s="130" t="s">
        <v>1582</v>
      </c>
      <c r="O55" s="86" t="s">
        <v>607</v>
      </c>
      <c r="P55" s="170" t="s">
        <v>1588</v>
      </c>
      <c r="Q55" s="80" t="s">
        <v>172</v>
      </c>
    </row>
    <row r="56" spans="1:17" ht="42.75">
      <c r="A56" s="188" t="s">
        <v>362</v>
      </c>
      <c r="B56" s="182" t="s">
        <v>363</v>
      </c>
      <c r="C56" s="183" t="s">
        <v>1325</v>
      </c>
      <c r="D56" s="230">
        <v>277115</v>
      </c>
      <c r="E56" s="230">
        <v>186718</v>
      </c>
      <c r="F56" s="183">
        <v>20</v>
      </c>
      <c r="G56" s="184">
        <f>2*(((3*(PI()*(G53/2)^2))/PI())^0.5)</f>
        <v>6.928203230275509</v>
      </c>
      <c r="H56" s="184">
        <f>K56/(PI()*(G56/2)^2)</f>
        <v>6.100895275482908</v>
      </c>
      <c r="I56" s="185">
        <f>(M56*1000000)/(365*24*60*60)</f>
        <v>3.0946518066666666</v>
      </c>
      <c r="J56" s="184">
        <f>(I56*1000)/K56</f>
        <v>13.455105355835911</v>
      </c>
      <c r="K56" s="185">
        <f>SUM(K52:K54)</f>
        <v>229.99833333333333</v>
      </c>
      <c r="L56" s="185">
        <f>SUM(L53:L55)</f>
        <v>354.8625</v>
      </c>
      <c r="M56" s="184">
        <f>SUM(M53:M55)</f>
        <v>97.59293937503999</v>
      </c>
      <c r="N56" s="190"/>
      <c r="O56" s="186"/>
      <c r="P56" s="187"/>
      <c r="Q56" s="182"/>
    </row>
    <row r="57" spans="1:17" ht="56.25">
      <c r="A57" s="83" t="s">
        <v>693</v>
      </c>
      <c r="B57" s="87" t="s">
        <v>694</v>
      </c>
      <c r="C57" s="87" t="s">
        <v>1325</v>
      </c>
      <c r="D57" s="87">
        <v>277350</v>
      </c>
      <c r="E57" s="87">
        <v>186720</v>
      </c>
      <c r="F57" s="87">
        <v>33</v>
      </c>
      <c r="G57" s="87">
        <v>0.5</v>
      </c>
      <c r="H57" s="97">
        <f t="shared" si="0"/>
        <v>0.5092958178940651</v>
      </c>
      <c r="I57" s="127">
        <f>(M57*1000000)/(365*24*60*60)</f>
        <v>0.00086</v>
      </c>
      <c r="J57" s="97">
        <f t="shared" si="2"/>
        <v>8.6</v>
      </c>
      <c r="K57" s="87">
        <f>1*0.1</f>
        <v>0.1</v>
      </c>
      <c r="L57" s="87">
        <f>1</f>
        <v>1</v>
      </c>
      <c r="M57" s="117">
        <f>(0.01*365*24*60*60*0.1*0.86)/1000000</f>
        <v>0.02712096</v>
      </c>
      <c r="N57" s="80" t="s">
        <v>101</v>
      </c>
      <c r="O57" s="86" t="s">
        <v>607</v>
      </c>
      <c r="P57" s="169" t="s">
        <v>106</v>
      </c>
      <c r="Q57" s="80" t="s">
        <v>344</v>
      </c>
    </row>
    <row r="58" spans="1:17" ht="56.25">
      <c r="A58" s="83" t="s">
        <v>691</v>
      </c>
      <c r="B58" s="87" t="s">
        <v>692</v>
      </c>
      <c r="C58" s="87" t="s">
        <v>1325</v>
      </c>
      <c r="D58" s="87">
        <v>277309</v>
      </c>
      <c r="E58" s="87">
        <v>186704</v>
      </c>
      <c r="F58" s="87">
        <v>51</v>
      </c>
      <c r="G58" s="87">
        <v>0.5</v>
      </c>
      <c r="H58" s="97">
        <f t="shared" si="0"/>
        <v>4.383311045129481</v>
      </c>
      <c r="I58" s="127">
        <f>(M58*1000000)/(365*24*60*60)</f>
        <v>0.000784578668888889</v>
      </c>
      <c r="J58" s="97">
        <f t="shared" si="2"/>
        <v>0.9116000000000002</v>
      </c>
      <c r="K58" s="117">
        <f>('Point sources raw data'!B309/(60*60))*0.74</f>
        <v>0.8606611111111111</v>
      </c>
      <c r="L58" s="117">
        <f>('Point sources raw data'!B309/(60*60))</f>
        <v>1.1630555555555555</v>
      </c>
      <c r="M58" s="116">
        <f>'Point sources raw data'!B312*0.86</f>
        <v>0.024742472902080002</v>
      </c>
      <c r="N58" s="130" t="s">
        <v>480</v>
      </c>
      <c r="O58" s="86" t="s">
        <v>607</v>
      </c>
      <c r="P58" s="170" t="s">
        <v>1588</v>
      </c>
      <c r="Q58" s="80" t="s">
        <v>344</v>
      </c>
    </row>
    <row r="59" spans="1:17" ht="56.25">
      <c r="A59" s="108" t="s">
        <v>1421</v>
      </c>
      <c r="B59" s="87" t="s">
        <v>1422</v>
      </c>
      <c r="C59" s="87" t="s">
        <v>1325</v>
      </c>
      <c r="D59" s="87">
        <v>276939</v>
      </c>
      <c r="E59" s="87">
        <v>186962</v>
      </c>
      <c r="F59" s="87">
        <v>70</v>
      </c>
      <c r="G59" s="87">
        <v>2.85</v>
      </c>
      <c r="H59" s="87"/>
      <c r="I59" s="97"/>
      <c r="J59" s="97"/>
      <c r="K59" s="87"/>
      <c r="L59" s="87"/>
      <c r="M59" s="97"/>
      <c r="N59" s="87"/>
      <c r="O59" s="86" t="s">
        <v>607</v>
      </c>
      <c r="P59" s="169"/>
      <c r="Q59" s="80" t="s">
        <v>343</v>
      </c>
    </row>
    <row r="60" spans="1:17" ht="56.25">
      <c r="A60" s="108" t="s">
        <v>1423</v>
      </c>
      <c r="B60" s="87" t="s">
        <v>1424</v>
      </c>
      <c r="C60" s="87" t="s">
        <v>1325</v>
      </c>
      <c r="D60" s="87">
        <v>276977</v>
      </c>
      <c r="E60" s="87">
        <v>186883</v>
      </c>
      <c r="F60" s="87">
        <v>70</v>
      </c>
      <c r="G60" s="87">
        <v>2.85</v>
      </c>
      <c r="H60" s="87"/>
      <c r="I60" s="60"/>
      <c r="J60" s="60"/>
      <c r="K60" s="60"/>
      <c r="L60" s="60"/>
      <c r="M60" s="60"/>
      <c r="N60" s="60"/>
      <c r="O60" s="86"/>
      <c r="P60" s="169"/>
      <c r="Q60" s="80" t="s">
        <v>343</v>
      </c>
    </row>
    <row r="61" spans="1:17" ht="85.5">
      <c r="A61" s="83" t="s">
        <v>1378</v>
      </c>
      <c r="B61" s="83" t="s">
        <v>1378</v>
      </c>
      <c r="C61" s="87" t="s">
        <v>1385</v>
      </c>
      <c r="D61" s="87">
        <v>277150</v>
      </c>
      <c r="E61" s="87">
        <v>186950</v>
      </c>
      <c r="F61" s="103">
        <v>70</v>
      </c>
      <c r="G61" s="103">
        <v>30.4</v>
      </c>
      <c r="H61" s="117">
        <f>K61/(PI()*(G61/2)^2)</f>
        <v>4.047759892693806</v>
      </c>
      <c r="I61" s="97">
        <f>(M61*1000000)/(365*24*60*60)</f>
        <v>13.24057728944698</v>
      </c>
      <c r="J61" s="97">
        <f>(I61*1000)/K61</f>
        <v>4.5066634749649355</v>
      </c>
      <c r="K61" s="103">
        <f>L61</f>
        <v>2938</v>
      </c>
      <c r="L61" s="103">
        <v>2938</v>
      </c>
      <c r="M61" s="97">
        <f>'PT Diffuse emissions - process'!E25</f>
        <v>417.5548454</v>
      </c>
      <c r="N61" s="80" t="s">
        <v>372</v>
      </c>
      <c r="O61" s="86" t="s">
        <v>607</v>
      </c>
      <c r="P61" s="169" t="s">
        <v>476</v>
      </c>
      <c r="Q61" s="80" t="s">
        <v>345</v>
      </c>
    </row>
    <row r="62" spans="1:17" ht="14.25">
      <c r="A62" s="83" t="s">
        <v>695</v>
      </c>
      <c r="B62" s="87" t="s">
        <v>696</v>
      </c>
      <c r="C62" s="87" t="s">
        <v>1325</v>
      </c>
      <c r="D62" s="87">
        <v>277359</v>
      </c>
      <c r="E62" s="87">
        <v>186691</v>
      </c>
      <c r="F62" s="739" t="s">
        <v>937</v>
      </c>
      <c r="G62" s="740"/>
      <c r="H62" s="740"/>
      <c r="I62" s="740"/>
      <c r="J62" s="740"/>
      <c r="K62" s="740"/>
      <c r="L62" s="740"/>
      <c r="M62" s="740"/>
      <c r="N62" s="740"/>
      <c r="O62" s="740"/>
      <c r="P62" s="740"/>
      <c r="Q62" s="741"/>
    </row>
    <row r="63" spans="1:20" s="107" customFormat="1" ht="15">
      <c r="A63" s="651" t="s">
        <v>599</v>
      </c>
      <c r="B63" s="635"/>
      <c r="C63" s="635"/>
      <c r="D63" s="635"/>
      <c r="E63" s="635"/>
      <c r="F63" s="635"/>
      <c r="G63" s="635"/>
      <c r="H63" s="635"/>
      <c r="I63" s="635"/>
      <c r="J63" s="635"/>
      <c r="K63" s="635"/>
      <c r="L63" s="635"/>
      <c r="M63" s="635"/>
      <c r="N63" s="635"/>
      <c r="O63" s="635"/>
      <c r="P63" s="652"/>
      <c r="Q63" s="636"/>
      <c r="S63" s="106"/>
      <c r="T63" s="106"/>
    </row>
    <row r="64" spans="1:17" ht="85.5">
      <c r="A64" s="134" t="s">
        <v>475</v>
      </c>
      <c r="B64" s="109" t="s">
        <v>697</v>
      </c>
      <c r="C64" s="109" t="s">
        <v>1385</v>
      </c>
      <c r="D64" s="109">
        <v>277044</v>
      </c>
      <c r="E64" s="109">
        <v>185814</v>
      </c>
      <c r="F64" s="103">
        <v>10</v>
      </c>
      <c r="G64" s="103">
        <v>0</v>
      </c>
      <c r="H64" s="109">
        <v>1</v>
      </c>
      <c r="I64" s="223">
        <f>(M64*1000000)/(365*24*60*60)</f>
        <v>1.0318051012062412</v>
      </c>
      <c r="J64" s="155" t="s">
        <v>107</v>
      </c>
      <c r="K64" s="109" t="s">
        <v>34</v>
      </c>
      <c r="L64" s="109" t="s">
        <v>34</v>
      </c>
      <c r="M64" s="110">
        <f>'PT Diffuse emissions - process'!C7+'PT Diffuse emissions - process'!E10+'PT Diffuse emissions - process'!E13+'PT Diffuse emissions - process'!E16</f>
        <v>32.53900567164003</v>
      </c>
      <c r="N64" s="109" t="s">
        <v>808</v>
      </c>
      <c r="O64" s="111" t="s">
        <v>1374</v>
      </c>
      <c r="P64" s="170" t="s">
        <v>902</v>
      </c>
      <c r="Q64" s="130" t="s">
        <v>346</v>
      </c>
    </row>
    <row r="65" spans="1:17" ht="75">
      <c r="A65" s="83" t="s">
        <v>698</v>
      </c>
      <c r="B65" s="87" t="s">
        <v>699</v>
      </c>
      <c r="C65" s="87" t="s">
        <v>1325</v>
      </c>
      <c r="D65" s="87">
        <v>277062</v>
      </c>
      <c r="E65" s="87">
        <v>185795</v>
      </c>
      <c r="F65" s="87">
        <v>127</v>
      </c>
      <c r="G65" s="87">
        <v>4.5</v>
      </c>
      <c r="H65" s="117">
        <f>K65/(PI()*(G65/2)^2)</f>
        <v>3.6817983299212163</v>
      </c>
      <c r="I65" s="117">
        <f>(M65*1000000)/(365*24*60*60)</f>
        <v>0.26066649644633333</v>
      </c>
      <c r="J65" s="97">
        <f>(I65*1000)/K65</f>
        <v>4.451540300136411</v>
      </c>
      <c r="K65" s="101">
        <f>L65</f>
        <v>58.556472337978285</v>
      </c>
      <c r="L65" s="101">
        <f>'Summary combustion sources'!M47</f>
        <v>58.556472337978285</v>
      </c>
      <c r="M65" s="97">
        <f>'Summary combustion sources'!Q47*0.9</f>
        <v>8.220378631931569</v>
      </c>
      <c r="N65" s="80" t="s">
        <v>1394</v>
      </c>
      <c r="O65" s="86" t="s">
        <v>1374</v>
      </c>
      <c r="P65" s="169" t="s">
        <v>1595</v>
      </c>
      <c r="Q65" s="130" t="s">
        <v>347</v>
      </c>
    </row>
    <row r="66" spans="1:17" ht="56.25">
      <c r="A66" s="83" t="s">
        <v>1426</v>
      </c>
      <c r="B66" s="87" t="s">
        <v>701</v>
      </c>
      <c r="C66" s="87" t="s">
        <v>1325</v>
      </c>
      <c r="D66" s="87">
        <v>277174</v>
      </c>
      <c r="E66" s="87">
        <v>185691</v>
      </c>
      <c r="F66" s="87">
        <v>20</v>
      </c>
      <c r="G66" s="87">
        <v>1.4</v>
      </c>
      <c r="H66" s="117">
        <f>K66/(PI()*(G66/2)^2)</f>
        <v>6.70053353821094</v>
      </c>
      <c r="I66" s="117">
        <f>(M66*1000000)/(365*24*60*60)</f>
        <v>0.236625988125</v>
      </c>
      <c r="J66" s="97">
        <f>(I66*1000)/K66</f>
        <v>22.940723079361725</v>
      </c>
      <c r="K66" s="97">
        <f>('Point sources raw data'!F16/(60*60))*0.981</f>
        <v>10.31467</v>
      </c>
      <c r="L66" s="97">
        <f>('Point sources raw data'!F16/(60*60))</f>
        <v>10.514444444444445</v>
      </c>
      <c r="M66" s="97">
        <f>'Point sources raw data'!F19*0.95</f>
        <v>7.46223716151</v>
      </c>
      <c r="N66" s="80" t="s">
        <v>971</v>
      </c>
      <c r="O66" s="86" t="s">
        <v>1374</v>
      </c>
      <c r="P66" s="169" t="s">
        <v>898</v>
      </c>
      <c r="Q66" s="80" t="s">
        <v>172</v>
      </c>
    </row>
    <row r="67" spans="1:17" ht="56.25">
      <c r="A67" s="83" t="s">
        <v>1375</v>
      </c>
      <c r="B67" s="87" t="s">
        <v>1313</v>
      </c>
      <c r="C67" s="87" t="s">
        <v>1325</v>
      </c>
      <c r="D67" s="87">
        <v>277017</v>
      </c>
      <c r="E67" s="87">
        <v>185806</v>
      </c>
      <c r="F67" s="87">
        <v>50</v>
      </c>
      <c r="G67" s="87">
        <v>3</v>
      </c>
      <c r="H67" s="87"/>
      <c r="I67" s="97"/>
      <c r="J67" s="97"/>
      <c r="K67" s="87"/>
      <c r="L67" s="87"/>
      <c r="M67" s="97"/>
      <c r="N67" s="87"/>
      <c r="O67" s="86" t="s">
        <v>1374</v>
      </c>
      <c r="P67" s="86" t="s">
        <v>1596</v>
      </c>
      <c r="Q67" s="80" t="s">
        <v>348</v>
      </c>
    </row>
    <row r="68" spans="1:17" ht="71.25">
      <c r="A68" s="83" t="s">
        <v>1427</v>
      </c>
      <c r="B68" s="87" t="s">
        <v>949</v>
      </c>
      <c r="C68" s="87" t="s">
        <v>1325</v>
      </c>
      <c r="D68" s="87">
        <v>185500</v>
      </c>
      <c r="E68" s="87">
        <v>277500</v>
      </c>
      <c r="F68" s="87">
        <v>20</v>
      </c>
      <c r="G68" s="87">
        <v>0.5</v>
      </c>
      <c r="H68" s="117"/>
      <c r="I68" s="116"/>
      <c r="J68" s="97"/>
      <c r="K68" s="87"/>
      <c r="L68" s="87"/>
      <c r="M68" s="116"/>
      <c r="N68" s="87"/>
      <c r="O68" s="86"/>
      <c r="P68" s="169" t="s">
        <v>899</v>
      </c>
      <c r="Q68" s="80" t="s">
        <v>172</v>
      </c>
    </row>
    <row r="69" spans="1:17" ht="18.75">
      <c r="A69" s="83" t="s">
        <v>1428</v>
      </c>
      <c r="B69" s="87" t="s">
        <v>703</v>
      </c>
      <c r="C69" s="87" t="s">
        <v>1325</v>
      </c>
      <c r="D69" s="87">
        <v>277150</v>
      </c>
      <c r="E69" s="87">
        <v>185250</v>
      </c>
      <c r="F69" s="87">
        <v>65</v>
      </c>
      <c r="G69" s="87">
        <v>1</v>
      </c>
      <c r="H69" s="87"/>
      <c r="I69" s="97"/>
      <c r="J69" s="97"/>
      <c r="K69" s="87"/>
      <c r="L69" s="87"/>
      <c r="M69" s="97"/>
      <c r="N69" s="87"/>
      <c r="O69" s="86" t="s">
        <v>1374</v>
      </c>
      <c r="P69" s="86" t="s">
        <v>1596</v>
      </c>
      <c r="Q69" s="87" t="s">
        <v>349</v>
      </c>
    </row>
    <row r="70" spans="1:17" ht="37.5">
      <c r="A70" s="128" t="s">
        <v>704</v>
      </c>
      <c r="B70" s="87" t="s">
        <v>350</v>
      </c>
      <c r="C70" s="87" t="s">
        <v>1325</v>
      </c>
      <c r="D70" s="87">
        <v>277148</v>
      </c>
      <c r="E70" s="87">
        <v>185704</v>
      </c>
      <c r="F70" s="87">
        <v>35</v>
      </c>
      <c r="G70" s="105">
        <v>5.1</v>
      </c>
      <c r="H70" s="105"/>
      <c r="I70" s="97"/>
      <c r="J70" s="97"/>
      <c r="K70" s="87"/>
      <c r="L70" s="87"/>
      <c r="M70" s="97"/>
      <c r="N70" s="87"/>
      <c r="O70" s="86" t="s">
        <v>1374</v>
      </c>
      <c r="P70" s="169" t="s">
        <v>17</v>
      </c>
      <c r="Q70" s="80" t="s">
        <v>351</v>
      </c>
    </row>
    <row r="71" spans="1:17" ht="57">
      <c r="A71" s="83" t="s">
        <v>1429</v>
      </c>
      <c r="B71" s="87" t="s">
        <v>1430</v>
      </c>
      <c r="C71" s="87" t="s">
        <v>1325</v>
      </c>
      <c r="D71" s="87">
        <v>185800</v>
      </c>
      <c r="E71" s="87">
        <v>277100</v>
      </c>
      <c r="F71" s="87">
        <v>30</v>
      </c>
      <c r="G71" s="105"/>
      <c r="H71" s="105"/>
      <c r="I71" s="97"/>
      <c r="J71" s="97"/>
      <c r="K71" s="87"/>
      <c r="L71" s="87"/>
      <c r="M71" s="97"/>
      <c r="N71" s="87"/>
      <c r="O71" s="86"/>
      <c r="P71" s="169" t="s">
        <v>900</v>
      </c>
      <c r="Q71" s="173"/>
    </row>
    <row r="72" spans="1:17" ht="42.75">
      <c r="A72" s="128" t="s">
        <v>1432</v>
      </c>
      <c r="B72" s="87" t="s">
        <v>1431</v>
      </c>
      <c r="C72" s="87" t="s">
        <v>1325</v>
      </c>
      <c r="D72" s="87">
        <v>277029</v>
      </c>
      <c r="E72" s="87">
        <v>186005</v>
      </c>
      <c r="F72" s="87">
        <v>43.7</v>
      </c>
      <c r="G72" s="168">
        <f>2*((88.8/PI())^0.5)</f>
        <v>10.633140249826598</v>
      </c>
      <c r="H72" s="117">
        <f>K72/(PI()*(G72/2)^2)</f>
        <v>1.283783783783784</v>
      </c>
      <c r="I72" s="97">
        <f>(M72*1000000)/(365*24*60*60)</f>
        <v>0.0882792543759513</v>
      </c>
      <c r="J72" s="97">
        <f>(I72*1000)/K72</f>
        <v>0.7743794243504499</v>
      </c>
      <c r="K72" s="87">
        <v>114</v>
      </c>
      <c r="L72" s="87">
        <v>114</v>
      </c>
      <c r="M72" s="97">
        <f>'Point sources'!I6</f>
        <v>2.783974566</v>
      </c>
      <c r="N72" s="87" t="s">
        <v>808</v>
      </c>
      <c r="O72" s="86" t="s">
        <v>1331</v>
      </c>
      <c r="P72" s="169" t="s">
        <v>108</v>
      </c>
      <c r="Q72" s="80" t="s">
        <v>351</v>
      </c>
    </row>
    <row r="73" spans="1:17" ht="14.25">
      <c r="A73" s="128" t="s">
        <v>1433</v>
      </c>
      <c r="B73" s="87" t="s">
        <v>1436</v>
      </c>
      <c r="C73" s="87" t="s">
        <v>1385</v>
      </c>
      <c r="D73" s="87"/>
      <c r="E73" s="87"/>
      <c r="F73" s="87"/>
      <c r="G73" s="105"/>
      <c r="H73" s="105"/>
      <c r="I73" s="97"/>
      <c r="J73" s="97"/>
      <c r="K73" s="87"/>
      <c r="L73" s="87"/>
      <c r="M73" s="97"/>
      <c r="N73" s="87"/>
      <c r="O73" s="86"/>
      <c r="P73" s="86"/>
      <c r="Q73" s="87"/>
    </row>
    <row r="74" spans="1:17" ht="14.25">
      <c r="A74" s="128" t="s">
        <v>1434</v>
      </c>
      <c r="B74" s="87" t="s">
        <v>1436</v>
      </c>
      <c r="C74" s="87" t="s">
        <v>1385</v>
      </c>
      <c r="D74" s="87"/>
      <c r="E74" s="87"/>
      <c r="F74" s="87"/>
      <c r="G74" s="105"/>
      <c r="H74" s="105"/>
      <c r="I74" s="97"/>
      <c r="J74" s="97"/>
      <c r="K74" s="87"/>
      <c r="L74" s="87"/>
      <c r="M74" s="97"/>
      <c r="N74" s="87"/>
      <c r="O74" s="86"/>
      <c r="P74" s="86"/>
      <c r="Q74" s="87"/>
    </row>
    <row r="75" spans="1:17" ht="57">
      <c r="A75" s="132" t="s">
        <v>1586</v>
      </c>
      <c r="B75" s="87" t="s">
        <v>1436</v>
      </c>
      <c r="C75" s="87" t="s">
        <v>1385</v>
      </c>
      <c r="D75" s="87"/>
      <c r="E75" s="87"/>
      <c r="F75" s="87"/>
      <c r="G75" s="105"/>
      <c r="H75" s="105"/>
      <c r="I75" s="97"/>
      <c r="J75" s="97"/>
      <c r="K75" s="87"/>
      <c r="L75" s="87"/>
      <c r="M75" s="97"/>
      <c r="N75" s="87"/>
      <c r="O75" s="86"/>
      <c r="P75" s="169" t="s">
        <v>901</v>
      </c>
      <c r="Q75" s="87"/>
    </row>
    <row r="76" spans="1:17" ht="35.25" customHeight="1">
      <c r="A76" s="133" t="s">
        <v>752</v>
      </c>
      <c r="B76" s="742" t="s">
        <v>752</v>
      </c>
      <c r="C76" s="647" t="s">
        <v>1385</v>
      </c>
      <c r="D76" s="647">
        <v>277400</v>
      </c>
      <c r="E76" s="647">
        <v>185130</v>
      </c>
      <c r="F76" s="727">
        <v>10</v>
      </c>
      <c r="G76" s="727">
        <v>0</v>
      </c>
      <c r="H76" s="727">
        <v>15</v>
      </c>
      <c r="I76" s="728">
        <f>(M76*1000000)/(365*24*60*60)</f>
        <v>0.6883714181091557</v>
      </c>
      <c r="J76" s="743" t="s">
        <v>1391</v>
      </c>
      <c r="K76" s="647">
        <v>0</v>
      </c>
      <c r="L76" s="647">
        <v>0</v>
      </c>
      <c r="M76" s="730">
        <f>'Diffuse emissions summary'!F32</f>
        <v>21.708481041490334</v>
      </c>
      <c r="N76" s="647" t="s">
        <v>808</v>
      </c>
      <c r="O76" s="647" t="s">
        <v>1331</v>
      </c>
      <c r="P76" s="694" t="s">
        <v>1585</v>
      </c>
      <c r="Q76" s="709" t="s">
        <v>172</v>
      </c>
    </row>
    <row r="77" spans="1:17" ht="14.25">
      <c r="A77" s="83" t="s">
        <v>1435</v>
      </c>
      <c r="B77" s="735"/>
      <c r="C77" s="732"/>
      <c r="D77" s="732"/>
      <c r="E77" s="732"/>
      <c r="F77" s="565"/>
      <c r="G77" s="565"/>
      <c r="H77" s="565"/>
      <c r="I77" s="729"/>
      <c r="J77" s="744"/>
      <c r="K77" s="565"/>
      <c r="L77" s="565"/>
      <c r="M77" s="731"/>
      <c r="N77" s="732"/>
      <c r="O77" s="732"/>
      <c r="P77" s="696"/>
      <c r="Q77" s="706"/>
    </row>
    <row r="78" spans="1:20" s="93" customFormat="1" ht="36.75" customHeight="1">
      <c r="A78" s="651" t="s">
        <v>1437</v>
      </c>
      <c r="B78" s="745"/>
      <c r="C78" s="745"/>
      <c r="D78" s="745"/>
      <c r="E78" s="745"/>
      <c r="F78" s="745"/>
      <c r="G78" s="745"/>
      <c r="H78" s="745"/>
      <c r="I78" s="745"/>
      <c r="J78" s="745"/>
      <c r="K78" s="745"/>
      <c r="L78" s="745"/>
      <c r="M78" s="745"/>
      <c r="N78" s="745"/>
      <c r="O78" s="745"/>
      <c r="P78" s="740"/>
      <c r="Q78" s="741"/>
      <c r="S78" s="94" t="s">
        <v>1465</v>
      </c>
      <c r="T78" s="79"/>
    </row>
    <row r="79" spans="1:17" ht="28.5">
      <c r="A79" s="128" t="s">
        <v>1438</v>
      </c>
      <c r="B79" s="87" t="s">
        <v>1439</v>
      </c>
      <c r="C79" s="87" t="s">
        <v>1325</v>
      </c>
      <c r="D79" s="87"/>
      <c r="E79" s="87"/>
      <c r="F79" s="87"/>
      <c r="G79" s="105"/>
      <c r="H79" s="105"/>
      <c r="I79" s="97"/>
      <c r="J79" s="97"/>
      <c r="K79" s="87"/>
      <c r="L79" s="87"/>
      <c r="M79" s="97"/>
      <c r="N79" s="87"/>
      <c r="O79" s="86"/>
      <c r="P79" s="169" t="s">
        <v>903</v>
      </c>
      <c r="Q79" s="80"/>
    </row>
    <row r="80" spans="1:17" ht="37.5">
      <c r="A80" s="83" t="s">
        <v>1440</v>
      </c>
      <c r="B80" s="87" t="s">
        <v>1441</v>
      </c>
      <c r="C80" s="87" t="s">
        <v>1325</v>
      </c>
      <c r="D80" s="87"/>
      <c r="E80" s="87"/>
      <c r="F80" s="87"/>
      <c r="G80" s="105"/>
      <c r="H80" s="105"/>
      <c r="I80" s="97"/>
      <c r="J80" s="97"/>
      <c r="K80" s="87"/>
      <c r="L80" s="87"/>
      <c r="M80" s="97"/>
      <c r="N80" s="87"/>
      <c r="O80" s="86"/>
      <c r="P80" s="169" t="s">
        <v>904</v>
      </c>
      <c r="Q80" s="80" t="s">
        <v>736</v>
      </c>
    </row>
    <row r="81" spans="1:17" ht="28.5">
      <c r="A81" s="128" t="s">
        <v>1442</v>
      </c>
      <c r="B81" s="87" t="s">
        <v>1443</v>
      </c>
      <c r="C81" s="87" t="s">
        <v>1325</v>
      </c>
      <c r="D81" s="87"/>
      <c r="E81" s="87"/>
      <c r="F81" s="87"/>
      <c r="G81" s="105"/>
      <c r="H81" s="105"/>
      <c r="I81" s="97"/>
      <c r="J81" s="97"/>
      <c r="K81" s="87"/>
      <c r="L81" s="87"/>
      <c r="M81" s="97"/>
      <c r="N81" s="87"/>
      <c r="O81" s="86"/>
      <c r="P81" s="169" t="s">
        <v>903</v>
      </c>
      <c r="Q81" s="173"/>
    </row>
    <row r="82" spans="1:17" ht="14.25">
      <c r="A82" s="83" t="s">
        <v>724</v>
      </c>
      <c r="B82" s="87" t="s">
        <v>725</v>
      </c>
      <c r="C82" s="87" t="s">
        <v>1325</v>
      </c>
      <c r="D82" s="87">
        <v>278100</v>
      </c>
      <c r="E82" s="87">
        <v>186500</v>
      </c>
      <c r="F82" s="739" t="s">
        <v>937</v>
      </c>
      <c r="G82" s="740"/>
      <c r="H82" s="740"/>
      <c r="I82" s="740"/>
      <c r="J82" s="740"/>
      <c r="K82" s="740"/>
      <c r="L82" s="740"/>
      <c r="M82" s="740"/>
      <c r="N82" s="740"/>
      <c r="O82" s="740"/>
      <c r="P82" s="740"/>
      <c r="Q82" s="741"/>
    </row>
    <row r="83" spans="1:17" ht="14.25">
      <c r="A83" s="128" t="s">
        <v>1444</v>
      </c>
      <c r="B83" s="87" t="s">
        <v>1445</v>
      </c>
      <c r="C83" s="87" t="s">
        <v>1325</v>
      </c>
      <c r="D83" s="87"/>
      <c r="E83" s="87"/>
      <c r="F83" s="87"/>
      <c r="G83" s="105"/>
      <c r="H83" s="105"/>
      <c r="I83" s="97"/>
      <c r="J83" s="97"/>
      <c r="K83" s="87"/>
      <c r="L83" s="87"/>
      <c r="M83" s="97"/>
      <c r="N83" s="87"/>
      <c r="O83" s="86"/>
      <c r="P83" s="694" t="s">
        <v>905</v>
      </c>
      <c r="Q83" s="704"/>
    </row>
    <row r="84" spans="1:17" ht="14.25">
      <c r="A84" s="128" t="s">
        <v>1444</v>
      </c>
      <c r="B84" s="87" t="s">
        <v>1446</v>
      </c>
      <c r="C84" s="87" t="s">
        <v>1325</v>
      </c>
      <c r="D84" s="87"/>
      <c r="E84" s="87"/>
      <c r="F84" s="87"/>
      <c r="G84" s="105"/>
      <c r="H84" s="105"/>
      <c r="I84" s="97"/>
      <c r="J84" s="97"/>
      <c r="K84" s="87"/>
      <c r="L84" s="87"/>
      <c r="M84" s="97"/>
      <c r="N84" s="87"/>
      <c r="O84" s="86"/>
      <c r="P84" s="695"/>
      <c r="Q84" s="705"/>
    </row>
    <row r="85" spans="1:17" ht="14.25">
      <c r="A85" s="128" t="s">
        <v>1444</v>
      </c>
      <c r="B85" s="87" t="s">
        <v>1447</v>
      </c>
      <c r="C85" s="87" t="s">
        <v>1325</v>
      </c>
      <c r="D85" s="87"/>
      <c r="E85" s="87"/>
      <c r="F85" s="87"/>
      <c r="G85" s="105"/>
      <c r="H85" s="105"/>
      <c r="I85" s="97"/>
      <c r="J85" s="97"/>
      <c r="K85" s="87"/>
      <c r="L85" s="87"/>
      <c r="M85" s="97"/>
      <c r="N85" s="87"/>
      <c r="O85" s="86"/>
      <c r="P85" s="695"/>
      <c r="Q85" s="705"/>
    </row>
    <row r="86" spans="1:20" ht="14.25">
      <c r="A86" s="128" t="s">
        <v>1444</v>
      </c>
      <c r="B86" s="87" t="s">
        <v>1448</v>
      </c>
      <c r="C86" s="87" t="s">
        <v>1325</v>
      </c>
      <c r="D86" s="87"/>
      <c r="E86" s="87"/>
      <c r="F86" s="87"/>
      <c r="G86" s="105"/>
      <c r="H86" s="105"/>
      <c r="I86" s="97"/>
      <c r="J86" s="97"/>
      <c r="K86" s="87"/>
      <c r="L86" s="87"/>
      <c r="M86" s="97"/>
      <c r="N86" s="87"/>
      <c r="O86" s="86"/>
      <c r="P86" s="695"/>
      <c r="Q86" s="705"/>
      <c r="S86" s="100"/>
      <c r="T86" s="100"/>
    </row>
    <row r="87" spans="1:20" s="99" customFormat="1" ht="14.25">
      <c r="A87" s="128" t="s">
        <v>1444</v>
      </c>
      <c r="B87" s="87" t="s">
        <v>1449</v>
      </c>
      <c r="C87" s="87" t="s">
        <v>1325</v>
      </c>
      <c r="D87" s="87"/>
      <c r="E87" s="87"/>
      <c r="F87" s="87"/>
      <c r="G87" s="105"/>
      <c r="H87" s="105"/>
      <c r="I87" s="97"/>
      <c r="J87" s="97"/>
      <c r="K87" s="87"/>
      <c r="L87" s="87"/>
      <c r="M87" s="97"/>
      <c r="N87" s="87"/>
      <c r="O87" s="86"/>
      <c r="P87" s="696"/>
      <c r="Q87" s="706"/>
      <c r="S87" s="79"/>
      <c r="T87" s="79"/>
    </row>
    <row r="88" spans="1:17" ht="25.5" customHeight="1">
      <c r="A88" s="128" t="s">
        <v>1450</v>
      </c>
      <c r="B88" s="87" t="s">
        <v>1453</v>
      </c>
      <c r="C88" s="87" t="s">
        <v>1325</v>
      </c>
      <c r="D88" s="87"/>
      <c r="E88" s="87"/>
      <c r="F88" s="87"/>
      <c r="G88" s="105"/>
      <c r="H88" s="105"/>
      <c r="I88" s="97"/>
      <c r="J88" s="97"/>
      <c r="K88" s="87"/>
      <c r="L88" s="87"/>
      <c r="M88" s="97"/>
      <c r="N88" s="87"/>
      <c r="O88" s="86"/>
      <c r="P88" s="694" t="s">
        <v>906</v>
      </c>
      <c r="Q88" s="704"/>
    </row>
    <row r="89" spans="1:17" ht="25.5" customHeight="1">
      <c r="A89" s="128" t="s">
        <v>1451</v>
      </c>
      <c r="B89" s="87" t="s">
        <v>1454</v>
      </c>
      <c r="C89" s="87" t="s">
        <v>1325</v>
      </c>
      <c r="D89" s="87"/>
      <c r="E89" s="87"/>
      <c r="F89" s="87"/>
      <c r="G89" s="105"/>
      <c r="H89" s="105"/>
      <c r="I89" s="97"/>
      <c r="J89" s="97"/>
      <c r="K89" s="87"/>
      <c r="L89" s="87"/>
      <c r="M89" s="97"/>
      <c r="N89" s="87"/>
      <c r="O89" s="86"/>
      <c r="P89" s="695"/>
      <c r="Q89" s="705"/>
    </row>
    <row r="90" spans="1:17" ht="25.5" customHeight="1">
      <c r="A90" s="128" t="s">
        <v>1452</v>
      </c>
      <c r="B90" s="87" t="s">
        <v>1455</v>
      </c>
      <c r="C90" s="87" t="s">
        <v>1325</v>
      </c>
      <c r="D90" s="87"/>
      <c r="E90" s="87"/>
      <c r="F90" s="87"/>
      <c r="G90" s="105"/>
      <c r="H90" s="105"/>
      <c r="I90" s="97"/>
      <c r="J90" s="97"/>
      <c r="K90" s="87"/>
      <c r="L90" s="87"/>
      <c r="M90" s="97"/>
      <c r="N90" s="87"/>
      <c r="O90" s="86"/>
      <c r="P90" s="696"/>
      <c r="Q90" s="706"/>
    </row>
    <row r="91" spans="1:20" s="99" customFormat="1" ht="57">
      <c r="A91" s="128" t="s">
        <v>1380</v>
      </c>
      <c r="B91" s="87" t="s">
        <v>808</v>
      </c>
      <c r="C91" s="87" t="s">
        <v>1385</v>
      </c>
      <c r="D91" s="87"/>
      <c r="E91" s="87"/>
      <c r="F91" s="87"/>
      <c r="G91" s="87"/>
      <c r="H91" s="87"/>
      <c r="I91" s="97">
        <f>(M91*1000000)/(365*24*60*60)</f>
        <v>2.958109617808219</v>
      </c>
      <c r="J91" s="102"/>
      <c r="K91" s="87"/>
      <c r="L91" s="87"/>
      <c r="M91" s="102">
        <f>'PT Diffuse emissions - process'!E31</f>
        <v>93.2869449072</v>
      </c>
      <c r="N91" s="60"/>
      <c r="O91" s="86" t="s">
        <v>1332</v>
      </c>
      <c r="P91" s="169" t="s">
        <v>169</v>
      </c>
      <c r="Q91" s="80"/>
      <c r="S91" s="100"/>
      <c r="T91" s="100"/>
    </row>
    <row r="92" spans="1:20" s="99" customFormat="1" ht="15">
      <c r="A92" s="651" t="s">
        <v>741</v>
      </c>
      <c r="B92" s="635"/>
      <c r="C92" s="635"/>
      <c r="D92" s="635"/>
      <c r="E92" s="635"/>
      <c r="F92" s="635"/>
      <c r="G92" s="635"/>
      <c r="H92" s="635"/>
      <c r="I92" s="635"/>
      <c r="J92" s="635"/>
      <c r="K92" s="635"/>
      <c r="L92" s="635"/>
      <c r="M92" s="635"/>
      <c r="N92" s="635"/>
      <c r="O92" s="635"/>
      <c r="P92" s="652"/>
      <c r="Q92" s="636"/>
      <c r="S92" s="100"/>
      <c r="T92" s="100"/>
    </row>
    <row r="93" spans="1:20" s="99" customFormat="1" ht="75">
      <c r="A93" s="108" t="s">
        <v>1457</v>
      </c>
      <c r="B93" s="87" t="s">
        <v>958</v>
      </c>
      <c r="C93" s="109" t="s">
        <v>1325</v>
      </c>
      <c r="D93" s="109">
        <v>277988</v>
      </c>
      <c r="E93" s="109">
        <v>187023</v>
      </c>
      <c r="F93" s="109">
        <v>110</v>
      </c>
      <c r="G93" s="110">
        <v>3.3</v>
      </c>
      <c r="H93" s="117">
        <f>K93/(PI()*(G93/2)^2)</f>
        <v>3.4574849389476188</v>
      </c>
      <c r="I93" s="117">
        <f>(M93*1000000)/(365*24*60*60)</f>
        <v>0.14084489347716328</v>
      </c>
      <c r="J93" s="97">
        <f>1000*(I93/K93)</f>
        <v>4.762807705540967</v>
      </c>
      <c r="K93" s="97">
        <f>L93</f>
        <v>29.571820275949158</v>
      </c>
      <c r="L93" s="97">
        <f>'Summary combustion sources'!M54</f>
        <v>29.571820275949158</v>
      </c>
      <c r="M93" s="97">
        <f>'Summary combustion sources'!Q54</f>
        <v>4.441684560695822</v>
      </c>
      <c r="N93" s="104" t="s">
        <v>21</v>
      </c>
      <c r="O93" s="111" t="s">
        <v>1332</v>
      </c>
      <c r="P93" s="169" t="s">
        <v>22</v>
      </c>
      <c r="Q93" s="80" t="s">
        <v>352</v>
      </c>
      <c r="S93" s="100"/>
      <c r="T93" s="100"/>
    </row>
    <row r="94" spans="1:17" ht="75">
      <c r="A94" s="108" t="s">
        <v>1456</v>
      </c>
      <c r="B94" s="87" t="s">
        <v>962</v>
      </c>
      <c r="C94" s="109" t="s">
        <v>1325</v>
      </c>
      <c r="D94" s="109">
        <v>277988</v>
      </c>
      <c r="E94" s="109">
        <v>187023</v>
      </c>
      <c r="F94" s="109">
        <v>110</v>
      </c>
      <c r="G94" s="110">
        <v>3.3</v>
      </c>
      <c r="H94" s="117">
        <f>K94/(PI()*(G94/2)^2)</f>
        <v>4.117760602574213</v>
      </c>
      <c r="I94" s="117">
        <f>(M94*1000000)/(365*24*60*60)</f>
        <v>0.15679513555693989</v>
      </c>
      <c r="J94" s="97">
        <f>1000*(I94/K94)</f>
        <v>4.451985382281592</v>
      </c>
      <c r="K94" s="97">
        <f>L94</f>
        <v>35.21914878269078</v>
      </c>
      <c r="L94" s="97">
        <f>'Summary combustion sources'!M55</f>
        <v>35.21914878269078</v>
      </c>
      <c r="M94" s="97">
        <f>'Summary combustion sources'!Q55</f>
        <v>4.944691394923656</v>
      </c>
      <c r="N94" s="104" t="s">
        <v>21</v>
      </c>
      <c r="O94" s="111" t="s">
        <v>1332</v>
      </c>
      <c r="P94" s="169" t="s">
        <v>22</v>
      </c>
      <c r="Q94" s="80" t="s">
        <v>352</v>
      </c>
    </row>
    <row r="95" spans="1:20" s="107" customFormat="1" ht="42.75">
      <c r="A95" s="188" t="s">
        <v>717</v>
      </c>
      <c r="B95" s="190" t="s">
        <v>368</v>
      </c>
      <c r="C95" s="193" t="s">
        <v>1325</v>
      </c>
      <c r="D95" s="193">
        <v>277988</v>
      </c>
      <c r="E95" s="193">
        <v>187023</v>
      </c>
      <c r="F95" s="193">
        <v>110</v>
      </c>
      <c r="G95" s="191">
        <f>2*(((2*(PI()*(G93/2)^2))/PI())^0.5)</f>
        <v>4.666904755831213</v>
      </c>
      <c r="H95" s="185">
        <f>K95/(PI()*(G95/2)^2)</f>
        <v>3.7876227707609162</v>
      </c>
      <c r="I95" s="266">
        <f>(M95*1000000)/(365*24*60*60)</f>
        <v>0.2976400290341032</v>
      </c>
      <c r="J95" s="184">
        <f>1000*(I95/K95)</f>
        <v>4.593850552917646</v>
      </c>
      <c r="K95" s="191">
        <f>SUM(K93:K94)</f>
        <v>64.79096905863994</v>
      </c>
      <c r="L95" s="191">
        <f>SUM(L93:L94)</f>
        <v>64.79096905863994</v>
      </c>
      <c r="M95" s="191">
        <f>SUM(M93:M94)</f>
        <v>9.386375955619478</v>
      </c>
      <c r="N95" s="193"/>
      <c r="O95" s="192" t="s">
        <v>1332</v>
      </c>
      <c r="P95" s="194"/>
      <c r="Q95" s="190" t="s">
        <v>367</v>
      </c>
      <c r="S95" s="106"/>
      <c r="T95" s="106"/>
    </row>
    <row r="96" spans="1:20" s="107" customFormat="1" ht="57">
      <c r="A96" s="128" t="s">
        <v>1379</v>
      </c>
      <c r="B96" s="87" t="s">
        <v>808</v>
      </c>
      <c r="C96" s="87" t="s">
        <v>1385</v>
      </c>
      <c r="D96" s="87"/>
      <c r="E96" s="87"/>
      <c r="F96" s="87"/>
      <c r="G96" s="87"/>
      <c r="H96" s="87"/>
      <c r="I96" s="97">
        <f>(M96*1000000)/(365*24*60*60)</f>
        <v>0.7794980661386985</v>
      </c>
      <c r="J96" s="102"/>
      <c r="K96" s="87"/>
      <c r="L96" s="87"/>
      <c r="M96" s="102">
        <f>'PT Diffuse emissions - process'!E28</f>
        <v>24.58225101375</v>
      </c>
      <c r="N96" s="60"/>
      <c r="O96" s="111" t="s">
        <v>1332</v>
      </c>
      <c r="P96" s="169" t="s">
        <v>169</v>
      </c>
      <c r="Q96" s="80"/>
      <c r="S96" s="79"/>
      <c r="T96" s="79"/>
    </row>
    <row r="97" spans="1:17" ht="15">
      <c r="A97" s="651" t="s">
        <v>1458</v>
      </c>
      <c r="B97" s="652"/>
      <c r="C97" s="652"/>
      <c r="D97" s="652"/>
      <c r="E97" s="652"/>
      <c r="F97" s="652"/>
      <c r="G97" s="652"/>
      <c r="H97" s="652"/>
      <c r="I97" s="652"/>
      <c r="J97" s="652"/>
      <c r="K97" s="652"/>
      <c r="L97" s="652"/>
      <c r="M97" s="652"/>
      <c r="N97" s="652"/>
      <c r="O97" s="652"/>
      <c r="P97" s="652"/>
      <c r="Q97" s="636"/>
    </row>
    <row r="98" spans="1:17" ht="37.5">
      <c r="A98" s="83" t="s">
        <v>719</v>
      </c>
      <c r="B98" s="87" t="s">
        <v>720</v>
      </c>
      <c r="C98" s="87" t="s">
        <v>1325</v>
      </c>
      <c r="D98" s="87">
        <v>278300</v>
      </c>
      <c r="E98" s="87">
        <v>185955</v>
      </c>
      <c r="F98" s="87">
        <v>57</v>
      </c>
      <c r="G98" s="87">
        <v>2.7</v>
      </c>
      <c r="H98" s="87"/>
      <c r="I98" s="97"/>
      <c r="J98" s="97"/>
      <c r="K98" s="87">
        <v>11</v>
      </c>
      <c r="L98" s="87">
        <v>11</v>
      </c>
      <c r="M98" s="97"/>
      <c r="N98" s="87"/>
      <c r="O98" s="86" t="s">
        <v>1330</v>
      </c>
      <c r="P98" s="169" t="s">
        <v>904</v>
      </c>
      <c r="Q98" s="80" t="s">
        <v>353</v>
      </c>
    </row>
    <row r="99" spans="1:17" ht="37.5">
      <c r="A99" s="83" t="s">
        <v>722</v>
      </c>
      <c r="B99" s="87" t="s">
        <v>723</v>
      </c>
      <c r="C99" s="87" t="s">
        <v>1325</v>
      </c>
      <c r="D99" s="87">
        <v>278300</v>
      </c>
      <c r="E99" s="87">
        <v>186000</v>
      </c>
      <c r="F99" s="87">
        <v>24</v>
      </c>
      <c r="G99" s="87">
        <v>1</v>
      </c>
      <c r="H99" s="117">
        <f>K99/(PI()*(G99/2)^2)</f>
        <v>5.729577951308232</v>
      </c>
      <c r="I99" s="117">
        <f>(M99*1000000)/(365*24*60*60)</f>
        <v>0.018</v>
      </c>
      <c r="J99" s="97">
        <f>1000*(I99/K99)</f>
        <v>4</v>
      </c>
      <c r="K99" s="87">
        <f>L99*0.9</f>
        <v>4.5</v>
      </c>
      <c r="L99" s="87">
        <v>5</v>
      </c>
      <c r="M99" s="97">
        <f>(0.02*365*24*60*60*0.9)/1000000</f>
        <v>0.567648</v>
      </c>
      <c r="N99" s="87"/>
      <c r="O99" s="86" t="s">
        <v>1330</v>
      </c>
      <c r="P99" s="169" t="s">
        <v>479</v>
      </c>
      <c r="Q99" s="80" t="s">
        <v>172</v>
      </c>
    </row>
    <row r="100" spans="1:17" ht="28.5">
      <c r="A100" s="128" t="s">
        <v>1459</v>
      </c>
      <c r="B100" s="109" t="s">
        <v>1460</v>
      </c>
      <c r="C100" s="109" t="s">
        <v>1325</v>
      </c>
      <c r="D100" s="109"/>
      <c r="E100" s="109"/>
      <c r="F100" s="109"/>
      <c r="G100" s="109"/>
      <c r="H100" s="109"/>
      <c r="I100" s="110"/>
      <c r="J100" s="110"/>
      <c r="K100" s="109"/>
      <c r="L100" s="109"/>
      <c r="M100" s="110"/>
      <c r="N100" s="109"/>
      <c r="O100" s="111"/>
      <c r="P100" s="170" t="s">
        <v>907</v>
      </c>
      <c r="Q100" s="130"/>
    </row>
    <row r="101" spans="1:17" ht="42.75">
      <c r="A101" s="128" t="s">
        <v>1461</v>
      </c>
      <c r="B101" s="109" t="s">
        <v>1462</v>
      </c>
      <c r="C101" s="109" t="s">
        <v>1325</v>
      </c>
      <c r="D101" s="109"/>
      <c r="E101" s="109"/>
      <c r="F101" s="109"/>
      <c r="G101" s="109"/>
      <c r="H101" s="109"/>
      <c r="I101" s="110"/>
      <c r="J101" s="110"/>
      <c r="K101" s="109"/>
      <c r="L101" s="109"/>
      <c r="M101" s="110"/>
      <c r="N101" s="109"/>
      <c r="O101" s="111"/>
      <c r="P101" s="170" t="s">
        <v>908</v>
      </c>
      <c r="Q101" s="130"/>
    </row>
    <row r="102" spans="1:17" ht="15">
      <c r="A102" s="651" t="s">
        <v>1463</v>
      </c>
      <c r="B102" s="635"/>
      <c r="C102" s="635"/>
      <c r="D102" s="635"/>
      <c r="E102" s="635"/>
      <c r="F102" s="635"/>
      <c r="G102" s="635"/>
      <c r="H102" s="635"/>
      <c r="I102" s="635"/>
      <c r="J102" s="635"/>
      <c r="K102" s="635"/>
      <c r="L102" s="635"/>
      <c r="M102" s="635"/>
      <c r="N102" s="635"/>
      <c r="O102" s="635"/>
      <c r="P102" s="652"/>
      <c r="Q102" s="636"/>
    </row>
    <row r="103" spans="1:17" ht="47.25" customHeight="1">
      <c r="A103" s="83" t="s">
        <v>706</v>
      </c>
      <c r="B103" s="87" t="s">
        <v>707</v>
      </c>
      <c r="C103" s="87" t="s">
        <v>1325</v>
      </c>
      <c r="D103" s="87">
        <v>277830</v>
      </c>
      <c r="E103" s="87">
        <v>186664</v>
      </c>
      <c r="F103" s="87">
        <v>68</v>
      </c>
      <c r="G103" s="87">
        <v>2.4</v>
      </c>
      <c r="H103" s="117">
        <f aca="true" t="shared" si="3" ref="H103:H109">K103/(PI()*(G103/2)^2)</f>
        <v>6.415498288563323</v>
      </c>
      <c r="I103" s="116">
        <f aca="true" t="shared" si="4" ref="I103:I109">(M103*1000000)/(365*24*60*60)</f>
        <v>0.08966108423062125</v>
      </c>
      <c r="J103" s="97">
        <f aca="true" t="shared" si="5" ref="J103:J109">1000*(I103/K103)</f>
        <v>3.089308135036227</v>
      </c>
      <c r="K103" s="97">
        <f>L103</f>
        <v>29.023030501154533</v>
      </c>
      <c r="L103" s="97">
        <f>'Summary combustion sources'!M48</f>
        <v>29.023030501154533</v>
      </c>
      <c r="M103" s="97">
        <f>'Summary combustion sources'!Q48</f>
        <v>2.8275519522968717</v>
      </c>
      <c r="N103" s="87" t="s">
        <v>21</v>
      </c>
      <c r="O103" s="86" t="s">
        <v>1332</v>
      </c>
      <c r="P103" s="169" t="s">
        <v>24</v>
      </c>
      <c r="Q103" s="80"/>
    </row>
    <row r="104" spans="1:17" ht="56.25">
      <c r="A104" s="83" t="s">
        <v>26</v>
      </c>
      <c r="B104" s="87" t="s">
        <v>709</v>
      </c>
      <c r="C104" s="87" t="s">
        <v>1325</v>
      </c>
      <c r="D104" s="87">
        <v>277017</v>
      </c>
      <c r="E104" s="87">
        <v>188513</v>
      </c>
      <c r="F104" s="87">
        <v>32</v>
      </c>
      <c r="G104" s="87">
        <v>2.4</v>
      </c>
      <c r="H104" s="117">
        <f t="shared" si="3"/>
        <v>4.352663990644962</v>
      </c>
      <c r="I104" s="116">
        <f t="shared" si="4"/>
        <v>0.03391737280747588</v>
      </c>
      <c r="J104" s="97">
        <f t="shared" si="5"/>
        <v>1.7224820218026946</v>
      </c>
      <c r="K104" s="97">
        <f>L104</f>
        <v>19.690987991839265</v>
      </c>
      <c r="L104" s="97">
        <f>'Summary combustion sources'!M49</f>
        <v>19.690987991839265</v>
      </c>
      <c r="M104" s="97">
        <f>'Summary combustion sources'!Q49</f>
        <v>1.0696182688565594</v>
      </c>
      <c r="N104" s="87" t="s">
        <v>21</v>
      </c>
      <c r="O104" s="86" t="s">
        <v>32</v>
      </c>
      <c r="P104" s="169" t="s">
        <v>25</v>
      </c>
      <c r="Q104" s="80" t="s">
        <v>355</v>
      </c>
    </row>
    <row r="105" spans="1:17" ht="56.25">
      <c r="A105" s="134" t="s">
        <v>157</v>
      </c>
      <c r="B105" s="87" t="s">
        <v>711</v>
      </c>
      <c r="C105" s="87" t="s">
        <v>1325</v>
      </c>
      <c r="D105" s="87">
        <v>277145</v>
      </c>
      <c r="E105" s="87">
        <v>188454</v>
      </c>
      <c r="F105" s="87">
        <v>121</v>
      </c>
      <c r="G105" s="87">
        <v>2.75</v>
      </c>
      <c r="H105" s="117">
        <f t="shared" si="3"/>
        <v>9.117548477993978</v>
      </c>
      <c r="I105" s="117">
        <f t="shared" si="4"/>
        <v>0.186037175075394</v>
      </c>
      <c r="J105" s="97">
        <f t="shared" si="5"/>
        <v>3.4353135791976968</v>
      </c>
      <c r="K105" s="97">
        <f>L105</f>
        <v>54.154350334109004</v>
      </c>
      <c r="L105" s="97">
        <f>'Summary combustion sources'!M50</f>
        <v>54.154350334109004</v>
      </c>
      <c r="M105" s="97">
        <f>'Summary combustion sources'!Q50</f>
        <v>5.866868353177625</v>
      </c>
      <c r="N105" s="87" t="s">
        <v>21</v>
      </c>
      <c r="O105" s="86" t="s">
        <v>1333</v>
      </c>
      <c r="P105" s="169" t="s">
        <v>28</v>
      </c>
      <c r="Q105" s="80" t="s">
        <v>355</v>
      </c>
    </row>
    <row r="106" spans="1:17" ht="49.5" customHeight="1">
      <c r="A106" s="83" t="s">
        <v>27</v>
      </c>
      <c r="B106" s="87" t="s">
        <v>713</v>
      </c>
      <c r="C106" s="87" t="s">
        <v>1325</v>
      </c>
      <c r="D106" s="87">
        <v>277145</v>
      </c>
      <c r="E106" s="87">
        <v>188454</v>
      </c>
      <c r="F106" s="87">
        <v>121</v>
      </c>
      <c r="G106" s="87">
        <v>2.75</v>
      </c>
      <c r="H106" s="117">
        <f t="shared" si="3"/>
        <v>10.585618872139067</v>
      </c>
      <c r="I106" s="117">
        <f t="shared" si="4"/>
        <v>0.1676038508809781</v>
      </c>
      <c r="J106" s="97">
        <f t="shared" si="5"/>
        <v>2.6657073553260844</v>
      </c>
      <c r="K106" s="97">
        <f>L106</f>
        <v>62.87406250581315</v>
      </c>
      <c r="L106" s="97">
        <f>'Summary combustion sources'!M51</f>
        <v>62.87406250581315</v>
      </c>
      <c r="M106" s="97">
        <f>'Summary combustion sources'!Q51</f>
        <v>5.285555041382525</v>
      </c>
      <c r="N106" s="87" t="s">
        <v>21</v>
      </c>
      <c r="O106" s="86" t="s">
        <v>1333</v>
      </c>
      <c r="P106" s="169" t="s">
        <v>29</v>
      </c>
      <c r="Q106" s="80" t="s">
        <v>355</v>
      </c>
    </row>
    <row r="107" spans="1:19" ht="49.5" customHeight="1">
      <c r="A107" s="181" t="s">
        <v>381</v>
      </c>
      <c r="B107" s="182" t="s">
        <v>382</v>
      </c>
      <c r="C107" s="183" t="s">
        <v>1325</v>
      </c>
      <c r="D107" s="183">
        <v>277145</v>
      </c>
      <c r="E107" s="183">
        <v>188454</v>
      </c>
      <c r="F107" s="183">
        <v>121</v>
      </c>
      <c r="G107" s="191">
        <f>2*(((2*(PI()*(G105/2)^2))/PI())^0.5)</f>
        <v>3.8890872965260113</v>
      </c>
      <c r="H107" s="185">
        <f>K107/(PI()*(G107/2)^2)</f>
        <v>9.851583675066523</v>
      </c>
      <c r="I107" s="266">
        <f>(M107*1000000)/(365*24*60*60)</f>
        <v>0.3536410259563721</v>
      </c>
      <c r="J107" s="184">
        <f>1000*(I107/K107)</f>
        <v>3.021839033569579</v>
      </c>
      <c r="K107" s="191">
        <f>SUM(K105:K106)</f>
        <v>117.02841283992215</v>
      </c>
      <c r="L107" s="191">
        <f>SUM(L105:L106)</f>
        <v>117.02841283992215</v>
      </c>
      <c r="M107" s="191">
        <f>SUM(M105:M106)</f>
        <v>11.15242339456015</v>
      </c>
      <c r="N107" s="183"/>
      <c r="O107" s="186"/>
      <c r="P107" s="187"/>
      <c r="Q107" s="182"/>
      <c r="R107" s="195"/>
      <c r="S107" s="196"/>
    </row>
    <row r="108" spans="1:20" s="99" customFormat="1" ht="56.25">
      <c r="A108" s="83" t="s">
        <v>680</v>
      </c>
      <c r="B108" s="87" t="s">
        <v>681</v>
      </c>
      <c r="C108" s="87" t="s">
        <v>1325</v>
      </c>
      <c r="D108" s="87">
        <v>277100</v>
      </c>
      <c r="E108" s="87">
        <v>188200</v>
      </c>
      <c r="F108" s="87">
        <v>37</v>
      </c>
      <c r="G108" s="87">
        <v>2.7</v>
      </c>
      <c r="H108" s="117">
        <f t="shared" si="3"/>
        <v>6.776456612792355</v>
      </c>
      <c r="I108" s="116">
        <f t="shared" si="4"/>
        <v>0.1692688319182824</v>
      </c>
      <c r="J108" s="97">
        <f t="shared" si="5"/>
        <v>4.362715828431248</v>
      </c>
      <c r="K108" s="97">
        <f>L108</f>
        <v>38.798958853835856</v>
      </c>
      <c r="L108" s="97">
        <f>'Summary combustion sources'!M52</f>
        <v>38.798958853835856</v>
      </c>
      <c r="M108" s="97">
        <f>'Summary combustion sources'!Q52</f>
        <v>5.338061883374953</v>
      </c>
      <c r="N108" s="87" t="s">
        <v>21</v>
      </c>
      <c r="O108" s="86" t="s">
        <v>1580</v>
      </c>
      <c r="P108" s="169" t="s">
        <v>31</v>
      </c>
      <c r="Q108" s="80" t="s">
        <v>355</v>
      </c>
      <c r="S108" s="100"/>
      <c r="T108" s="100"/>
    </row>
    <row r="109" spans="1:17" ht="56.25">
      <c r="A109" s="83" t="s">
        <v>714</v>
      </c>
      <c r="B109" s="87" t="s">
        <v>715</v>
      </c>
      <c r="C109" s="87" t="s">
        <v>1325</v>
      </c>
      <c r="D109" s="87">
        <v>276990</v>
      </c>
      <c r="E109" s="87">
        <v>188413</v>
      </c>
      <c r="F109" s="87">
        <v>33</v>
      </c>
      <c r="G109" s="87">
        <v>2.8</v>
      </c>
      <c r="H109" s="117">
        <f t="shared" si="3"/>
        <v>9.206103740891724</v>
      </c>
      <c r="I109" s="116">
        <f t="shared" si="4"/>
        <v>0.07197899048182815</v>
      </c>
      <c r="J109" s="97">
        <f t="shared" si="5"/>
        <v>1.2697667273062285</v>
      </c>
      <c r="K109" s="97">
        <f>L109</f>
        <v>56.68678264591906</v>
      </c>
      <c r="L109" s="97">
        <f>'Summary combustion sources'!M53</f>
        <v>56.68678264591906</v>
      </c>
      <c r="M109" s="97">
        <f>'Summary combustion sources'!Q53</f>
        <v>2.2699294438349327</v>
      </c>
      <c r="N109" s="87" t="s">
        <v>21</v>
      </c>
      <c r="O109" s="86" t="s">
        <v>32</v>
      </c>
      <c r="P109" s="169" t="s">
        <v>33</v>
      </c>
      <c r="Q109" s="80" t="s">
        <v>356</v>
      </c>
    </row>
    <row r="110" spans="1:20" s="107" customFormat="1" ht="15">
      <c r="A110" s="651" t="s">
        <v>1464</v>
      </c>
      <c r="B110" s="635"/>
      <c r="C110" s="635"/>
      <c r="D110" s="635"/>
      <c r="E110" s="635"/>
      <c r="F110" s="635"/>
      <c r="G110" s="635"/>
      <c r="H110" s="635"/>
      <c r="I110" s="635"/>
      <c r="J110" s="635"/>
      <c r="K110" s="635"/>
      <c r="L110" s="635"/>
      <c r="M110" s="635"/>
      <c r="N110" s="635"/>
      <c r="O110" s="635"/>
      <c r="P110" s="699"/>
      <c r="Q110" s="612"/>
      <c r="S110" s="106"/>
      <c r="T110" s="106"/>
    </row>
    <row r="111" spans="1:20" s="107" customFormat="1" ht="37.5">
      <c r="A111" s="108" t="s">
        <v>670</v>
      </c>
      <c r="B111" s="109" t="s">
        <v>671</v>
      </c>
      <c r="C111" s="109" t="s">
        <v>1325</v>
      </c>
      <c r="D111" s="109">
        <v>276900</v>
      </c>
      <c r="E111" s="109">
        <v>187500</v>
      </c>
      <c r="F111" s="109">
        <v>35</v>
      </c>
      <c r="G111" s="109">
        <v>1.2</v>
      </c>
      <c r="H111" s="109"/>
      <c r="I111" s="110"/>
      <c r="J111" s="110"/>
      <c r="K111" s="109">
        <v>2.5</v>
      </c>
      <c r="L111" s="109">
        <v>2.5</v>
      </c>
      <c r="M111" s="110"/>
      <c r="N111" s="109"/>
      <c r="O111" s="111" t="s">
        <v>1331</v>
      </c>
      <c r="P111" s="738" t="s">
        <v>36</v>
      </c>
      <c r="Q111" s="130" t="s">
        <v>357</v>
      </c>
      <c r="S111" s="106"/>
      <c r="T111" s="106"/>
    </row>
    <row r="112" spans="1:20" s="107" customFormat="1" ht="18.75">
      <c r="A112" s="108" t="s">
        <v>1466</v>
      </c>
      <c r="B112" s="109" t="s">
        <v>673</v>
      </c>
      <c r="C112" s="109" t="s">
        <v>1325</v>
      </c>
      <c r="D112" s="109">
        <v>277317</v>
      </c>
      <c r="E112" s="109">
        <v>188089</v>
      </c>
      <c r="F112" s="109">
        <v>73</v>
      </c>
      <c r="G112" s="103">
        <v>1</v>
      </c>
      <c r="H112" s="103"/>
      <c r="I112" s="110"/>
      <c r="J112" s="110"/>
      <c r="K112" s="109">
        <v>0.01</v>
      </c>
      <c r="L112" s="109">
        <v>0.01</v>
      </c>
      <c r="M112" s="110"/>
      <c r="N112" s="109"/>
      <c r="O112" s="111" t="s">
        <v>1329</v>
      </c>
      <c r="P112" s="689"/>
      <c r="Q112" s="130" t="s">
        <v>174</v>
      </c>
      <c r="S112" s="106"/>
      <c r="T112" s="106"/>
    </row>
    <row r="113" spans="1:20" s="93" customFormat="1" ht="36.75" customHeight="1">
      <c r="A113" s="108" t="s">
        <v>1467</v>
      </c>
      <c r="B113" s="109" t="s">
        <v>675</v>
      </c>
      <c r="C113" s="109" t="s">
        <v>1325</v>
      </c>
      <c r="D113" s="109">
        <v>277235</v>
      </c>
      <c r="E113" s="109">
        <v>187832</v>
      </c>
      <c r="F113" s="109">
        <v>73</v>
      </c>
      <c r="G113" s="103">
        <v>1</v>
      </c>
      <c r="H113" s="103"/>
      <c r="I113" s="110"/>
      <c r="J113" s="110"/>
      <c r="K113" s="109">
        <v>0.01</v>
      </c>
      <c r="L113" s="109">
        <v>0.01</v>
      </c>
      <c r="M113" s="110"/>
      <c r="N113" s="109"/>
      <c r="O113" s="111" t="s">
        <v>1328</v>
      </c>
      <c r="P113" s="689"/>
      <c r="Q113" s="130" t="s">
        <v>174</v>
      </c>
      <c r="S113" s="94" t="s">
        <v>1465</v>
      </c>
      <c r="T113" s="79"/>
    </row>
    <row r="114" spans="1:17" ht="14.25">
      <c r="A114" s="83" t="s">
        <v>1468</v>
      </c>
      <c r="B114" s="87" t="s">
        <v>679</v>
      </c>
      <c r="C114" s="87" t="s">
        <v>1325</v>
      </c>
      <c r="D114" s="87">
        <v>277200</v>
      </c>
      <c r="E114" s="87">
        <v>187550</v>
      </c>
      <c r="F114" s="87">
        <v>54</v>
      </c>
      <c r="G114" s="87">
        <v>1.2</v>
      </c>
      <c r="H114" s="87"/>
      <c r="I114" s="97"/>
      <c r="J114" s="97"/>
      <c r="K114" s="87">
        <v>7.5</v>
      </c>
      <c r="L114" s="87">
        <v>7.5</v>
      </c>
      <c r="M114" s="97"/>
      <c r="N114" s="87"/>
      <c r="O114" s="86" t="s">
        <v>1331</v>
      </c>
      <c r="P114" s="690"/>
      <c r="Q114" s="61"/>
    </row>
    <row r="115" spans="1:17" ht="15">
      <c r="A115" s="651" t="s">
        <v>1469</v>
      </c>
      <c r="B115" s="635"/>
      <c r="C115" s="635"/>
      <c r="D115" s="635"/>
      <c r="E115" s="635"/>
      <c r="F115" s="635"/>
      <c r="G115" s="635"/>
      <c r="H115" s="635"/>
      <c r="I115" s="635"/>
      <c r="J115" s="635"/>
      <c r="K115" s="635"/>
      <c r="L115" s="635"/>
      <c r="M115" s="635"/>
      <c r="N115" s="635"/>
      <c r="O115" s="635"/>
      <c r="P115" s="699"/>
      <c r="Q115" s="612"/>
    </row>
    <row r="116" spans="1:17" ht="14.25">
      <c r="A116" s="81" t="s">
        <v>1473</v>
      </c>
      <c r="B116" s="639" t="s">
        <v>808</v>
      </c>
      <c r="C116" s="639" t="s">
        <v>1385</v>
      </c>
      <c r="D116" s="639">
        <v>276579</v>
      </c>
      <c r="E116" s="639">
        <v>187333</v>
      </c>
      <c r="F116" s="639">
        <v>10</v>
      </c>
      <c r="G116" s="639">
        <v>0</v>
      </c>
      <c r="H116" s="639">
        <v>15</v>
      </c>
      <c r="I116" s="715">
        <f>(M116*1000000)/(365*24*60*60)</f>
        <v>2.0294753773465244</v>
      </c>
      <c r="J116" s="718" t="s">
        <v>1391</v>
      </c>
      <c r="K116" s="639">
        <v>0</v>
      </c>
      <c r="L116" s="639">
        <v>0</v>
      </c>
      <c r="M116" s="685">
        <f>'Diffuse emissions summary'!F51</f>
        <v>64.0015355</v>
      </c>
      <c r="N116" s="639" t="s">
        <v>808</v>
      </c>
      <c r="O116" s="712" t="s">
        <v>1331</v>
      </c>
      <c r="P116" s="694" t="s">
        <v>168</v>
      </c>
      <c r="Q116" s="709" t="s">
        <v>358</v>
      </c>
    </row>
    <row r="117" spans="1:17" ht="14.25">
      <c r="A117" s="81" t="s">
        <v>1474</v>
      </c>
      <c r="B117" s="640"/>
      <c r="C117" s="640"/>
      <c r="D117" s="640"/>
      <c r="E117" s="640"/>
      <c r="F117" s="640"/>
      <c r="G117" s="643"/>
      <c r="H117" s="643"/>
      <c r="I117" s="716"/>
      <c r="J117" s="719"/>
      <c r="K117" s="640"/>
      <c r="L117" s="640"/>
      <c r="M117" s="710"/>
      <c r="N117" s="640"/>
      <c r="O117" s="713"/>
      <c r="P117" s="695"/>
      <c r="Q117" s="705"/>
    </row>
    <row r="118" spans="1:17" ht="14.25">
      <c r="A118" s="81" t="s">
        <v>1475</v>
      </c>
      <c r="B118" s="640"/>
      <c r="C118" s="640"/>
      <c r="D118" s="640"/>
      <c r="E118" s="640"/>
      <c r="F118" s="640"/>
      <c r="G118" s="643"/>
      <c r="H118" s="643"/>
      <c r="I118" s="716"/>
      <c r="J118" s="719"/>
      <c r="K118" s="640"/>
      <c r="L118" s="640"/>
      <c r="M118" s="710"/>
      <c r="N118" s="640"/>
      <c r="O118" s="713"/>
      <c r="P118" s="695"/>
      <c r="Q118" s="705"/>
    </row>
    <row r="119" spans="1:17" ht="14.25">
      <c r="A119" s="81" t="s">
        <v>1476</v>
      </c>
      <c r="B119" s="640"/>
      <c r="C119" s="640"/>
      <c r="D119" s="640"/>
      <c r="E119" s="640"/>
      <c r="F119" s="640"/>
      <c r="G119" s="643"/>
      <c r="H119" s="643"/>
      <c r="I119" s="716"/>
      <c r="J119" s="719"/>
      <c r="K119" s="640"/>
      <c r="L119" s="640"/>
      <c r="M119" s="710"/>
      <c r="N119" s="640"/>
      <c r="O119" s="713"/>
      <c r="P119" s="695"/>
      <c r="Q119" s="705"/>
    </row>
    <row r="120" spans="1:17" ht="14.25">
      <c r="A120" s="81" t="s">
        <v>1477</v>
      </c>
      <c r="B120" s="640"/>
      <c r="C120" s="640"/>
      <c r="D120" s="640"/>
      <c r="E120" s="640"/>
      <c r="F120" s="640"/>
      <c r="G120" s="643"/>
      <c r="H120" s="643"/>
      <c r="I120" s="716"/>
      <c r="J120" s="719"/>
      <c r="K120" s="640"/>
      <c r="L120" s="640"/>
      <c r="M120" s="710"/>
      <c r="N120" s="640"/>
      <c r="O120" s="713"/>
      <c r="P120" s="695"/>
      <c r="Q120" s="705"/>
    </row>
    <row r="121" spans="1:17" ht="14.25">
      <c r="A121" s="81" t="s">
        <v>1478</v>
      </c>
      <c r="B121" s="640"/>
      <c r="C121" s="640"/>
      <c r="D121" s="640"/>
      <c r="E121" s="640"/>
      <c r="F121" s="640"/>
      <c r="G121" s="643"/>
      <c r="H121" s="643"/>
      <c r="I121" s="716"/>
      <c r="J121" s="719"/>
      <c r="K121" s="640"/>
      <c r="L121" s="640"/>
      <c r="M121" s="710"/>
      <c r="N121" s="640"/>
      <c r="O121" s="713"/>
      <c r="P121" s="695"/>
      <c r="Q121" s="705"/>
    </row>
    <row r="122" spans="1:17" ht="14.25">
      <c r="A122" s="81" t="s">
        <v>1479</v>
      </c>
      <c r="B122" s="640"/>
      <c r="C122" s="640"/>
      <c r="D122" s="640"/>
      <c r="E122" s="640"/>
      <c r="F122" s="640"/>
      <c r="G122" s="643"/>
      <c r="H122" s="643"/>
      <c r="I122" s="716"/>
      <c r="J122" s="719"/>
      <c r="K122" s="640"/>
      <c r="L122" s="640"/>
      <c r="M122" s="710"/>
      <c r="N122" s="640"/>
      <c r="O122" s="713"/>
      <c r="P122" s="695"/>
      <c r="Q122" s="705"/>
    </row>
    <row r="123" spans="1:17" ht="14.25">
      <c r="A123" s="81" t="s">
        <v>1480</v>
      </c>
      <c r="B123" s="640"/>
      <c r="C123" s="640"/>
      <c r="D123" s="640"/>
      <c r="E123" s="640"/>
      <c r="F123" s="640"/>
      <c r="G123" s="643"/>
      <c r="H123" s="643"/>
      <c r="I123" s="716"/>
      <c r="J123" s="719"/>
      <c r="K123" s="640"/>
      <c r="L123" s="640"/>
      <c r="M123" s="710"/>
      <c r="N123" s="640"/>
      <c r="O123" s="713"/>
      <c r="P123" s="695"/>
      <c r="Q123" s="705"/>
    </row>
    <row r="124" spans="1:17" ht="14.25">
      <c r="A124" s="81" t="s">
        <v>1481</v>
      </c>
      <c r="B124" s="640"/>
      <c r="C124" s="640"/>
      <c r="D124" s="640"/>
      <c r="E124" s="640"/>
      <c r="F124" s="640"/>
      <c r="G124" s="643"/>
      <c r="H124" s="643"/>
      <c r="I124" s="716"/>
      <c r="J124" s="719"/>
      <c r="K124" s="640"/>
      <c r="L124" s="640"/>
      <c r="M124" s="710"/>
      <c r="N124" s="640"/>
      <c r="O124" s="713"/>
      <c r="P124" s="695"/>
      <c r="Q124" s="705"/>
    </row>
    <row r="125" spans="1:17" ht="14.25">
      <c r="A125" s="81" t="s">
        <v>1482</v>
      </c>
      <c r="B125" s="640"/>
      <c r="C125" s="640"/>
      <c r="D125" s="640"/>
      <c r="E125" s="640"/>
      <c r="F125" s="640"/>
      <c r="G125" s="643"/>
      <c r="H125" s="643"/>
      <c r="I125" s="716"/>
      <c r="J125" s="719"/>
      <c r="K125" s="640"/>
      <c r="L125" s="640"/>
      <c r="M125" s="710"/>
      <c r="N125" s="640"/>
      <c r="O125" s="713"/>
      <c r="P125" s="695"/>
      <c r="Q125" s="705"/>
    </row>
    <row r="126" spans="1:17" ht="14.25">
      <c r="A126" s="81" t="s">
        <v>1483</v>
      </c>
      <c r="B126" s="640"/>
      <c r="C126" s="640"/>
      <c r="D126" s="640"/>
      <c r="E126" s="640"/>
      <c r="F126" s="640"/>
      <c r="G126" s="643"/>
      <c r="H126" s="643"/>
      <c r="I126" s="716"/>
      <c r="J126" s="719"/>
      <c r="K126" s="640"/>
      <c r="L126" s="640"/>
      <c r="M126" s="710"/>
      <c r="N126" s="640"/>
      <c r="O126" s="713"/>
      <c r="P126" s="695"/>
      <c r="Q126" s="705"/>
    </row>
    <row r="127" spans="1:17" ht="14.25">
      <c r="A127" s="81" t="s">
        <v>1484</v>
      </c>
      <c r="B127" s="640"/>
      <c r="C127" s="640"/>
      <c r="D127" s="640"/>
      <c r="E127" s="640"/>
      <c r="F127" s="640"/>
      <c r="G127" s="643"/>
      <c r="H127" s="643"/>
      <c r="I127" s="716"/>
      <c r="J127" s="719"/>
      <c r="K127" s="640"/>
      <c r="L127" s="640"/>
      <c r="M127" s="710"/>
      <c r="N127" s="640"/>
      <c r="O127" s="713"/>
      <c r="P127" s="695"/>
      <c r="Q127" s="705"/>
    </row>
    <row r="128" spans="1:17" ht="14.25">
      <c r="A128" s="81" t="s">
        <v>1485</v>
      </c>
      <c r="B128" s="640"/>
      <c r="C128" s="640"/>
      <c r="D128" s="640"/>
      <c r="E128" s="640"/>
      <c r="F128" s="640"/>
      <c r="G128" s="643"/>
      <c r="H128" s="643"/>
      <c r="I128" s="716"/>
      <c r="J128" s="719"/>
      <c r="K128" s="640"/>
      <c r="L128" s="640"/>
      <c r="M128" s="710"/>
      <c r="N128" s="640"/>
      <c r="O128" s="713"/>
      <c r="P128" s="695"/>
      <c r="Q128" s="705"/>
    </row>
    <row r="129" spans="1:17" ht="14.25">
      <c r="A129" s="81" t="s">
        <v>1486</v>
      </c>
      <c r="B129" s="640"/>
      <c r="C129" s="640"/>
      <c r="D129" s="640"/>
      <c r="E129" s="640"/>
      <c r="F129" s="640"/>
      <c r="G129" s="643"/>
      <c r="H129" s="643"/>
      <c r="I129" s="716"/>
      <c r="J129" s="719"/>
      <c r="K129" s="640"/>
      <c r="L129" s="640"/>
      <c r="M129" s="710"/>
      <c r="N129" s="640"/>
      <c r="O129" s="713"/>
      <c r="P129" s="695"/>
      <c r="Q129" s="705"/>
    </row>
    <row r="130" spans="1:20" s="112" customFormat="1" ht="14.25">
      <c r="A130" s="81" t="s">
        <v>1487</v>
      </c>
      <c r="B130" s="641"/>
      <c r="C130" s="641"/>
      <c r="D130" s="641"/>
      <c r="E130" s="641"/>
      <c r="F130" s="641"/>
      <c r="G130" s="644"/>
      <c r="H130" s="644"/>
      <c r="I130" s="717"/>
      <c r="J130" s="720"/>
      <c r="K130" s="641"/>
      <c r="L130" s="641"/>
      <c r="M130" s="711"/>
      <c r="N130" s="641"/>
      <c r="O130" s="714"/>
      <c r="P130" s="696"/>
      <c r="Q130" s="706"/>
      <c r="S130" s="113"/>
      <c r="T130" s="113"/>
    </row>
    <row r="131" spans="1:17" ht="15">
      <c r="A131" s="707" t="s">
        <v>1267</v>
      </c>
      <c r="B131" s="708"/>
      <c r="C131" s="708"/>
      <c r="D131" s="708"/>
      <c r="E131" s="708"/>
      <c r="F131" s="708"/>
      <c r="G131" s="708"/>
      <c r="H131" s="708"/>
      <c r="I131" s="708"/>
      <c r="J131" s="708"/>
      <c r="K131" s="708"/>
      <c r="L131" s="708"/>
      <c r="M131" s="708"/>
      <c r="N131" s="708"/>
      <c r="O131" s="708"/>
      <c r="P131" s="699"/>
      <c r="Q131" s="612"/>
    </row>
    <row r="132" spans="1:17" ht="14.25">
      <c r="A132" s="81" t="s">
        <v>1488</v>
      </c>
      <c r="B132" s="639" t="s">
        <v>808</v>
      </c>
      <c r="C132" s="639" t="s">
        <v>1385</v>
      </c>
      <c r="D132" s="639">
        <v>276868</v>
      </c>
      <c r="E132" s="639">
        <v>186868</v>
      </c>
      <c r="F132" s="639">
        <v>10</v>
      </c>
      <c r="G132" s="639">
        <v>0</v>
      </c>
      <c r="H132" s="639">
        <v>15</v>
      </c>
      <c r="I132" s="715">
        <f>(M132*1000000)/(365*24*60*60)</f>
        <v>2.4143758799467276</v>
      </c>
      <c r="J132" s="718" t="s">
        <v>1391</v>
      </c>
      <c r="K132" s="639">
        <v>0</v>
      </c>
      <c r="L132" s="639">
        <v>0</v>
      </c>
      <c r="M132" s="685">
        <f>'Diffuse emissions summary'!F50</f>
        <v>76.13975775</v>
      </c>
      <c r="N132" s="639" t="s">
        <v>808</v>
      </c>
      <c r="O132" s="712" t="s">
        <v>1331</v>
      </c>
      <c r="P132" s="694" t="s">
        <v>168</v>
      </c>
      <c r="Q132" s="709" t="s">
        <v>358</v>
      </c>
    </row>
    <row r="133" spans="1:17" ht="14.25">
      <c r="A133" s="81" t="s">
        <v>1489</v>
      </c>
      <c r="B133" s="591"/>
      <c r="C133" s="591"/>
      <c r="D133" s="640"/>
      <c r="E133" s="640"/>
      <c r="F133" s="591"/>
      <c r="G133" s="591"/>
      <c r="H133" s="591"/>
      <c r="I133" s="716"/>
      <c r="J133" s="603"/>
      <c r="K133" s="640"/>
      <c r="L133" s="640"/>
      <c r="M133" s="686"/>
      <c r="N133" s="640"/>
      <c r="O133" s="713"/>
      <c r="P133" s="695"/>
      <c r="Q133" s="705"/>
    </row>
    <row r="134" spans="1:17" ht="14.25">
      <c r="A134" s="81" t="s">
        <v>1490</v>
      </c>
      <c r="B134" s="591"/>
      <c r="C134" s="591"/>
      <c r="D134" s="640"/>
      <c r="E134" s="640"/>
      <c r="F134" s="591"/>
      <c r="G134" s="591"/>
      <c r="H134" s="591"/>
      <c r="I134" s="716"/>
      <c r="J134" s="603"/>
      <c r="K134" s="640"/>
      <c r="L134" s="640"/>
      <c r="M134" s="686"/>
      <c r="N134" s="640"/>
      <c r="O134" s="713"/>
      <c r="P134" s="695"/>
      <c r="Q134" s="705"/>
    </row>
    <row r="135" spans="1:17" ht="14.25">
      <c r="A135" s="81" t="s">
        <v>1491</v>
      </c>
      <c r="B135" s="591"/>
      <c r="C135" s="591"/>
      <c r="D135" s="640"/>
      <c r="E135" s="640"/>
      <c r="F135" s="591"/>
      <c r="G135" s="591"/>
      <c r="H135" s="591"/>
      <c r="I135" s="716"/>
      <c r="J135" s="603"/>
      <c r="K135" s="640"/>
      <c r="L135" s="640"/>
      <c r="M135" s="686"/>
      <c r="N135" s="640"/>
      <c r="O135" s="713"/>
      <c r="P135" s="695"/>
      <c r="Q135" s="705"/>
    </row>
    <row r="136" spans="1:17" ht="14.25">
      <c r="A136" s="81" t="s">
        <v>1492</v>
      </c>
      <c r="B136" s="591"/>
      <c r="C136" s="591"/>
      <c r="D136" s="640"/>
      <c r="E136" s="640"/>
      <c r="F136" s="591"/>
      <c r="G136" s="591"/>
      <c r="H136" s="591"/>
      <c r="I136" s="716"/>
      <c r="J136" s="603"/>
      <c r="K136" s="640"/>
      <c r="L136" s="640"/>
      <c r="M136" s="686"/>
      <c r="N136" s="640"/>
      <c r="O136" s="713"/>
      <c r="P136" s="695"/>
      <c r="Q136" s="705"/>
    </row>
    <row r="137" spans="1:17" ht="14.25">
      <c r="A137" s="81" t="s">
        <v>1493</v>
      </c>
      <c r="B137" s="591"/>
      <c r="C137" s="591"/>
      <c r="D137" s="640"/>
      <c r="E137" s="640"/>
      <c r="F137" s="591"/>
      <c r="G137" s="591"/>
      <c r="H137" s="591"/>
      <c r="I137" s="716"/>
      <c r="J137" s="603"/>
      <c r="K137" s="640"/>
      <c r="L137" s="640"/>
      <c r="M137" s="686"/>
      <c r="N137" s="640"/>
      <c r="O137" s="713"/>
      <c r="P137" s="695"/>
      <c r="Q137" s="705"/>
    </row>
    <row r="138" spans="1:17" ht="14.25">
      <c r="A138" s="81" t="s">
        <v>1494</v>
      </c>
      <c r="B138" s="591"/>
      <c r="C138" s="591"/>
      <c r="D138" s="640"/>
      <c r="E138" s="640"/>
      <c r="F138" s="591"/>
      <c r="G138" s="591"/>
      <c r="H138" s="591"/>
      <c r="I138" s="716"/>
      <c r="J138" s="603"/>
      <c r="K138" s="640"/>
      <c r="L138" s="640"/>
      <c r="M138" s="686"/>
      <c r="N138" s="640"/>
      <c r="O138" s="713"/>
      <c r="P138" s="695"/>
      <c r="Q138" s="705"/>
    </row>
    <row r="139" spans="1:17" ht="14.25">
      <c r="A139" s="81" t="s">
        <v>1495</v>
      </c>
      <c r="B139" s="591"/>
      <c r="C139" s="591"/>
      <c r="D139" s="640"/>
      <c r="E139" s="640"/>
      <c r="F139" s="591"/>
      <c r="G139" s="591"/>
      <c r="H139" s="591"/>
      <c r="I139" s="716"/>
      <c r="J139" s="603"/>
      <c r="K139" s="640"/>
      <c r="L139" s="640"/>
      <c r="M139" s="686"/>
      <c r="N139" s="640"/>
      <c r="O139" s="713"/>
      <c r="P139" s="695"/>
      <c r="Q139" s="705"/>
    </row>
    <row r="140" spans="1:17" ht="14.25">
      <c r="A140" s="81" t="s">
        <v>1496</v>
      </c>
      <c r="B140" s="591"/>
      <c r="C140" s="591"/>
      <c r="D140" s="640"/>
      <c r="E140" s="640"/>
      <c r="F140" s="591"/>
      <c r="G140" s="591"/>
      <c r="H140" s="591"/>
      <c r="I140" s="716"/>
      <c r="J140" s="603"/>
      <c r="K140" s="640"/>
      <c r="L140" s="640"/>
      <c r="M140" s="686"/>
      <c r="N140" s="640"/>
      <c r="O140" s="713"/>
      <c r="P140" s="695"/>
      <c r="Q140" s="705"/>
    </row>
    <row r="141" spans="1:17" ht="14.25">
      <c r="A141" s="81" t="s">
        <v>1497</v>
      </c>
      <c r="B141" s="591"/>
      <c r="C141" s="591"/>
      <c r="D141" s="640"/>
      <c r="E141" s="640"/>
      <c r="F141" s="591"/>
      <c r="G141" s="591"/>
      <c r="H141" s="591"/>
      <c r="I141" s="716"/>
      <c r="J141" s="603"/>
      <c r="K141" s="640"/>
      <c r="L141" s="640"/>
      <c r="M141" s="686"/>
      <c r="N141" s="640"/>
      <c r="O141" s="713"/>
      <c r="P141" s="695"/>
      <c r="Q141" s="705"/>
    </row>
    <row r="142" spans="1:17" ht="14.25">
      <c r="A142" s="81" t="s">
        <v>1498</v>
      </c>
      <c r="B142" s="591"/>
      <c r="C142" s="591"/>
      <c r="D142" s="640"/>
      <c r="E142" s="640"/>
      <c r="F142" s="591"/>
      <c r="G142" s="591"/>
      <c r="H142" s="591"/>
      <c r="I142" s="716"/>
      <c r="J142" s="603"/>
      <c r="K142" s="640"/>
      <c r="L142" s="640"/>
      <c r="M142" s="686"/>
      <c r="N142" s="640"/>
      <c r="O142" s="713"/>
      <c r="P142" s="695"/>
      <c r="Q142" s="705"/>
    </row>
    <row r="143" spans="1:17" ht="14.25">
      <c r="A143" s="81" t="s">
        <v>1499</v>
      </c>
      <c r="B143" s="591"/>
      <c r="C143" s="591"/>
      <c r="D143" s="640"/>
      <c r="E143" s="640"/>
      <c r="F143" s="591"/>
      <c r="G143" s="591"/>
      <c r="H143" s="591"/>
      <c r="I143" s="716"/>
      <c r="J143" s="603"/>
      <c r="K143" s="640"/>
      <c r="L143" s="640"/>
      <c r="M143" s="686"/>
      <c r="N143" s="640"/>
      <c r="O143" s="713"/>
      <c r="P143" s="695"/>
      <c r="Q143" s="705"/>
    </row>
    <row r="144" spans="1:20" s="112" customFormat="1" ht="14.25">
      <c r="A144" s="81" t="s">
        <v>1500</v>
      </c>
      <c r="B144" s="591"/>
      <c r="C144" s="591"/>
      <c r="D144" s="640"/>
      <c r="E144" s="640"/>
      <c r="F144" s="591"/>
      <c r="G144" s="591"/>
      <c r="H144" s="591"/>
      <c r="I144" s="716"/>
      <c r="J144" s="603"/>
      <c r="K144" s="640"/>
      <c r="L144" s="640"/>
      <c r="M144" s="686"/>
      <c r="N144" s="640"/>
      <c r="O144" s="713"/>
      <c r="P144" s="695"/>
      <c r="Q144" s="705"/>
      <c r="S144" s="113"/>
      <c r="T144" s="113"/>
    </row>
    <row r="145" spans="1:17" ht="14.25">
      <c r="A145" s="81" t="s">
        <v>1501</v>
      </c>
      <c r="B145" s="591"/>
      <c r="C145" s="591"/>
      <c r="D145" s="640"/>
      <c r="E145" s="640"/>
      <c r="F145" s="591"/>
      <c r="G145" s="591"/>
      <c r="H145" s="591"/>
      <c r="I145" s="716"/>
      <c r="J145" s="603"/>
      <c r="K145" s="640"/>
      <c r="L145" s="640"/>
      <c r="M145" s="686"/>
      <c r="N145" s="640"/>
      <c r="O145" s="713"/>
      <c r="P145" s="695"/>
      <c r="Q145" s="705"/>
    </row>
    <row r="146" spans="1:20" s="112" customFormat="1" ht="14.25">
      <c r="A146" s="81" t="s">
        <v>1502</v>
      </c>
      <c r="B146" s="591"/>
      <c r="C146" s="591"/>
      <c r="D146" s="640"/>
      <c r="E146" s="640"/>
      <c r="F146" s="591"/>
      <c r="G146" s="591"/>
      <c r="H146" s="591"/>
      <c r="I146" s="716"/>
      <c r="J146" s="603"/>
      <c r="K146" s="640"/>
      <c r="L146" s="640"/>
      <c r="M146" s="686"/>
      <c r="N146" s="640"/>
      <c r="O146" s="713"/>
      <c r="P146" s="695"/>
      <c r="Q146" s="705"/>
      <c r="S146" s="113"/>
      <c r="T146" s="113"/>
    </row>
    <row r="147" spans="1:17" ht="14.25">
      <c r="A147" s="81" t="s">
        <v>1503</v>
      </c>
      <c r="B147" s="592"/>
      <c r="C147" s="592"/>
      <c r="D147" s="641"/>
      <c r="E147" s="641"/>
      <c r="F147" s="592"/>
      <c r="G147" s="592"/>
      <c r="H147" s="592"/>
      <c r="I147" s="717"/>
      <c r="J147" s="604"/>
      <c r="K147" s="641"/>
      <c r="L147" s="641"/>
      <c r="M147" s="687"/>
      <c r="N147" s="641"/>
      <c r="O147" s="714"/>
      <c r="P147" s="696"/>
      <c r="Q147" s="706"/>
    </row>
    <row r="148" spans="1:20" s="112" customFormat="1" ht="15">
      <c r="A148" s="707" t="s">
        <v>1470</v>
      </c>
      <c r="B148" s="708"/>
      <c r="C148" s="708"/>
      <c r="D148" s="708"/>
      <c r="E148" s="708"/>
      <c r="F148" s="708"/>
      <c r="G148" s="708"/>
      <c r="H148" s="708"/>
      <c r="I148" s="708"/>
      <c r="J148" s="708"/>
      <c r="K148" s="708"/>
      <c r="L148" s="708"/>
      <c r="M148" s="708"/>
      <c r="N148" s="708"/>
      <c r="O148" s="708"/>
      <c r="P148" s="699"/>
      <c r="Q148" s="612"/>
      <c r="S148" s="113"/>
      <c r="T148" s="113"/>
    </row>
    <row r="149" spans="1:20" s="112" customFormat="1" ht="14.25">
      <c r="A149" s="81" t="s">
        <v>1504</v>
      </c>
      <c r="B149" s="85" t="s">
        <v>808</v>
      </c>
      <c r="C149" s="81"/>
      <c r="D149" s="85"/>
      <c r="E149" s="85"/>
      <c r="F149" s="118"/>
      <c r="G149" s="118"/>
      <c r="H149" s="118"/>
      <c r="I149" s="119"/>
      <c r="J149" s="85"/>
      <c r="K149" s="85"/>
      <c r="L149" s="85"/>
      <c r="M149" s="85"/>
      <c r="N149" s="85"/>
      <c r="O149" s="120"/>
      <c r="P149" s="86" t="s">
        <v>1579</v>
      </c>
      <c r="Q149" s="87" t="s">
        <v>172</v>
      </c>
      <c r="S149" s="113"/>
      <c r="T149" s="113"/>
    </row>
    <row r="150" spans="1:20" s="112" customFormat="1" ht="15">
      <c r="A150" s="707" t="s">
        <v>1471</v>
      </c>
      <c r="B150" s="708"/>
      <c r="C150" s="708"/>
      <c r="D150" s="708"/>
      <c r="E150" s="708"/>
      <c r="F150" s="708"/>
      <c r="G150" s="708"/>
      <c r="H150" s="708"/>
      <c r="I150" s="708"/>
      <c r="J150" s="708"/>
      <c r="K150" s="708"/>
      <c r="L150" s="708"/>
      <c r="M150" s="708"/>
      <c r="N150" s="708"/>
      <c r="O150" s="708"/>
      <c r="P150" s="699"/>
      <c r="Q150" s="612"/>
      <c r="S150" s="113"/>
      <c r="T150" s="113"/>
    </row>
    <row r="151" spans="1:20" s="112" customFormat="1" ht="14.25">
      <c r="A151" s="81" t="s">
        <v>1471</v>
      </c>
      <c r="B151" s="85" t="s">
        <v>808</v>
      </c>
      <c r="C151" s="85"/>
      <c r="D151" s="85"/>
      <c r="E151" s="85"/>
      <c r="F151" s="85"/>
      <c r="G151" s="85"/>
      <c r="H151" s="85"/>
      <c r="I151" s="76"/>
      <c r="J151" s="76"/>
      <c r="K151" s="76"/>
      <c r="L151" s="76"/>
      <c r="M151" s="76"/>
      <c r="N151" s="76"/>
      <c r="O151" s="120"/>
      <c r="P151" s="86" t="s">
        <v>1579</v>
      </c>
      <c r="Q151" s="87" t="s">
        <v>172</v>
      </c>
      <c r="S151" s="113"/>
      <c r="T151" s="113"/>
    </row>
    <row r="152" spans="1:20" s="112" customFormat="1" ht="15">
      <c r="A152" s="707" t="s">
        <v>1472</v>
      </c>
      <c r="B152" s="708"/>
      <c r="C152" s="708"/>
      <c r="D152" s="708"/>
      <c r="E152" s="708"/>
      <c r="F152" s="708"/>
      <c r="G152" s="708"/>
      <c r="H152" s="708"/>
      <c r="I152" s="708"/>
      <c r="J152" s="708"/>
      <c r="K152" s="708"/>
      <c r="L152" s="708"/>
      <c r="M152" s="708"/>
      <c r="N152" s="708"/>
      <c r="O152" s="708"/>
      <c r="P152" s="699"/>
      <c r="Q152" s="612"/>
      <c r="S152" s="113"/>
      <c r="T152" s="113"/>
    </row>
    <row r="153" spans="1:20" s="112" customFormat="1" ht="14.25">
      <c r="A153" s="121" t="s">
        <v>1505</v>
      </c>
      <c r="B153" s="82" t="s">
        <v>808</v>
      </c>
      <c r="C153" s="82"/>
      <c r="D153" s="82"/>
      <c r="E153" s="82"/>
      <c r="F153" s="82"/>
      <c r="G153" s="82"/>
      <c r="H153" s="82"/>
      <c r="I153" s="122"/>
      <c r="J153" s="122"/>
      <c r="K153" s="122"/>
      <c r="L153" s="122"/>
      <c r="M153" s="122"/>
      <c r="N153" s="122"/>
      <c r="O153" s="84"/>
      <c r="P153" s="171" t="s">
        <v>1579</v>
      </c>
      <c r="Q153" s="114" t="s">
        <v>172</v>
      </c>
      <c r="S153" s="113"/>
      <c r="T153" s="113"/>
    </row>
    <row r="154" spans="1:20" s="112" customFormat="1" ht="15">
      <c r="A154" s="697" t="s">
        <v>1562</v>
      </c>
      <c r="B154" s="698"/>
      <c r="C154" s="698"/>
      <c r="D154" s="698"/>
      <c r="E154" s="698"/>
      <c r="F154" s="698"/>
      <c r="G154" s="698"/>
      <c r="H154" s="698"/>
      <c r="I154" s="698"/>
      <c r="J154" s="698"/>
      <c r="K154" s="698"/>
      <c r="L154" s="698"/>
      <c r="M154" s="698"/>
      <c r="N154" s="698"/>
      <c r="O154" s="698"/>
      <c r="P154" s="699"/>
      <c r="Q154" s="612"/>
      <c r="S154" s="113"/>
      <c r="T154" s="113"/>
    </row>
    <row r="155" spans="1:20" s="112" customFormat="1" ht="14.25">
      <c r="A155" s="123" t="s">
        <v>1506</v>
      </c>
      <c r="B155" s="642" t="s">
        <v>808</v>
      </c>
      <c r="C155" s="642" t="s">
        <v>1385</v>
      </c>
      <c r="D155" s="642"/>
      <c r="E155" s="642"/>
      <c r="F155" s="642">
        <v>10</v>
      </c>
      <c r="G155" s="642">
        <v>0</v>
      </c>
      <c r="H155" s="642">
        <v>15</v>
      </c>
      <c r="I155" s="736">
        <f>(M155*10000000)/(365*24*60*60)</f>
        <v>58.25060717036991</v>
      </c>
      <c r="J155" s="737" t="s">
        <v>1391</v>
      </c>
      <c r="K155" s="642">
        <v>0</v>
      </c>
      <c r="L155" s="642">
        <v>0</v>
      </c>
      <c r="M155" s="684">
        <f>'Diffuse emissions summary'!F19</f>
        <v>183.69911477247857</v>
      </c>
      <c r="N155" s="642" t="s">
        <v>808</v>
      </c>
      <c r="O155" s="671" t="s">
        <v>1331</v>
      </c>
      <c r="P155" s="691" t="s">
        <v>168</v>
      </c>
      <c r="Q155" s="681" t="s">
        <v>172</v>
      </c>
      <c r="S155" s="113"/>
      <c r="T155" s="113"/>
    </row>
    <row r="156" spans="1:20" s="112" customFormat="1" ht="14.25">
      <c r="A156" s="123" t="s">
        <v>1507</v>
      </c>
      <c r="B156" s="669"/>
      <c r="C156" s="669"/>
      <c r="D156" s="669"/>
      <c r="E156" s="669"/>
      <c r="F156" s="669"/>
      <c r="G156" s="669"/>
      <c r="H156" s="669"/>
      <c r="I156" s="643"/>
      <c r="J156" s="701"/>
      <c r="K156" s="643"/>
      <c r="L156" s="643"/>
      <c r="M156" s="643"/>
      <c r="N156" s="643"/>
      <c r="O156" s="672"/>
      <c r="P156" s="692"/>
      <c r="Q156" s="682"/>
      <c r="S156" s="113"/>
      <c r="T156" s="113"/>
    </row>
    <row r="157" spans="1:20" s="112" customFormat="1" ht="14.25">
      <c r="A157" s="123" t="s">
        <v>1508</v>
      </c>
      <c r="B157" s="669"/>
      <c r="C157" s="669"/>
      <c r="D157" s="669"/>
      <c r="E157" s="669"/>
      <c r="F157" s="669"/>
      <c r="G157" s="669"/>
      <c r="H157" s="669"/>
      <c r="I157" s="643"/>
      <c r="J157" s="701"/>
      <c r="K157" s="643"/>
      <c r="L157" s="643"/>
      <c r="M157" s="643"/>
      <c r="N157" s="643"/>
      <c r="O157" s="672"/>
      <c r="P157" s="692"/>
      <c r="Q157" s="682"/>
      <c r="S157" s="113"/>
      <c r="T157" s="113"/>
    </row>
    <row r="158" spans="1:20" s="112" customFormat="1" ht="14.25">
      <c r="A158" s="123" t="s">
        <v>1509</v>
      </c>
      <c r="B158" s="669"/>
      <c r="C158" s="669"/>
      <c r="D158" s="669"/>
      <c r="E158" s="669"/>
      <c r="F158" s="669"/>
      <c r="G158" s="669"/>
      <c r="H158" s="669"/>
      <c r="I158" s="643"/>
      <c r="J158" s="701"/>
      <c r="K158" s="643"/>
      <c r="L158" s="643"/>
      <c r="M158" s="643"/>
      <c r="N158" s="643"/>
      <c r="O158" s="672"/>
      <c r="P158" s="692"/>
      <c r="Q158" s="682"/>
      <c r="S158" s="113"/>
      <c r="T158" s="113"/>
    </row>
    <row r="159" spans="1:20" s="112" customFormat="1" ht="14.25">
      <c r="A159" s="123" t="s">
        <v>1510</v>
      </c>
      <c r="B159" s="669"/>
      <c r="C159" s="669"/>
      <c r="D159" s="669"/>
      <c r="E159" s="669"/>
      <c r="F159" s="669"/>
      <c r="G159" s="669"/>
      <c r="H159" s="669"/>
      <c r="I159" s="643"/>
      <c r="J159" s="701"/>
      <c r="K159" s="643"/>
      <c r="L159" s="643"/>
      <c r="M159" s="643"/>
      <c r="N159" s="643"/>
      <c r="O159" s="672"/>
      <c r="P159" s="692"/>
      <c r="Q159" s="682"/>
      <c r="S159" s="113"/>
      <c r="T159" s="113"/>
    </row>
    <row r="160" spans="1:20" s="112" customFormat="1" ht="14.25">
      <c r="A160" s="123" t="s">
        <v>1511</v>
      </c>
      <c r="B160" s="669"/>
      <c r="C160" s="669"/>
      <c r="D160" s="669"/>
      <c r="E160" s="669"/>
      <c r="F160" s="669"/>
      <c r="G160" s="669"/>
      <c r="H160" s="669"/>
      <c r="I160" s="643"/>
      <c r="J160" s="701"/>
      <c r="K160" s="643"/>
      <c r="L160" s="643"/>
      <c r="M160" s="643"/>
      <c r="N160" s="643"/>
      <c r="O160" s="672"/>
      <c r="P160" s="692"/>
      <c r="Q160" s="682"/>
      <c r="S160" s="113"/>
      <c r="T160" s="113"/>
    </row>
    <row r="161" spans="1:20" s="112" customFormat="1" ht="14.25">
      <c r="A161" s="123" t="s">
        <v>1512</v>
      </c>
      <c r="B161" s="669"/>
      <c r="C161" s="669"/>
      <c r="D161" s="669"/>
      <c r="E161" s="669"/>
      <c r="F161" s="669"/>
      <c r="G161" s="669"/>
      <c r="H161" s="669"/>
      <c r="I161" s="643"/>
      <c r="J161" s="701"/>
      <c r="K161" s="643"/>
      <c r="L161" s="643"/>
      <c r="M161" s="643"/>
      <c r="N161" s="643"/>
      <c r="O161" s="672"/>
      <c r="P161" s="692"/>
      <c r="Q161" s="682"/>
      <c r="S161" s="113"/>
      <c r="T161" s="113"/>
    </row>
    <row r="162" spans="1:20" s="112" customFormat="1" ht="14.25">
      <c r="A162" s="123" t="s">
        <v>1513</v>
      </c>
      <c r="B162" s="669"/>
      <c r="C162" s="669"/>
      <c r="D162" s="669"/>
      <c r="E162" s="669"/>
      <c r="F162" s="669"/>
      <c r="G162" s="669"/>
      <c r="H162" s="669"/>
      <c r="I162" s="643"/>
      <c r="J162" s="701"/>
      <c r="K162" s="643"/>
      <c r="L162" s="643"/>
      <c r="M162" s="643"/>
      <c r="N162" s="643"/>
      <c r="O162" s="672"/>
      <c r="P162" s="692"/>
      <c r="Q162" s="682"/>
      <c r="S162" s="113"/>
      <c r="T162" s="113"/>
    </row>
    <row r="163" spans="1:20" s="112" customFormat="1" ht="14.25">
      <c r="A163" s="123" t="s">
        <v>1514</v>
      </c>
      <c r="B163" s="669"/>
      <c r="C163" s="669"/>
      <c r="D163" s="669"/>
      <c r="E163" s="669"/>
      <c r="F163" s="669"/>
      <c r="G163" s="669"/>
      <c r="H163" s="669"/>
      <c r="I163" s="643"/>
      <c r="J163" s="701"/>
      <c r="K163" s="643"/>
      <c r="L163" s="643"/>
      <c r="M163" s="643"/>
      <c r="N163" s="643"/>
      <c r="O163" s="672"/>
      <c r="P163" s="692"/>
      <c r="Q163" s="682"/>
      <c r="S163" s="113"/>
      <c r="T163" s="113"/>
    </row>
    <row r="164" spans="1:20" s="112" customFormat="1" ht="14.25">
      <c r="A164" s="123" t="s">
        <v>1515</v>
      </c>
      <c r="B164" s="669"/>
      <c r="C164" s="669"/>
      <c r="D164" s="669"/>
      <c r="E164" s="669"/>
      <c r="F164" s="669"/>
      <c r="G164" s="669"/>
      <c r="H164" s="669"/>
      <c r="I164" s="643"/>
      <c r="J164" s="701"/>
      <c r="K164" s="643"/>
      <c r="L164" s="643"/>
      <c r="M164" s="643"/>
      <c r="N164" s="643"/>
      <c r="O164" s="672"/>
      <c r="P164" s="692"/>
      <c r="Q164" s="682"/>
      <c r="S164" s="113"/>
      <c r="T164" s="113"/>
    </row>
    <row r="165" spans="1:20" s="112" customFormat="1" ht="14.25">
      <c r="A165" s="123" t="s">
        <v>1516</v>
      </c>
      <c r="B165" s="669"/>
      <c r="C165" s="669"/>
      <c r="D165" s="669"/>
      <c r="E165" s="669"/>
      <c r="F165" s="669"/>
      <c r="G165" s="669"/>
      <c r="H165" s="669"/>
      <c r="I165" s="643"/>
      <c r="J165" s="701"/>
      <c r="K165" s="643"/>
      <c r="L165" s="643"/>
      <c r="M165" s="643"/>
      <c r="N165" s="643"/>
      <c r="O165" s="672"/>
      <c r="P165" s="692"/>
      <c r="Q165" s="682"/>
      <c r="S165" s="113"/>
      <c r="T165" s="113"/>
    </row>
    <row r="166" spans="1:20" s="112" customFormat="1" ht="14.25">
      <c r="A166" s="123" t="s">
        <v>1517</v>
      </c>
      <c r="B166" s="669"/>
      <c r="C166" s="669"/>
      <c r="D166" s="669"/>
      <c r="E166" s="669"/>
      <c r="F166" s="669"/>
      <c r="G166" s="669"/>
      <c r="H166" s="669"/>
      <c r="I166" s="643"/>
      <c r="J166" s="701"/>
      <c r="K166" s="643"/>
      <c r="L166" s="643"/>
      <c r="M166" s="643"/>
      <c r="N166" s="643"/>
      <c r="O166" s="672"/>
      <c r="P166" s="692"/>
      <c r="Q166" s="682"/>
      <c r="S166" s="113"/>
      <c r="T166" s="113"/>
    </row>
    <row r="167" spans="1:20" s="112" customFormat="1" ht="14.25">
      <c r="A167" s="123" t="s">
        <v>1518</v>
      </c>
      <c r="B167" s="669"/>
      <c r="C167" s="669"/>
      <c r="D167" s="669"/>
      <c r="E167" s="669"/>
      <c r="F167" s="669"/>
      <c r="G167" s="669"/>
      <c r="H167" s="669"/>
      <c r="I167" s="643"/>
      <c r="J167" s="701"/>
      <c r="K167" s="643"/>
      <c r="L167" s="643"/>
      <c r="M167" s="643"/>
      <c r="N167" s="643"/>
      <c r="O167" s="672"/>
      <c r="P167" s="692"/>
      <c r="Q167" s="682"/>
      <c r="S167" s="113"/>
      <c r="T167" s="113"/>
    </row>
    <row r="168" spans="1:20" s="112" customFormat="1" ht="14.25">
      <c r="A168" s="124" t="s">
        <v>1519</v>
      </c>
      <c r="B168" s="669"/>
      <c r="C168" s="669"/>
      <c r="D168" s="669"/>
      <c r="E168" s="669"/>
      <c r="F168" s="669"/>
      <c r="G168" s="669"/>
      <c r="H168" s="669"/>
      <c r="I168" s="643"/>
      <c r="J168" s="701"/>
      <c r="K168" s="643"/>
      <c r="L168" s="643"/>
      <c r="M168" s="643"/>
      <c r="N168" s="643"/>
      <c r="O168" s="672"/>
      <c r="P168" s="692"/>
      <c r="Q168" s="682"/>
      <c r="S168" s="113"/>
      <c r="T168" s="113"/>
    </row>
    <row r="169" spans="1:20" s="112" customFormat="1" ht="14.25">
      <c r="A169" s="123" t="s">
        <v>1520</v>
      </c>
      <c r="B169" s="669"/>
      <c r="C169" s="669"/>
      <c r="D169" s="669"/>
      <c r="E169" s="669"/>
      <c r="F169" s="669"/>
      <c r="G169" s="669"/>
      <c r="H169" s="669"/>
      <c r="I169" s="643"/>
      <c r="J169" s="701"/>
      <c r="K169" s="643"/>
      <c r="L169" s="643"/>
      <c r="M169" s="643"/>
      <c r="N169" s="643"/>
      <c r="O169" s="672"/>
      <c r="P169" s="692"/>
      <c r="Q169" s="682"/>
      <c r="S169" s="113"/>
      <c r="T169" s="113"/>
    </row>
    <row r="170" spans="1:20" s="112" customFormat="1" ht="14.25">
      <c r="A170" s="123" t="s">
        <v>1521</v>
      </c>
      <c r="B170" s="669"/>
      <c r="C170" s="669"/>
      <c r="D170" s="669"/>
      <c r="E170" s="669"/>
      <c r="F170" s="669"/>
      <c r="G170" s="669"/>
      <c r="H170" s="669"/>
      <c r="I170" s="643"/>
      <c r="J170" s="701"/>
      <c r="K170" s="643"/>
      <c r="L170" s="643"/>
      <c r="M170" s="643"/>
      <c r="N170" s="643"/>
      <c r="O170" s="672"/>
      <c r="P170" s="692"/>
      <c r="Q170" s="682"/>
      <c r="S170" s="113"/>
      <c r="T170" s="113"/>
    </row>
    <row r="171" spans="1:20" s="112" customFormat="1" ht="14.25">
      <c r="A171" s="123" t="s">
        <v>1522</v>
      </c>
      <c r="B171" s="669"/>
      <c r="C171" s="669"/>
      <c r="D171" s="669"/>
      <c r="E171" s="669"/>
      <c r="F171" s="669"/>
      <c r="G171" s="669"/>
      <c r="H171" s="669"/>
      <c r="I171" s="643"/>
      <c r="J171" s="701"/>
      <c r="K171" s="643"/>
      <c r="L171" s="643"/>
      <c r="M171" s="643"/>
      <c r="N171" s="643"/>
      <c r="O171" s="672"/>
      <c r="P171" s="692"/>
      <c r="Q171" s="682"/>
      <c r="S171" s="113"/>
      <c r="T171" s="113"/>
    </row>
    <row r="172" spans="1:20" s="112" customFormat="1" ht="14.25">
      <c r="A172" s="123" t="s">
        <v>1523</v>
      </c>
      <c r="B172" s="669"/>
      <c r="C172" s="669"/>
      <c r="D172" s="669"/>
      <c r="E172" s="669"/>
      <c r="F172" s="669"/>
      <c r="G172" s="669"/>
      <c r="H172" s="669"/>
      <c r="I172" s="643"/>
      <c r="J172" s="701"/>
      <c r="K172" s="643"/>
      <c r="L172" s="643"/>
      <c r="M172" s="643"/>
      <c r="N172" s="643"/>
      <c r="O172" s="672"/>
      <c r="P172" s="692"/>
      <c r="Q172" s="682"/>
      <c r="S172" s="113"/>
      <c r="T172" s="113"/>
    </row>
    <row r="173" spans="1:20" s="112" customFormat="1" ht="14.25">
      <c r="A173" s="123" t="s">
        <v>1524</v>
      </c>
      <c r="B173" s="669"/>
      <c r="C173" s="669"/>
      <c r="D173" s="669"/>
      <c r="E173" s="669"/>
      <c r="F173" s="669"/>
      <c r="G173" s="669"/>
      <c r="H173" s="669"/>
      <c r="I173" s="643"/>
      <c r="J173" s="701"/>
      <c r="K173" s="643"/>
      <c r="L173" s="643"/>
      <c r="M173" s="643"/>
      <c r="N173" s="643"/>
      <c r="O173" s="672"/>
      <c r="P173" s="692"/>
      <c r="Q173" s="682"/>
      <c r="S173" s="113"/>
      <c r="T173" s="113"/>
    </row>
    <row r="174" spans="1:20" s="112" customFormat="1" ht="14.25">
      <c r="A174" s="123" t="s">
        <v>1525</v>
      </c>
      <c r="B174" s="669"/>
      <c r="C174" s="669"/>
      <c r="D174" s="669"/>
      <c r="E174" s="669"/>
      <c r="F174" s="669"/>
      <c r="G174" s="669"/>
      <c r="H174" s="669"/>
      <c r="I174" s="643"/>
      <c r="J174" s="701"/>
      <c r="K174" s="643"/>
      <c r="L174" s="643"/>
      <c r="M174" s="643"/>
      <c r="N174" s="643"/>
      <c r="O174" s="672"/>
      <c r="P174" s="692"/>
      <c r="Q174" s="682"/>
      <c r="S174" s="113"/>
      <c r="T174" s="113"/>
    </row>
    <row r="175" spans="1:20" s="112" customFormat="1" ht="14.25">
      <c r="A175" s="123" t="s">
        <v>1526</v>
      </c>
      <c r="B175" s="669"/>
      <c r="C175" s="669"/>
      <c r="D175" s="669"/>
      <c r="E175" s="669"/>
      <c r="F175" s="669"/>
      <c r="G175" s="669"/>
      <c r="H175" s="669"/>
      <c r="I175" s="643"/>
      <c r="J175" s="701"/>
      <c r="K175" s="643"/>
      <c r="L175" s="643"/>
      <c r="M175" s="643"/>
      <c r="N175" s="643"/>
      <c r="O175" s="672"/>
      <c r="P175" s="692"/>
      <c r="Q175" s="682"/>
      <c r="S175" s="113"/>
      <c r="T175" s="113"/>
    </row>
    <row r="176" spans="1:20" s="112" customFormat="1" ht="14.25">
      <c r="A176" s="123" t="s">
        <v>1527</v>
      </c>
      <c r="B176" s="669"/>
      <c r="C176" s="669"/>
      <c r="D176" s="669"/>
      <c r="E176" s="669"/>
      <c r="F176" s="669"/>
      <c r="G176" s="669"/>
      <c r="H176" s="669"/>
      <c r="I176" s="643"/>
      <c r="J176" s="701"/>
      <c r="K176" s="643"/>
      <c r="L176" s="643"/>
      <c r="M176" s="643"/>
      <c r="N176" s="643"/>
      <c r="O176" s="672"/>
      <c r="P176" s="692"/>
      <c r="Q176" s="682"/>
      <c r="S176" s="113"/>
      <c r="T176" s="113"/>
    </row>
    <row r="177" spans="1:20" s="112" customFormat="1" ht="14.25">
      <c r="A177" s="123" t="s">
        <v>1528</v>
      </c>
      <c r="B177" s="669"/>
      <c r="C177" s="669"/>
      <c r="D177" s="669"/>
      <c r="E177" s="669"/>
      <c r="F177" s="669"/>
      <c r="G177" s="669"/>
      <c r="H177" s="669"/>
      <c r="I177" s="643"/>
      <c r="J177" s="701"/>
      <c r="K177" s="643"/>
      <c r="L177" s="643"/>
      <c r="M177" s="643"/>
      <c r="N177" s="643"/>
      <c r="O177" s="672"/>
      <c r="P177" s="692"/>
      <c r="Q177" s="682"/>
      <c r="S177" s="113"/>
      <c r="T177" s="113"/>
    </row>
    <row r="178" spans="1:17" ht="14.25">
      <c r="A178" s="123" t="s">
        <v>1529</v>
      </c>
      <c r="B178" s="669"/>
      <c r="C178" s="669"/>
      <c r="D178" s="669"/>
      <c r="E178" s="669"/>
      <c r="F178" s="669"/>
      <c r="G178" s="669"/>
      <c r="H178" s="669"/>
      <c r="I178" s="643"/>
      <c r="J178" s="701"/>
      <c r="K178" s="643"/>
      <c r="L178" s="643"/>
      <c r="M178" s="643"/>
      <c r="N178" s="643"/>
      <c r="O178" s="672"/>
      <c r="P178" s="692"/>
      <c r="Q178" s="682"/>
    </row>
    <row r="179" spans="1:17" ht="14.25">
      <c r="A179" s="123" t="s">
        <v>1530</v>
      </c>
      <c r="B179" s="669"/>
      <c r="C179" s="669"/>
      <c r="D179" s="669"/>
      <c r="E179" s="669"/>
      <c r="F179" s="669"/>
      <c r="G179" s="669"/>
      <c r="H179" s="669"/>
      <c r="I179" s="643"/>
      <c r="J179" s="701"/>
      <c r="K179" s="643"/>
      <c r="L179" s="643"/>
      <c r="M179" s="643"/>
      <c r="N179" s="643"/>
      <c r="O179" s="672"/>
      <c r="P179" s="692"/>
      <c r="Q179" s="682"/>
    </row>
    <row r="180" spans="1:17" ht="14.25">
      <c r="A180" s="123" t="s">
        <v>1531</v>
      </c>
      <c r="B180" s="670"/>
      <c r="C180" s="670"/>
      <c r="D180" s="670"/>
      <c r="E180" s="670"/>
      <c r="F180" s="670"/>
      <c r="G180" s="670"/>
      <c r="H180" s="670"/>
      <c r="I180" s="644"/>
      <c r="J180" s="702"/>
      <c r="K180" s="644"/>
      <c r="L180" s="644"/>
      <c r="M180" s="644"/>
      <c r="N180" s="644"/>
      <c r="O180" s="673"/>
      <c r="P180" s="693"/>
      <c r="Q180" s="683"/>
    </row>
    <row r="181" spans="1:17" ht="15">
      <c r="A181" s="697" t="s">
        <v>1532</v>
      </c>
      <c r="B181" s="698"/>
      <c r="C181" s="698"/>
      <c r="D181" s="698"/>
      <c r="E181" s="698"/>
      <c r="F181" s="698"/>
      <c r="G181" s="698"/>
      <c r="H181" s="698"/>
      <c r="I181" s="698"/>
      <c r="J181" s="698"/>
      <c r="K181" s="698"/>
      <c r="L181" s="698"/>
      <c r="M181" s="698"/>
      <c r="N181" s="698"/>
      <c r="O181" s="698"/>
      <c r="P181" s="699"/>
      <c r="Q181" s="612"/>
    </row>
    <row r="182" spans="1:17" ht="14.25">
      <c r="A182" s="125" t="s">
        <v>1533</v>
      </c>
      <c r="B182" s="668" t="s">
        <v>808</v>
      </c>
      <c r="C182" s="668" t="s">
        <v>1385</v>
      </c>
      <c r="D182" s="668"/>
      <c r="E182" s="668"/>
      <c r="F182" s="668">
        <v>10</v>
      </c>
      <c r="G182" s="668">
        <v>0</v>
      </c>
      <c r="H182" s="668">
        <v>15</v>
      </c>
      <c r="I182" s="674">
        <f>(170*1000000)/(365*24*60*60)</f>
        <v>5.39066463723998</v>
      </c>
      <c r="J182" s="700" t="s">
        <v>1391</v>
      </c>
      <c r="K182" s="645">
        <v>0</v>
      </c>
      <c r="L182" s="645">
        <v>0</v>
      </c>
      <c r="M182" s="703">
        <f>'Diffuse emissions summary'!F18</f>
        <v>71.71622649394229</v>
      </c>
      <c r="N182" s="645" t="s">
        <v>808</v>
      </c>
      <c r="O182" s="677" t="s">
        <v>1331</v>
      </c>
      <c r="P182" s="688" t="s">
        <v>168</v>
      </c>
      <c r="Q182" s="680" t="s">
        <v>172</v>
      </c>
    </row>
    <row r="183" spans="1:17" ht="14.25">
      <c r="A183" s="126" t="s">
        <v>1534</v>
      </c>
      <c r="B183" s="643"/>
      <c r="C183" s="643"/>
      <c r="D183" s="643"/>
      <c r="E183" s="643"/>
      <c r="F183" s="643"/>
      <c r="G183" s="643"/>
      <c r="H183" s="643"/>
      <c r="I183" s="675"/>
      <c r="J183" s="701"/>
      <c r="K183" s="643"/>
      <c r="L183" s="643"/>
      <c r="M183" s="643"/>
      <c r="N183" s="643"/>
      <c r="O183" s="678"/>
      <c r="P183" s="689"/>
      <c r="Q183" s="654"/>
    </row>
    <row r="184" spans="1:17" ht="14.25">
      <c r="A184" s="126" t="s">
        <v>1556</v>
      </c>
      <c r="B184" s="643"/>
      <c r="C184" s="643"/>
      <c r="D184" s="643"/>
      <c r="E184" s="643"/>
      <c r="F184" s="643"/>
      <c r="G184" s="643"/>
      <c r="H184" s="643"/>
      <c r="I184" s="675"/>
      <c r="J184" s="701"/>
      <c r="K184" s="643"/>
      <c r="L184" s="643"/>
      <c r="M184" s="643"/>
      <c r="N184" s="643"/>
      <c r="O184" s="678"/>
      <c r="P184" s="689"/>
      <c r="Q184" s="654"/>
    </row>
    <row r="185" spans="1:17" ht="14.25">
      <c r="A185" s="126" t="s">
        <v>1557</v>
      </c>
      <c r="B185" s="643"/>
      <c r="C185" s="643"/>
      <c r="D185" s="643"/>
      <c r="E185" s="643"/>
      <c r="F185" s="643"/>
      <c r="G185" s="643"/>
      <c r="H185" s="643"/>
      <c r="I185" s="675"/>
      <c r="J185" s="701"/>
      <c r="K185" s="643"/>
      <c r="L185" s="643"/>
      <c r="M185" s="643"/>
      <c r="N185" s="643"/>
      <c r="O185" s="678"/>
      <c r="P185" s="689"/>
      <c r="Q185" s="654"/>
    </row>
    <row r="186" spans="1:17" ht="14.25">
      <c r="A186" s="126" t="s">
        <v>1558</v>
      </c>
      <c r="B186" s="643"/>
      <c r="C186" s="643"/>
      <c r="D186" s="643"/>
      <c r="E186" s="643"/>
      <c r="F186" s="643"/>
      <c r="G186" s="643"/>
      <c r="H186" s="643"/>
      <c r="I186" s="675"/>
      <c r="J186" s="701"/>
      <c r="K186" s="643"/>
      <c r="L186" s="643"/>
      <c r="M186" s="643"/>
      <c r="N186" s="643"/>
      <c r="O186" s="678"/>
      <c r="P186" s="689"/>
      <c r="Q186" s="654"/>
    </row>
    <row r="187" spans="1:17" ht="14.25">
      <c r="A187" s="126" t="s">
        <v>1561</v>
      </c>
      <c r="B187" s="644"/>
      <c r="C187" s="644"/>
      <c r="D187" s="644"/>
      <c r="E187" s="644"/>
      <c r="F187" s="644"/>
      <c r="G187" s="644"/>
      <c r="H187" s="644"/>
      <c r="I187" s="676"/>
      <c r="J187" s="702"/>
      <c r="K187" s="644"/>
      <c r="L187" s="644"/>
      <c r="M187" s="644"/>
      <c r="N187" s="644"/>
      <c r="O187" s="679"/>
      <c r="P187" s="690"/>
      <c r="Q187" s="655"/>
    </row>
    <row r="188" spans="1:20" s="112" customFormat="1" ht="15">
      <c r="A188" s="651" t="s">
        <v>638</v>
      </c>
      <c r="B188" s="635"/>
      <c r="C188" s="635"/>
      <c r="D188" s="635"/>
      <c r="E188" s="635"/>
      <c r="F188" s="635"/>
      <c r="G188" s="635"/>
      <c r="H188" s="635"/>
      <c r="I188" s="635"/>
      <c r="J188" s="635"/>
      <c r="K188" s="635"/>
      <c r="L188" s="635"/>
      <c r="M188" s="635"/>
      <c r="N188" s="635"/>
      <c r="O188" s="635"/>
      <c r="P188" s="635"/>
      <c r="Q188" s="636"/>
      <c r="S188" s="113"/>
      <c r="T188" s="113"/>
    </row>
    <row r="189" spans="1:17" ht="57">
      <c r="A189" s="162" t="s">
        <v>1318</v>
      </c>
      <c r="B189" s="163" t="s">
        <v>808</v>
      </c>
      <c r="C189" s="163" t="s">
        <v>1385</v>
      </c>
      <c r="D189" s="163"/>
      <c r="E189" s="163"/>
      <c r="F189" s="163"/>
      <c r="G189" s="163"/>
      <c r="H189" s="163"/>
      <c r="I189" s="164"/>
      <c r="J189" s="164"/>
      <c r="K189" s="164"/>
      <c r="L189" s="164"/>
      <c r="M189" s="166">
        <f>'Diffuse emissions summary'!F27</f>
        <v>111.51524938394677</v>
      </c>
      <c r="N189" s="164" t="s">
        <v>808</v>
      </c>
      <c r="O189" s="163"/>
      <c r="P189" s="172" t="s">
        <v>168</v>
      </c>
      <c r="Q189" s="165"/>
    </row>
    <row r="190" spans="1:17" ht="14.25">
      <c r="A190" s="272" t="s">
        <v>375</v>
      </c>
      <c r="B190" s="273"/>
      <c r="C190" s="273"/>
      <c r="D190" s="273"/>
      <c r="E190" s="273"/>
      <c r="F190" s="273"/>
      <c r="G190" s="273"/>
      <c r="H190" s="273"/>
      <c r="I190" s="274"/>
      <c r="J190" s="274"/>
      <c r="K190" s="274"/>
      <c r="L190" s="274"/>
      <c r="M190" s="274"/>
      <c r="N190" s="274"/>
      <c r="O190" s="273"/>
      <c r="P190" s="273"/>
      <c r="Q190" s="273"/>
    </row>
  </sheetData>
  <sheetProtection/>
  <mergeCells count="144">
    <mergeCell ref="F82:Q82"/>
    <mergeCell ref="B76:B77"/>
    <mergeCell ref="C76:C77"/>
    <mergeCell ref="D76:D77"/>
    <mergeCell ref="E76:E77"/>
    <mergeCell ref="J76:J77"/>
    <mergeCell ref="K76:K77"/>
    <mergeCell ref="A78:Q78"/>
    <mergeCell ref="Q76:Q77"/>
    <mergeCell ref="A115:Q115"/>
    <mergeCell ref="A110:Q110"/>
    <mergeCell ref="A97:Q97"/>
    <mergeCell ref="A102:Q102"/>
    <mergeCell ref="P111:P114"/>
    <mergeCell ref="P88:P90"/>
    <mergeCell ref="A92:Q92"/>
    <mergeCell ref="Q88:Q90"/>
    <mergeCell ref="D116:D130"/>
    <mergeCell ref="E116:E130"/>
    <mergeCell ref="K116:K130"/>
    <mergeCell ref="G116:G130"/>
    <mergeCell ref="H116:H130"/>
    <mergeCell ref="F116:F130"/>
    <mergeCell ref="O132:O147"/>
    <mergeCell ref="K132:K147"/>
    <mergeCell ref="N132:N147"/>
    <mergeCell ref="I155:I180"/>
    <mergeCell ref="J155:J180"/>
    <mergeCell ref="F132:F147"/>
    <mergeCell ref="G132:G147"/>
    <mergeCell ref="J132:J147"/>
    <mergeCell ref="I132:I147"/>
    <mergeCell ref="D132:D147"/>
    <mergeCell ref="H132:H147"/>
    <mergeCell ref="C155:C180"/>
    <mergeCell ref="D155:D180"/>
    <mergeCell ref="E155:E180"/>
    <mergeCell ref="J13:J16"/>
    <mergeCell ref="G13:G16"/>
    <mergeCell ref="M13:M16"/>
    <mergeCell ref="N13:N16"/>
    <mergeCell ref="K13:K16"/>
    <mergeCell ref="A63:Q63"/>
    <mergeCell ref="F62:Q62"/>
    <mergeCell ref="I76:I77"/>
    <mergeCell ref="A152:Q152"/>
    <mergeCell ref="A150:Q150"/>
    <mergeCell ref="A148:Q148"/>
    <mergeCell ref="Q132:Q147"/>
    <mergeCell ref="M76:M77"/>
    <mergeCell ref="N76:N77"/>
    <mergeCell ref="P76:P77"/>
    <mergeCell ref="O76:O77"/>
    <mergeCell ref="E132:E147"/>
    <mergeCell ref="C13:C16"/>
    <mergeCell ref="D13:D16"/>
    <mergeCell ref="B155:B180"/>
    <mergeCell ref="F76:F77"/>
    <mergeCell ref="G76:G77"/>
    <mergeCell ref="H76:H77"/>
    <mergeCell ref="B132:B147"/>
    <mergeCell ref="C132:C147"/>
    <mergeCell ref="B116:B130"/>
    <mergeCell ref="C116:C130"/>
    <mergeCell ref="F3:F11"/>
    <mergeCell ref="N3:N11"/>
    <mergeCell ref="A17:O17"/>
    <mergeCell ref="B13:B16"/>
    <mergeCell ref="E13:E16"/>
    <mergeCell ref="F13:F16"/>
    <mergeCell ref="O13:O16"/>
    <mergeCell ref="J3:J11"/>
    <mergeCell ref="E3:E11"/>
    <mergeCell ref="G3:G11"/>
    <mergeCell ref="P83:P87"/>
    <mergeCell ref="D1:E1"/>
    <mergeCell ref="A2:Q2"/>
    <mergeCell ref="I3:I11"/>
    <mergeCell ref="P3:P11"/>
    <mergeCell ref="K3:K11"/>
    <mergeCell ref="O3:O11"/>
    <mergeCell ref="D3:D11"/>
    <mergeCell ref="B3:B11"/>
    <mergeCell ref="C3:C11"/>
    <mergeCell ref="A154:Q154"/>
    <mergeCell ref="Q83:Q87"/>
    <mergeCell ref="A131:Q131"/>
    <mergeCell ref="Q116:Q130"/>
    <mergeCell ref="M116:M130"/>
    <mergeCell ref="O116:O130"/>
    <mergeCell ref="P116:P130"/>
    <mergeCell ref="N116:N130"/>
    <mergeCell ref="I116:I130"/>
    <mergeCell ref="J116:J130"/>
    <mergeCell ref="C182:C187"/>
    <mergeCell ref="M132:M147"/>
    <mergeCell ref="P182:P187"/>
    <mergeCell ref="P155:P180"/>
    <mergeCell ref="P132:P147"/>
    <mergeCell ref="G155:G180"/>
    <mergeCell ref="A181:Q181"/>
    <mergeCell ref="J182:J187"/>
    <mergeCell ref="K182:K187"/>
    <mergeCell ref="M182:M187"/>
    <mergeCell ref="I182:I187"/>
    <mergeCell ref="O182:O187"/>
    <mergeCell ref="A188:Q188"/>
    <mergeCell ref="Q182:Q187"/>
    <mergeCell ref="Q155:Q180"/>
    <mergeCell ref="N182:N187"/>
    <mergeCell ref="K155:K180"/>
    <mergeCell ref="M155:M180"/>
    <mergeCell ref="N155:N180"/>
    <mergeCell ref="B182:B187"/>
    <mergeCell ref="F33:Q36"/>
    <mergeCell ref="H3:H11"/>
    <mergeCell ref="D182:D187"/>
    <mergeCell ref="F155:F180"/>
    <mergeCell ref="O155:O180"/>
    <mergeCell ref="E182:E187"/>
    <mergeCell ref="H155:H180"/>
    <mergeCell ref="F182:F187"/>
    <mergeCell ref="G182:G187"/>
    <mergeCell ref="H182:H187"/>
    <mergeCell ref="L182:L187"/>
    <mergeCell ref="L3:L11"/>
    <mergeCell ref="L13:L16"/>
    <mergeCell ref="L76:L77"/>
    <mergeCell ref="L116:L130"/>
    <mergeCell ref="A12:O12"/>
    <mergeCell ref="A49:Q49"/>
    <mergeCell ref="A23:Q23"/>
    <mergeCell ref="P12:Q12"/>
    <mergeCell ref="Q3:Q11"/>
    <mergeCell ref="H13:H16"/>
    <mergeCell ref="I13:I16"/>
    <mergeCell ref="P17:Q17"/>
    <mergeCell ref="M3:M11"/>
    <mergeCell ref="L132:L147"/>
    <mergeCell ref="L155:L180"/>
    <mergeCell ref="Q42:Q44"/>
    <mergeCell ref="P13:P16"/>
    <mergeCell ref="Q13:Q16"/>
    <mergeCell ref="P42:P44"/>
  </mergeCells>
  <printOptions horizontalCentered="1"/>
  <pageMargins left="0.1968503937007874" right="0.1968503937007874" top="0.984251968503937" bottom="0.86" header="0.5118110236220472" footer="0.5118110236220472"/>
  <pageSetup fitToHeight="10" fitToWidth="1" horizontalDpi="600" verticalDpi="600" orientation="landscape" paperSize="9" scale="41"/>
  <headerFooter alignWithMargins="0">
    <oddHeader>&amp;C&amp;"Arial,Bold"Draft&amp;"Arial,Regular" Port Talbot PM10 emissions inventory
&amp;F</oddHeader>
    <oddFooter>&amp;L&amp;D&amp;R93008.02</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492"/>
  <sheetViews>
    <sheetView zoomScalePageLayoutView="0" workbookViewId="0" topLeftCell="A1">
      <selection activeCell="B318" sqref="B318"/>
    </sheetView>
  </sheetViews>
  <sheetFormatPr defaultColWidth="9.00390625" defaultRowHeight="14.25"/>
  <cols>
    <col min="1" max="1" width="41.25390625" style="0" customWidth="1"/>
    <col min="2" max="2" width="25.625" style="9" customWidth="1"/>
    <col min="3" max="3" width="57.625" style="9" customWidth="1"/>
    <col min="4" max="4" width="27.125" style="9" bestFit="1" customWidth="1"/>
    <col min="5" max="5" width="21.875" style="9" bestFit="1" customWidth="1"/>
    <col min="6" max="6" width="13.50390625" style="0" bestFit="1" customWidth="1"/>
    <col min="9" max="9" width="22.00390625" style="9" bestFit="1" customWidth="1"/>
    <col min="10" max="10" width="34.625" style="0" customWidth="1"/>
    <col min="11" max="11" width="30.875" style="0" bestFit="1" customWidth="1"/>
    <col min="12" max="12" width="12.625" style="9" customWidth="1"/>
    <col min="13" max="13" width="12.625" style="0" customWidth="1"/>
    <col min="14" max="14" width="12.625" style="9" customWidth="1"/>
    <col min="15" max="15" width="30.875" style="0" bestFit="1" customWidth="1"/>
    <col min="16" max="16" width="11.875" style="0" bestFit="1" customWidth="1"/>
    <col min="17" max="17" width="14.75390625" style="0" customWidth="1"/>
  </cols>
  <sheetData>
    <row r="1" ht="15">
      <c r="A1" s="10" t="s">
        <v>16</v>
      </c>
    </row>
    <row r="2" ht="15">
      <c r="A2" s="32" t="s">
        <v>1052</v>
      </c>
    </row>
    <row r="3" spans="1:14" ht="15">
      <c r="A3" s="10"/>
      <c r="I3"/>
      <c r="N3"/>
    </row>
    <row r="4" spans="1:14" ht="15.75" thickBot="1">
      <c r="A4" s="400" t="s">
        <v>922</v>
      </c>
      <c r="B4" s="400">
        <f>1000*60*60</f>
        <v>3600000</v>
      </c>
      <c r="I4"/>
      <c r="J4" s="40" t="s">
        <v>950</v>
      </c>
      <c r="K4" s="40"/>
      <c r="N4"/>
    </row>
    <row r="5" spans="1:14" ht="43.5" thickBot="1">
      <c r="A5" s="400" t="s">
        <v>923</v>
      </c>
      <c r="B5" s="400">
        <f>(60*60*24*365)/1000000</f>
        <v>31.536</v>
      </c>
      <c r="C5" s="43" t="s">
        <v>952</v>
      </c>
      <c r="I5"/>
      <c r="J5" s="158" t="s">
        <v>115</v>
      </c>
      <c r="K5" s="159" t="s">
        <v>648</v>
      </c>
      <c r="L5" s="160" t="s">
        <v>109</v>
      </c>
      <c r="M5" s="160" t="s">
        <v>110</v>
      </c>
      <c r="N5"/>
    </row>
    <row r="6" spans="1:14" ht="15.75" thickBot="1">
      <c r="A6" s="10"/>
      <c r="I6"/>
      <c r="J6" s="161" t="s">
        <v>701</v>
      </c>
      <c r="K6" s="44" t="s">
        <v>700</v>
      </c>
      <c r="L6" s="157">
        <f>'[4]A'!$F$14/8760</f>
        <v>0.975</v>
      </c>
      <c r="M6" s="42">
        <v>0.4</v>
      </c>
      <c r="N6"/>
    </row>
    <row r="7" spans="9:14" ht="15" thickBot="1">
      <c r="I7"/>
      <c r="J7" s="161" t="s">
        <v>699</v>
      </c>
      <c r="K7" s="44" t="s">
        <v>698</v>
      </c>
      <c r="L7" s="42">
        <f>'[4]A'!$B$14/8760</f>
        <v>1</v>
      </c>
      <c r="M7" s="42">
        <v>1</v>
      </c>
      <c r="N7"/>
    </row>
    <row r="8" spans="1:14" ht="15.75" thickBot="1">
      <c r="A8" s="32" t="s">
        <v>970</v>
      </c>
      <c r="I8"/>
      <c r="J8" s="161" t="s">
        <v>651</v>
      </c>
      <c r="K8" s="44" t="s">
        <v>650</v>
      </c>
      <c r="L8" s="42">
        <f>'[5]A'!$B$28/8760</f>
        <v>0.8538812785388128</v>
      </c>
      <c r="M8" s="42">
        <v>0.8</v>
      </c>
      <c r="N8"/>
    </row>
    <row r="9" spans="1:14" ht="15" thickBot="1">
      <c r="A9" t="s">
        <v>809</v>
      </c>
      <c r="I9"/>
      <c r="J9" s="161" t="s">
        <v>653</v>
      </c>
      <c r="K9" s="44" t="s">
        <v>652</v>
      </c>
      <c r="L9" s="42">
        <f>'[5]A'!$E$28/8760</f>
        <v>0.8538812785388128</v>
      </c>
      <c r="M9" s="42">
        <v>0.8</v>
      </c>
      <c r="N9"/>
    </row>
    <row r="10" spans="1:14" ht="15" thickBot="1">
      <c r="A10" t="s">
        <v>810</v>
      </c>
      <c r="I10"/>
      <c r="J10" s="161" t="s">
        <v>661</v>
      </c>
      <c r="K10" s="44" t="s">
        <v>660</v>
      </c>
      <c r="L10" s="42">
        <f>'[2]A'!$B$14/8760</f>
        <v>1</v>
      </c>
      <c r="M10" s="42">
        <v>0.9</v>
      </c>
      <c r="N10"/>
    </row>
    <row r="11" spans="1:14" ht="15.75" thickBot="1">
      <c r="A11" s="25" t="s">
        <v>951</v>
      </c>
      <c r="B11" s="405">
        <f>'PT Operational Factors'!E37/100</f>
        <v>0.981</v>
      </c>
      <c r="I11"/>
      <c r="J11" s="161" t="s">
        <v>663</v>
      </c>
      <c r="K11" s="44" t="s">
        <v>662</v>
      </c>
      <c r="L11" s="42">
        <f>'[2]A'!$E$14/8760</f>
        <v>1</v>
      </c>
      <c r="M11" s="42">
        <v>0.9</v>
      </c>
      <c r="N11"/>
    </row>
    <row r="12" spans="6:14" ht="15.75" thickBot="1">
      <c r="F12" s="10" t="s">
        <v>762</v>
      </c>
      <c r="G12" s="23"/>
      <c r="H12" s="23"/>
      <c r="I12" s="23"/>
      <c r="J12" s="161" t="s">
        <v>665</v>
      </c>
      <c r="K12" s="44" t="s">
        <v>664</v>
      </c>
      <c r="L12" s="42"/>
      <c r="M12" s="42">
        <v>0.9</v>
      </c>
      <c r="N12"/>
    </row>
    <row r="13" spans="1:14" ht="15" thickBot="1">
      <c r="A13" s="13"/>
      <c r="B13" s="12" t="s">
        <v>811</v>
      </c>
      <c r="C13" s="12" t="s">
        <v>812</v>
      </c>
      <c r="D13" s="12" t="s">
        <v>813</v>
      </c>
      <c r="E13" s="12" t="s">
        <v>814</v>
      </c>
      <c r="I13"/>
      <c r="J13" s="161" t="s">
        <v>667</v>
      </c>
      <c r="K13" s="44" t="s">
        <v>666</v>
      </c>
      <c r="L13" s="42"/>
      <c r="M13" s="42">
        <v>0.9</v>
      </c>
      <c r="N13"/>
    </row>
    <row r="14" spans="1:14" ht="15" thickBot="1">
      <c r="A14" s="13" t="s">
        <v>815</v>
      </c>
      <c r="B14" s="12" t="s">
        <v>966</v>
      </c>
      <c r="C14" s="12" t="s">
        <v>967</v>
      </c>
      <c r="D14" s="12" t="s">
        <v>968</v>
      </c>
      <c r="E14" s="12" t="s">
        <v>969</v>
      </c>
      <c r="I14"/>
      <c r="J14" s="161" t="s">
        <v>669</v>
      </c>
      <c r="K14" s="44" t="s">
        <v>668</v>
      </c>
      <c r="L14" s="42">
        <f>'[2]A'!$N$14/8760</f>
        <v>1</v>
      </c>
      <c r="M14" s="42">
        <v>0.9</v>
      </c>
      <c r="N14"/>
    </row>
    <row r="15" spans="1:14" ht="15.75" thickBot="1">
      <c r="A15" s="13" t="s">
        <v>816</v>
      </c>
      <c r="B15" s="12">
        <v>0.54</v>
      </c>
      <c r="C15" s="12">
        <v>43.3</v>
      </c>
      <c r="D15" s="12">
        <v>46.6</v>
      </c>
      <c r="E15" s="12">
        <v>1</v>
      </c>
      <c r="F15" s="10">
        <f>AVERAGE(B15:E15)</f>
        <v>22.86</v>
      </c>
      <c r="G15" s="10" t="s">
        <v>915</v>
      </c>
      <c r="H15" s="10"/>
      <c r="I15" s="10"/>
      <c r="J15" s="161" t="s">
        <v>731</v>
      </c>
      <c r="K15" s="44" t="s">
        <v>676</v>
      </c>
      <c r="L15" s="42"/>
      <c r="M15" s="42">
        <v>0.38</v>
      </c>
      <c r="N15"/>
    </row>
    <row r="16" spans="1:14" ht="15.75" thickBot="1">
      <c r="A16" s="13" t="s">
        <v>817</v>
      </c>
      <c r="B16" s="200">
        <v>37765</v>
      </c>
      <c r="C16" s="200">
        <v>49609</v>
      </c>
      <c r="D16" s="200">
        <v>31222</v>
      </c>
      <c r="E16" s="200">
        <v>32812</v>
      </c>
      <c r="F16">
        <f>AVERAGE(B16:E16)</f>
        <v>37852</v>
      </c>
      <c r="G16" s="24">
        <f>F16/(60*60)</f>
        <v>10.514444444444445</v>
      </c>
      <c r="H16" s="24" t="s">
        <v>477</v>
      </c>
      <c r="I16" s="24"/>
      <c r="J16" s="161" t="s">
        <v>732</v>
      </c>
      <c r="K16" s="44" t="s">
        <v>676</v>
      </c>
      <c r="L16" s="42"/>
      <c r="M16" s="42">
        <v>0.38</v>
      </c>
      <c r="N16"/>
    </row>
    <row r="17" spans="9:14" ht="15" thickBot="1">
      <c r="I17"/>
      <c r="J17" s="161" t="s">
        <v>735</v>
      </c>
      <c r="K17" s="44"/>
      <c r="L17" s="42"/>
      <c r="M17" s="42" t="s">
        <v>155</v>
      </c>
      <c r="N17"/>
    </row>
    <row r="18" spans="1:14" ht="15.75" thickBot="1">
      <c r="A18" s="10" t="s">
        <v>630</v>
      </c>
      <c r="B18" s="11">
        <f>(B15*B16)/(1000*60*60)</f>
        <v>0.0056647500000000005</v>
      </c>
      <c r="C18" s="11">
        <f>(C15*C16)/(1000*60*60)</f>
        <v>0.5966860277777777</v>
      </c>
      <c r="D18" s="11">
        <f>(D15*D16)/(1000*60*60)</f>
        <v>0.40415144444444445</v>
      </c>
      <c r="E18" s="11">
        <f>(E15*E16)/(1000*60*60)</f>
        <v>0.009114444444444444</v>
      </c>
      <c r="F18" s="26">
        <f>AVERAGE(B18:E18)</f>
        <v>0.25390416666666665</v>
      </c>
      <c r="G18" s="10" t="s">
        <v>818</v>
      </c>
      <c r="H18" s="10"/>
      <c r="I18" s="10"/>
      <c r="J18" s="161" t="s">
        <v>683</v>
      </c>
      <c r="K18" s="44" t="s">
        <v>682</v>
      </c>
      <c r="L18" s="42">
        <f>'[3]A'!$Q$12/8760</f>
        <v>1</v>
      </c>
      <c r="M18" s="42">
        <v>0.94</v>
      </c>
      <c r="N18"/>
    </row>
    <row r="19" spans="6:14" ht="15.75" thickBot="1">
      <c r="F19" s="24">
        <f>F18*B5*B11</f>
        <v>7.8549864858000005</v>
      </c>
      <c r="G19" s="10" t="s">
        <v>749</v>
      </c>
      <c r="H19" s="10"/>
      <c r="I19" s="10"/>
      <c r="J19" s="161" t="s">
        <v>685</v>
      </c>
      <c r="K19" s="44" t="s">
        <v>684</v>
      </c>
      <c r="L19" s="42">
        <f>'[3]A'!$T$12/8760</f>
        <v>1</v>
      </c>
      <c r="M19" s="42">
        <v>0.94</v>
      </c>
      <c r="N19"/>
    </row>
    <row r="20" spans="9:14" ht="15" thickBot="1">
      <c r="I20"/>
      <c r="J20" s="161" t="s">
        <v>728</v>
      </c>
      <c r="K20" s="44" t="s">
        <v>689</v>
      </c>
      <c r="L20" s="42">
        <f>'[3]A'!$H$12/8760</f>
        <v>1</v>
      </c>
      <c r="M20" s="42">
        <v>0.67</v>
      </c>
      <c r="N20"/>
    </row>
    <row r="21" spans="9:14" ht="15" thickBot="1">
      <c r="I21"/>
      <c r="J21" s="161" t="s">
        <v>729</v>
      </c>
      <c r="K21" s="44" t="s">
        <v>689</v>
      </c>
      <c r="L21" s="42">
        <f>'[3]A'!$K$12/8760</f>
        <v>1</v>
      </c>
      <c r="M21" s="42">
        <v>0.67</v>
      </c>
      <c r="N21"/>
    </row>
    <row r="22" spans="1:14" ht="15.75" thickBot="1">
      <c r="A22" s="404" t="s">
        <v>1097</v>
      </c>
      <c r="I22"/>
      <c r="J22" s="161" t="s">
        <v>730</v>
      </c>
      <c r="K22" s="44" t="s">
        <v>689</v>
      </c>
      <c r="L22" s="42">
        <f>'[3]A'!$N$12/8760</f>
        <v>1</v>
      </c>
      <c r="M22" s="42">
        <v>0.67</v>
      </c>
      <c r="N22"/>
    </row>
    <row r="23" spans="1:14" ht="15" thickBot="1">
      <c r="A23" s="15" t="s">
        <v>819</v>
      </c>
      <c r="E23"/>
      <c r="I23"/>
      <c r="J23" s="161" t="s">
        <v>687</v>
      </c>
      <c r="K23" s="44" t="s">
        <v>686</v>
      </c>
      <c r="L23" s="42">
        <f>'[3]A'!$W$12/8760</f>
        <v>1</v>
      </c>
      <c r="M23" s="42">
        <v>0.94</v>
      </c>
      <c r="N23"/>
    </row>
    <row r="24" spans="1:14" ht="15" thickBot="1">
      <c r="A24" s="15" t="s">
        <v>953</v>
      </c>
      <c r="E24"/>
      <c r="I24"/>
      <c r="J24" s="161" t="s">
        <v>692</v>
      </c>
      <c r="K24" s="44" t="s">
        <v>691</v>
      </c>
      <c r="L24" s="42">
        <f>'[3]A'!$Z$12/8760</f>
        <v>0.07397260273972603</v>
      </c>
      <c r="M24" s="42">
        <v>0.1</v>
      </c>
      <c r="N24"/>
    </row>
    <row r="25" spans="1:14" ht="15" thickBot="1">
      <c r="A25" s="15" t="s">
        <v>820</v>
      </c>
      <c r="E25"/>
      <c r="I25"/>
      <c r="J25" s="161" t="s">
        <v>958</v>
      </c>
      <c r="K25" s="44" t="s">
        <v>111</v>
      </c>
      <c r="L25" s="42"/>
      <c r="M25" s="42">
        <v>0.87</v>
      </c>
      <c r="N25"/>
    </row>
    <row r="26" spans="1:14" ht="15.75" thickBot="1">
      <c r="A26" s="25" t="s">
        <v>951</v>
      </c>
      <c r="B26" s="405">
        <f>'PT Operational Factors'!E36/100</f>
        <v>1</v>
      </c>
      <c r="I26"/>
      <c r="J26" s="161" t="s">
        <v>962</v>
      </c>
      <c r="K26" s="44" t="s">
        <v>112</v>
      </c>
      <c r="L26" s="42"/>
      <c r="M26" s="42"/>
      <c r="N26"/>
    </row>
    <row r="27" spans="1:14" ht="15" thickBot="1">
      <c r="A27" s="9"/>
      <c r="I27"/>
      <c r="J27" s="161" t="s">
        <v>709</v>
      </c>
      <c r="K27" s="44" t="s">
        <v>156</v>
      </c>
      <c r="L27" s="42"/>
      <c r="M27" s="42">
        <v>0.99</v>
      </c>
      <c r="N27"/>
    </row>
    <row r="28" spans="1:14" ht="15" thickBot="1">
      <c r="A28" s="13"/>
      <c r="B28" s="392" t="s">
        <v>821</v>
      </c>
      <c r="C28" s="392" t="s">
        <v>822</v>
      </c>
      <c r="G28" t="s">
        <v>1002</v>
      </c>
      <c r="I28"/>
      <c r="J28" s="161" t="s">
        <v>681</v>
      </c>
      <c r="K28" s="44" t="s">
        <v>680</v>
      </c>
      <c r="L28" s="42"/>
      <c r="M28" s="42">
        <v>0.96</v>
      </c>
      <c r="N28"/>
    </row>
    <row r="29" spans="1:14" ht="15" thickBot="1">
      <c r="A29" s="13" t="s">
        <v>815</v>
      </c>
      <c r="B29" s="392" t="s">
        <v>990</v>
      </c>
      <c r="C29" s="392" t="s">
        <v>991</v>
      </c>
      <c r="G29" s="46">
        <v>5.2</v>
      </c>
      <c r="H29" s="46"/>
      <c r="I29"/>
      <c r="J29" s="161" t="s">
        <v>707</v>
      </c>
      <c r="K29" s="44" t="s">
        <v>154</v>
      </c>
      <c r="L29" s="42"/>
      <c r="M29" s="42">
        <v>0.96</v>
      </c>
      <c r="N29"/>
    </row>
    <row r="30" spans="1:14" ht="15" thickBot="1">
      <c r="A30" s="13" t="s">
        <v>874</v>
      </c>
      <c r="B30" s="392">
        <v>986.4</v>
      </c>
      <c r="C30" s="392" t="s">
        <v>992</v>
      </c>
      <c r="G30">
        <v>5.9</v>
      </c>
      <c r="I30"/>
      <c r="J30" s="161" t="s">
        <v>715</v>
      </c>
      <c r="K30" s="44" t="s">
        <v>714</v>
      </c>
      <c r="L30" s="42"/>
      <c r="M30" s="42">
        <v>0.99</v>
      </c>
      <c r="N30"/>
    </row>
    <row r="31" spans="1:14" ht="15" thickBot="1">
      <c r="A31" s="13" t="s">
        <v>875</v>
      </c>
      <c r="B31" s="392">
        <v>0.9</v>
      </c>
      <c r="C31" s="392" t="s">
        <v>993</v>
      </c>
      <c r="G31" t="s">
        <v>1003</v>
      </c>
      <c r="I31"/>
      <c r="J31" s="161" t="s">
        <v>711</v>
      </c>
      <c r="K31" s="44" t="s">
        <v>113</v>
      </c>
      <c r="L31" s="42"/>
      <c r="M31" s="42">
        <v>0.99</v>
      </c>
      <c r="N31"/>
    </row>
    <row r="32" spans="1:14" ht="15" thickBot="1">
      <c r="A32" s="13" t="s">
        <v>876</v>
      </c>
      <c r="B32" s="392">
        <v>4724.4</v>
      </c>
      <c r="C32" s="392" t="s">
        <v>994</v>
      </c>
      <c r="G32" t="s">
        <v>1004</v>
      </c>
      <c r="I32"/>
      <c r="J32" s="161" t="s">
        <v>30</v>
      </c>
      <c r="K32" s="44" t="s">
        <v>114</v>
      </c>
      <c r="L32" s="42"/>
      <c r="M32" s="42">
        <v>0.99</v>
      </c>
      <c r="N32"/>
    </row>
    <row r="33" spans="1:14" ht="14.25">
      <c r="A33" s="13" t="s">
        <v>877</v>
      </c>
      <c r="B33" s="392">
        <v>6.1</v>
      </c>
      <c r="C33" s="392" t="s">
        <v>995</v>
      </c>
      <c r="I33"/>
      <c r="L33"/>
      <c r="N33"/>
    </row>
    <row r="34" spans="1:14" ht="14.25">
      <c r="A34" s="13" t="s">
        <v>878</v>
      </c>
      <c r="B34" s="392" t="s">
        <v>996</v>
      </c>
      <c r="C34" s="392" t="s">
        <v>997</v>
      </c>
      <c r="I34"/>
      <c r="L34"/>
      <c r="N34"/>
    </row>
    <row r="35" spans="1:14" ht="14.25">
      <c r="A35" s="13" t="s">
        <v>879</v>
      </c>
      <c r="B35" s="392" t="s">
        <v>998</v>
      </c>
      <c r="C35" s="392" t="s">
        <v>999</v>
      </c>
      <c r="I35"/>
      <c r="L35"/>
      <c r="N35"/>
    </row>
    <row r="36" spans="1:14" ht="14.25">
      <c r="A36" s="13" t="s">
        <v>880</v>
      </c>
      <c r="B36" s="392" t="s">
        <v>1000</v>
      </c>
      <c r="C36" s="392" t="s">
        <v>1001</v>
      </c>
      <c r="I36"/>
      <c r="L36"/>
      <c r="N36"/>
    </row>
    <row r="37" spans="1:14" ht="14.25">
      <c r="A37" s="13" t="s">
        <v>815</v>
      </c>
      <c r="B37" s="392" t="s">
        <v>1002</v>
      </c>
      <c r="C37" s="392" t="s">
        <v>1002</v>
      </c>
      <c r="L37"/>
      <c r="N37"/>
    </row>
    <row r="38" spans="1:14" ht="14.25">
      <c r="A38" s="13" t="s">
        <v>881</v>
      </c>
      <c r="B38" s="395">
        <v>5.2</v>
      </c>
      <c r="C38" s="395">
        <v>5.2</v>
      </c>
      <c r="L38"/>
      <c r="N38"/>
    </row>
    <row r="39" spans="1:14" ht="14.25">
      <c r="A39" s="13" t="s">
        <v>877</v>
      </c>
      <c r="B39" s="392">
        <v>5.9</v>
      </c>
      <c r="C39" s="392">
        <v>5.9</v>
      </c>
      <c r="L39"/>
      <c r="N39"/>
    </row>
    <row r="40" spans="1:14" ht="14.25">
      <c r="A40" s="13" t="s">
        <v>882</v>
      </c>
      <c r="B40" s="392" t="s">
        <v>1003</v>
      </c>
      <c r="C40" s="392" t="s">
        <v>1003</v>
      </c>
      <c r="L40"/>
      <c r="N40"/>
    </row>
    <row r="41" spans="1:14" ht="14.25">
      <c r="A41" s="13" t="s">
        <v>817</v>
      </c>
      <c r="B41" s="392" t="s">
        <v>1004</v>
      </c>
      <c r="C41" s="392" t="s">
        <v>1004</v>
      </c>
      <c r="D41" s="391">
        <v>73158</v>
      </c>
      <c r="E41" s="12"/>
      <c r="L41"/>
      <c r="N41"/>
    </row>
    <row r="42" spans="12:14" ht="14.25">
      <c r="L42"/>
      <c r="N42"/>
    </row>
    <row r="43" spans="1:14" ht="15">
      <c r="A43" s="10" t="s">
        <v>886</v>
      </c>
      <c r="C43" s="399">
        <f>AVERAGE(B38:C38)</f>
        <v>5.2</v>
      </c>
      <c r="L43"/>
      <c r="N43"/>
    </row>
    <row r="44" spans="1:14" ht="15">
      <c r="A44" s="10" t="s">
        <v>630</v>
      </c>
      <c r="C44" s="30">
        <f>(C43*73158)/(1000*60*60)</f>
        <v>0.10567266666666668</v>
      </c>
      <c r="L44"/>
      <c r="N44"/>
    </row>
    <row r="45" spans="1:14" ht="15">
      <c r="A45" s="10" t="s">
        <v>887</v>
      </c>
      <c r="C45" s="30">
        <f>C44*B5</f>
        <v>3.3324932160000005</v>
      </c>
      <c r="L45"/>
      <c r="N45"/>
    </row>
    <row r="46" spans="1:12" ht="15">
      <c r="A46" s="10"/>
      <c r="C46" s="18"/>
      <c r="L46"/>
    </row>
    <row r="47" ht="14.25">
      <c r="L47"/>
    </row>
    <row r="48" spans="1:12" ht="15">
      <c r="A48" s="404" t="s">
        <v>1096</v>
      </c>
      <c r="L48"/>
    </row>
    <row r="49" spans="1:12" ht="14.25">
      <c r="A49" s="15" t="s">
        <v>891</v>
      </c>
      <c r="L49"/>
    </row>
    <row r="50" spans="1:12" ht="14.25">
      <c r="A50" s="15" t="s">
        <v>810</v>
      </c>
      <c r="L50"/>
    </row>
    <row r="51" spans="1:12" ht="14.25">
      <c r="A51" s="15"/>
      <c r="L51"/>
    </row>
    <row r="52" spans="1:6" ht="15">
      <c r="A52" s="25" t="s">
        <v>951</v>
      </c>
      <c r="B52" s="405">
        <f>'PT Operational Factors'!E14/100</f>
        <v>0.8540000000000001</v>
      </c>
      <c r="F52" s="11" t="s">
        <v>762</v>
      </c>
    </row>
    <row r="53" spans="1:5" ht="14.25">
      <c r="A53" s="13"/>
      <c r="B53" s="392" t="s">
        <v>811</v>
      </c>
      <c r="C53" s="392" t="s">
        <v>812</v>
      </c>
      <c r="D53" s="392" t="s">
        <v>813</v>
      </c>
      <c r="E53" s="392" t="s">
        <v>814</v>
      </c>
    </row>
    <row r="54" spans="1:5" ht="14.25">
      <c r="A54" s="13" t="s">
        <v>815</v>
      </c>
      <c r="B54" s="392" t="s">
        <v>1005</v>
      </c>
      <c r="C54" s="392" t="s">
        <v>1006</v>
      </c>
      <c r="D54" s="392" t="s">
        <v>1007</v>
      </c>
      <c r="E54" s="392" t="s">
        <v>1008</v>
      </c>
    </row>
    <row r="55" spans="1:5" ht="14.25">
      <c r="A55" s="13" t="s">
        <v>874</v>
      </c>
      <c r="B55" s="392" t="s">
        <v>1009</v>
      </c>
      <c r="C55" s="392" t="s">
        <v>1010</v>
      </c>
      <c r="D55" s="392" t="s">
        <v>1011</v>
      </c>
      <c r="E55" s="392" t="s">
        <v>1012</v>
      </c>
    </row>
    <row r="56" spans="1:5" ht="14.25">
      <c r="A56" s="13" t="s">
        <v>875</v>
      </c>
      <c r="B56" s="392" t="s">
        <v>1013</v>
      </c>
      <c r="C56" s="392" t="s">
        <v>1014</v>
      </c>
      <c r="D56" s="392" t="s">
        <v>1015</v>
      </c>
      <c r="E56" s="392" t="s">
        <v>1016</v>
      </c>
    </row>
    <row r="57" spans="1:5" ht="14.25">
      <c r="A57" s="13" t="s">
        <v>876</v>
      </c>
      <c r="B57" s="392">
        <v>6250</v>
      </c>
      <c r="C57" s="392">
        <v>6250</v>
      </c>
      <c r="D57" s="392">
        <v>6250</v>
      </c>
      <c r="E57" s="392">
        <v>6250</v>
      </c>
    </row>
    <row r="58" spans="1:5" ht="14.25">
      <c r="A58" s="13" t="s">
        <v>877</v>
      </c>
      <c r="B58" s="392">
        <v>16.4</v>
      </c>
      <c r="C58" s="392">
        <v>17</v>
      </c>
      <c r="D58" s="392">
        <v>16.3</v>
      </c>
      <c r="E58" s="392">
        <v>16.7</v>
      </c>
    </row>
    <row r="59" spans="1:5" ht="14.25">
      <c r="A59" s="13" t="s">
        <v>815</v>
      </c>
      <c r="B59" s="392" t="s">
        <v>1017</v>
      </c>
      <c r="C59" s="392" t="s">
        <v>1018</v>
      </c>
      <c r="D59" s="392" t="s">
        <v>1019</v>
      </c>
      <c r="E59" s="392" t="s">
        <v>1020</v>
      </c>
    </row>
    <row r="60" spans="1:6" ht="14.25">
      <c r="A60" s="13" t="s">
        <v>816</v>
      </c>
      <c r="B60" s="392">
        <v>54</v>
      </c>
      <c r="C60" s="392">
        <v>36.6</v>
      </c>
      <c r="D60" s="392">
        <v>28.1</v>
      </c>
      <c r="E60" s="392">
        <v>65</v>
      </c>
      <c r="F60" s="18">
        <f>AVERAGE(B60:D60)</f>
        <v>39.56666666666666</v>
      </c>
    </row>
    <row r="61" spans="1:5" ht="14.25">
      <c r="A61" s="13" t="s">
        <v>892</v>
      </c>
      <c r="B61" s="392">
        <v>64.3</v>
      </c>
      <c r="C61" s="392">
        <v>27.6</v>
      </c>
      <c r="D61" s="392">
        <v>82.7</v>
      </c>
      <c r="E61" s="392">
        <v>23.6</v>
      </c>
    </row>
    <row r="62" spans="1:5" ht="14.25">
      <c r="A62" s="13"/>
      <c r="B62" s="12"/>
      <c r="C62" s="12"/>
      <c r="D62" s="12"/>
      <c r="E62" s="12"/>
    </row>
    <row r="63" spans="1:5" ht="14.25">
      <c r="A63" s="13"/>
      <c r="B63" s="12"/>
      <c r="C63" s="12"/>
      <c r="D63" s="12"/>
      <c r="E63" s="12"/>
    </row>
    <row r="64" spans="1:5" ht="14.25">
      <c r="A64" s="13"/>
      <c r="B64" s="12"/>
      <c r="C64" s="12"/>
      <c r="D64" s="12"/>
      <c r="E64" s="12"/>
    </row>
    <row r="65" spans="1:6" ht="14.25">
      <c r="A65" s="13" t="s">
        <v>817</v>
      </c>
      <c r="B65" s="395">
        <v>1205317</v>
      </c>
      <c r="C65" s="395">
        <v>1318570</v>
      </c>
      <c r="D65" s="395">
        <v>1310049</v>
      </c>
      <c r="E65" s="395">
        <v>1157009</v>
      </c>
      <c r="F65">
        <f>(AVERAGE(B65:D65))/(60*60)</f>
        <v>354.9940740740741</v>
      </c>
    </row>
    <row r="66" spans="1:5" ht="14.25">
      <c r="A66" s="13" t="s">
        <v>877</v>
      </c>
      <c r="B66" s="392">
        <v>17.4</v>
      </c>
      <c r="C66" s="392">
        <v>17.25</v>
      </c>
      <c r="D66" s="392">
        <v>16.1</v>
      </c>
      <c r="E66" s="392">
        <v>16.5</v>
      </c>
    </row>
    <row r="67" spans="1:5" ht="14.25">
      <c r="A67" s="13"/>
      <c r="B67" s="12"/>
      <c r="C67" s="392" t="s">
        <v>821</v>
      </c>
      <c r="D67" s="392" t="s">
        <v>822</v>
      </c>
      <c r="E67" s="392"/>
    </row>
    <row r="68" spans="1:5" ht="14.25">
      <c r="A68" s="13" t="s">
        <v>815</v>
      </c>
      <c r="B68" s="12"/>
      <c r="C68" s="392" t="s">
        <v>1021</v>
      </c>
      <c r="D68" s="392"/>
      <c r="E68" s="392"/>
    </row>
    <row r="69" spans="1:5" ht="14.25">
      <c r="A69" s="13" t="s">
        <v>910</v>
      </c>
      <c r="B69" s="12"/>
      <c r="C69" s="392">
        <v>0.72</v>
      </c>
      <c r="D69" s="392"/>
      <c r="E69" s="392"/>
    </row>
    <row r="70" spans="1:5" ht="14.25">
      <c r="A70" s="13" t="s">
        <v>911</v>
      </c>
      <c r="B70" s="12"/>
      <c r="C70" s="392">
        <v>55</v>
      </c>
      <c r="D70" s="392"/>
      <c r="E70" s="392"/>
    </row>
    <row r="71" spans="1:5" ht="14.25">
      <c r="A71" s="13" t="s">
        <v>912</v>
      </c>
      <c r="B71" s="12"/>
      <c r="C71" s="392" t="s">
        <v>1022</v>
      </c>
      <c r="D71" s="392" t="s">
        <v>1023</v>
      </c>
      <c r="E71" s="392"/>
    </row>
    <row r="72" spans="1:5" ht="14.25">
      <c r="A72" s="13" t="s">
        <v>913</v>
      </c>
      <c r="B72" s="12"/>
      <c r="C72" s="392" t="s">
        <v>1024</v>
      </c>
      <c r="D72" s="392" t="s">
        <v>1025</v>
      </c>
      <c r="E72" s="392"/>
    </row>
    <row r="73" spans="1:5" ht="14.25">
      <c r="A73" s="13" t="s">
        <v>736</v>
      </c>
      <c r="B73" s="12"/>
      <c r="C73" s="392" t="s">
        <v>1048</v>
      </c>
      <c r="D73" s="392" t="s">
        <v>1049</v>
      </c>
      <c r="E73" s="392"/>
    </row>
    <row r="74" spans="1:5" ht="14.25">
      <c r="A74" s="13" t="s">
        <v>914</v>
      </c>
      <c r="B74" s="12"/>
      <c r="C74" s="392" t="s">
        <v>1050</v>
      </c>
      <c r="D74" s="392" t="s">
        <v>1051</v>
      </c>
      <c r="E74" s="392"/>
    </row>
    <row r="75" ht="14.25">
      <c r="F75" s="9"/>
    </row>
    <row r="76" spans="1:7" ht="15">
      <c r="A76" s="10" t="s">
        <v>630</v>
      </c>
      <c r="B76" s="18">
        <f>(B60*B65)/(1000*60*60)</f>
        <v>18.079755</v>
      </c>
      <c r="C76" s="18">
        <f>(C60*C65)/(1000*60*60)</f>
        <v>13.405461666666667</v>
      </c>
      <c r="D76" s="18">
        <f>(D60*D65)/(1000*60*60)</f>
        <v>10.225660249999999</v>
      </c>
      <c r="E76" s="18">
        <f>(E60*E65)/(1000*60*60)</f>
        <v>20.890440277777778</v>
      </c>
      <c r="F76" s="30">
        <f>AVERAGE(B76:E76)</f>
        <v>15.65032929861111</v>
      </c>
      <c r="G76" s="10" t="s">
        <v>818</v>
      </c>
    </row>
    <row r="77" spans="1:8" ht="15">
      <c r="A77" s="10"/>
      <c r="B77" s="18"/>
      <c r="C77" s="18"/>
      <c r="D77" s="18"/>
      <c r="F77" s="31">
        <f>F76*B5*B52</f>
        <v>421.49066218589405</v>
      </c>
      <c r="G77" s="10" t="s">
        <v>749</v>
      </c>
      <c r="H77" t="s">
        <v>632</v>
      </c>
    </row>
    <row r="78" spans="1:3" ht="15">
      <c r="A78" s="10"/>
      <c r="C78" s="18"/>
    </row>
    <row r="79" ht="15">
      <c r="A79" s="404" t="s">
        <v>1095</v>
      </c>
    </row>
    <row r="80" ht="14.25">
      <c r="A80" s="15" t="s">
        <v>917</v>
      </c>
    </row>
    <row r="81" ht="14.25">
      <c r="A81" s="15" t="s">
        <v>918</v>
      </c>
    </row>
    <row r="82" spans="1:2" ht="15">
      <c r="A82" s="25" t="s">
        <v>951</v>
      </c>
      <c r="B82" s="405">
        <f>'PT Operational Factors'!E15/100</f>
        <v>0.8540000000000001</v>
      </c>
    </row>
    <row r="83" spans="1:4" ht="15">
      <c r="A83" s="13"/>
      <c r="B83" s="392" t="s">
        <v>821</v>
      </c>
      <c r="C83" s="392" t="s">
        <v>822</v>
      </c>
      <c r="D83" s="11" t="s">
        <v>762</v>
      </c>
    </row>
    <row r="84" spans="1:3" ht="14.25">
      <c r="A84" s="13" t="s">
        <v>815</v>
      </c>
      <c r="B84" s="392" t="s">
        <v>1053</v>
      </c>
      <c r="C84" s="392" t="s">
        <v>1054</v>
      </c>
    </row>
    <row r="85" spans="1:6" ht="14.25">
      <c r="A85" s="13" t="s">
        <v>816</v>
      </c>
      <c r="B85" s="392">
        <v>88.8</v>
      </c>
      <c r="C85" s="392">
        <v>55.3</v>
      </c>
      <c r="D85" s="9">
        <f>B85</f>
        <v>88.8</v>
      </c>
      <c r="E85" s="9" t="s">
        <v>159</v>
      </c>
      <c r="F85" t="s">
        <v>164</v>
      </c>
    </row>
    <row r="86" spans="1:3" ht="14.25">
      <c r="A86" s="13" t="s">
        <v>892</v>
      </c>
      <c r="B86" s="392">
        <v>47.3</v>
      </c>
      <c r="C86" s="392">
        <v>33.6</v>
      </c>
    </row>
    <row r="87" spans="1:5" ht="14.25">
      <c r="A87" s="13" t="s">
        <v>817</v>
      </c>
      <c r="B87" s="392">
        <v>733970</v>
      </c>
      <c r="C87" s="392">
        <v>722816</v>
      </c>
      <c r="D87" s="18">
        <f>(AVERAGE(B87:C87))/(60*60)</f>
        <v>202.33138888888888</v>
      </c>
      <c r="E87" s="9" t="s">
        <v>159</v>
      </c>
    </row>
    <row r="89" spans="1:5" ht="15">
      <c r="A89" s="10" t="s">
        <v>630</v>
      </c>
      <c r="B89" s="18">
        <f>(B85*B87)/(1000*60*60)</f>
        <v>18.104593333333334</v>
      </c>
      <c r="C89" s="18">
        <f>(C85*C87)/(1000*60*60)</f>
        <v>11.103256888888888</v>
      </c>
      <c r="D89" s="30">
        <f>B89</f>
        <v>18.104593333333334</v>
      </c>
      <c r="E89" s="25" t="s">
        <v>818</v>
      </c>
    </row>
    <row r="90" spans="4:5" ht="15">
      <c r="D90" s="31">
        <f>D89*B5*B82</f>
        <v>487.5882728774401</v>
      </c>
      <c r="E90" s="10" t="s">
        <v>749</v>
      </c>
    </row>
    <row r="92" ht="15">
      <c r="A92" s="404" t="s">
        <v>1094</v>
      </c>
    </row>
    <row r="93" ht="14.25">
      <c r="A93" s="15" t="s">
        <v>919</v>
      </c>
    </row>
    <row r="94" ht="14.25">
      <c r="A94" s="15" t="s">
        <v>920</v>
      </c>
    </row>
    <row r="95" ht="14.25">
      <c r="A95" s="15" t="s">
        <v>916</v>
      </c>
    </row>
    <row r="96" spans="1:2" ht="15">
      <c r="A96" s="25" t="s">
        <v>951</v>
      </c>
      <c r="B96" s="9">
        <f>'[1]A'!$B$14/8760</f>
        <v>1</v>
      </c>
    </row>
    <row r="97" spans="1:5" ht="14.25">
      <c r="A97" s="13"/>
      <c r="B97" s="392" t="s">
        <v>811</v>
      </c>
      <c r="C97" s="392" t="s">
        <v>812</v>
      </c>
      <c r="D97" s="392" t="s">
        <v>813</v>
      </c>
      <c r="E97" s="392" t="s">
        <v>814</v>
      </c>
    </row>
    <row r="98" spans="1:5" ht="14.25">
      <c r="A98" s="13" t="s">
        <v>815</v>
      </c>
      <c r="B98" s="392" t="s">
        <v>1055</v>
      </c>
      <c r="C98" s="392" t="s">
        <v>1056</v>
      </c>
      <c r="D98" s="392" t="s">
        <v>1057</v>
      </c>
      <c r="E98" s="392" t="s">
        <v>1058</v>
      </c>
    </row>
    <row r="99" spans="1:5" ht="14.25">
      <c r="A99" s="13" t="s">
        <v>874</v>
      </c>
      <c r="B99" s="392">
        <v>42.9</v>
      </c>
      <c r="C99" s="392">
        <v>21.2</v>
      </c>
      <c r="D99" s="392">
        <v>56</v>
      </c>
      <c r="E99" s="392">
        <v>14.4</v>
      </c>
    </row>
    <row r="100" spans="1:5" ht="14.25">
      <c r="A100" s="13" t="s">
        <v>875</v>
      </c>
      <c r="B100" s="392">
        <v>32.8</v>
      </c>
      <c r="C100" s="392">
        <v>35.6</v>
      </c>
      <c r="D100" s="392">
        <v>53</v>
      </c>
      <c r="E100" s="392">
        <v>45.9</v>
      </c>
    </row>
    <row r="101" spans="1:5" ht="14.25">
      <c r="A101" s="13" t="s">
        <v>876</v>
      </c>
      <c r="B101" s="392">
        <v>6250</v>
      </c>
      <c r="C101" s="392">
        <v>6250</v>
      </c>
      <c r="D101" s="392">
        <v>6250</v>
      </c>
      <c r="E101" s="392">
        <v>6250</v>
      </c>
    </row>
    <row r="102" spans="1:5" ht="14.25">
      <c r="A102" s="13" t="s">
        <v>877</v>
      </c>
      <c r="B102" s="392">
        <v>2.9</v>
      </c>
      <c r="C102" s="392">
        <v>2.6</v>
      </c>
      <c r="D102" s="392">
        <v>4</v>
      </c>
      <c r="E102" s="392">
        <v>2</v>
      </c>
    </row>
    <row r="103" spans="1:5" ht="14.25">
      <c r="A103" s="13" t="s">
        <v>878</v>
      </c>
      <c r="B103" s="392" t="s">
        <v>1059</v>
      </c>
      <c r="C103" s="392" t="s">
        <v>1060</v>
      </c>
      <c r="D103" s="392" t="s">
        <v>1061</v>
      </c>
      <c r="E103" s="392" t="s">
        <v>1062</v>
      </c>
    </row>
    <row r="104" spans="1:5" ht="14.25">
      <c r="A104" s="13" t="s">
        <v>879</v>
      </c>
      <c r="B104" s="392" t="s">
        <v>1063</v>
      </c>
      <c r="C104" s="392" t="s">
        <v>1064</v>
      </c>
      <c r="D104" s="392" t="s">
        <v>1065</v>
      </c>
      <c r="E104" s="392" t="s">
        <v>1066</v>
      </c>
    </row>
    <row r="105" spans="1:5" ht="14.25">
      <c r="A105" s="13" t="s">
        <v>815</v>
      </c>
      <c r="B105" s="392"/>
      <c r="C105" s="392"/>
      <c r="D105" s="393"/>
      <c r="E105" s="393" t="s">
        <v>384</v>
      </c>
    </row>
    <row r="106" spans="1:5" ht="14.25">
      <c r="A106" s="13" t="s">
        <v>816</v>
      </c>
      <c r="B106" s="392"/>
      <c r="C106" s="392"/>
      <c r="D106" s="393"/>
      <c r="E106" s="393">
        <v>4.9</v>
      </c>
    </row>
    <row r="107" spans="1:5" ht="14.25">
      <c r="A107" s="13" t="s">
        <v>877</v>
      </c>
      <c r="B107" s="392"/>
      <c r="C107" s="392"/>
      <c r="D107" s="393"/>
      <c r="E107" s="393">
        <v>2</v>
      </c>
    </row>
    <row r="108" spans="1:5" ht="14.25">
      <c r="A108" s="13" t="s">
        <v>921</v>
      </c>
      <c r="B108" s="392"/>
      <c r="C108" s="392"/>
      <c r="D108" s="393"/>
      <c r="E108" s="393" t="s">
        <v>385</v>
      </c>
    </row>
    <row r="109" spans="1:5" ht="14.25">
      <c r="A109" s="13" t="s">
        <v>817</v>
      </c>
      <c r="B109" s="392"/>
      <c r="C109" s="392"/>
      <c r="D109" s="394"/>
      <c r="E109" s="394">
        <v>188773</v>
      </c>
    </row>
    <row r="111" spans="1:2" ht="15">
      <c r="A111" s="10" t="s">
        <v>630</v>
      </c>
      <c r="B111" s="26">
        <f>(E106*E109)/$B$4</f>
        <v>0.2569410277777778</v>
      </c>
    </row>
    <row r="112" spans="1:2" ht="15">
      <c r="A112" s="10" t="s">
        <v>924</v>
      </c>
      <c r="B112" s="26">
        <f>B111*$B$5*B96</f>
        <v>8.102892252</v>
      </c>
    </row>
    <row r="115" ht="15">
      <c r="A115" s="404" t="s">
        <v>1093</v>
      </c>
    </row>
    <row r="116" ht="14.25">
      <c r="A116" s="15" t="s">
        <v>925</v>
      </c>
    </row>
    <row r="117" ht="14.25">
      <c r="A117" s="15" t="s">
        <v>920</v>
      </c>
    </row>
    <row r="118" spans="1:2" ht="15">
      <c r="A118" s="25" t="s">
        <v>951</v>
      </c>
      <c r="B118" s="405">
        <f>'PT Operational Factors'!E20/100</f>
        <v>0.9520000000000001</v>
      </c>
    </row>
    <row r="119" spans="1:5" ht="14.25">
      <c r="A119" s="13"/>
      <c r="B119" s="392" t="s">
        <v>811</v>
      </c>
      <c r="C119" s="392" t="s">
        <v>812</v>
      </c>
      <c r="D119" s="392" t="s">
        <v>813</v>
      </c>
      <c r="E119" s="392" t="s">
        <v>814</v>
      </c>
    </row>
    <row r="120" spans="1:5" ht="14.25">
      <c r="A120" s="13" t="s">
        <v>815</v>
      </c>
      <c r="B120" s="392" t="s">
        <v>1067</v>
      </c>
      <c r="C120" s="392" t="s">
        <v>1068</v>
      </c>
      <c r="D120" s="392" t="s">
        <v>1069</v>
      </c>
      <c r="E120" s="401">
        <v>40829</v>
      </c>
    </row>
    <row r="121" spans="1:5" ht="14.25">
      <c r="A121" s="13" t="s">
        <v>874</v>
      </c>
      <c r="B121" s="392"/>
      <c r="C121" s="392">
        <v>37.9</v>
      </c>
      <c r="D121" s="392">
        <v>73</v>
      </c>
      <c r="E121" s="392">
        <v>23.5</v>
      </c>
    </row>
    <row r="122" spans="1:5" ht="14.25">
      <c r="A122" s="13" t="s">
        <v>875</v>
      </c>
      <c r="B122" s="392"/>
      <c r="C122" s="392">
        <v>66.2</v>
      </c>
      <c r="D122" s="392">
        <v>78.8</v>
      </c>
      <c r="E122" s="392">
        <v>0</v>
      </c>
    </row>
    <row r="123" spans="1:5" ht="14.25">
      <c r="A123" s="13" t="s">
        <v>876</v>
      </c>
      <c r="B123" s="392"/>
      <c r="C123" s="392">
        <v>887.7</v>
      </c>
      <c r="D123" s="392">
        <v>4545.3</v>
      </c>
      <c r="E123" s="392">
        <v>4362.5</v>
      </c>
    </row>
    <row r="124" spans="1:5" ht="14.25">
      <c r="A124" s="13" t="s">
        <v>877</v>
      </c>
      <c r="B124" s="392"/>
      <c r="C124" s="392">
        <v>4.3</v>
      </c>
      <c r="D124" s="392">
        <v>4.4</v>
      </c>
      <c r="E124" s="392">
        <v>3.8</v>
      </c>
    </row>
    <row r="125" spans="1:5" ht="14.25">
      <c r="A125" s="13" t="s">
        <v>878</v>
      </c>
      <c r="B125" s="392"/>
      <c r="C125" s="392" t="s">
        <v>1070</v>
      </c>
      <c r="D125" s="392" t="s">
        <v>1071</v>
      </c>
      <c r="E125" s="392" t="s">
        <v>1072</v>
      </c>
    </row>
    <row r="126" spans="1:5" ht="14.25">
      <c r="A126" s="13" t="s">
        <v>879</v>
      </c>
      <c r="B126" s="392"/>
      <c r="C126" s="392" t="s">
        <v>1073</v>
      </c>
      <c r="D126" s="392" t="s">
        <v>1074</v>
      </c>
      <c r="E126" s="392" t="s">
        <v>1075</v>
      </c>
    </row>
    <row r="127" spans="1:9" ht="14.25">
      <c r="A127" s="13" t="s">
        <v>815</v>
      </c>
      <c r="B127" s="392"/>
      <c r="C127" s="392"/>
      <c r="D127" s="392"/>
      <c r="E127" s="392" t="s">
        <v>386</v>
      </c>
      <c r="I127" s="9" t="s">
        <v>386</v>
      </c>
    </row>
    <row r="128" spans="1:9" ht="14.25">
      <c r="A128" s="13" t="s">
        <v>816</v>
      </c>
      <c r="B128" s="392"/>
      <c r="C128" s="392"/>
      <c r="D128" s="392"/>
      <c r="E128" s="392">
        <v>3.6</v>
      </c>
      <c r="I128" s="9">
        <v>3.6</v>
      </c>
    </row>
    <row r="129" spans="1:9" ht="14.25">
      <c r="A129" s="13" t="s">
        <v>877</v>
      </c>
      <c r="B129" s="392"/>
      <c r="C129" s="392"/>
      <c r="D129" s="392"/>
      <c r="E129" s="392">
        <v>4</v>
      </c>
      <c r="I129" s="9">
        <v>4</v>
      </c>
    </row>
    <row r="130" spans="1:9" ht="14.25">
      <c r="A130" s="13" t="s">
        <v>921</v>
      </c>
      <c r="B130" s="392"/>
      <c r="C130" s="392"/>
      <c r="D130" s="392"/>
      <c r="E130" s="392" t="s">
        <v>387</v>
      </c>
      <c r="I130" s="9" t="s">
        <v>387</v>
      </c>
    </row>
    <row r="131" spans="1:9" ht="14.25">
      <c r="A131" s="13" t="s">
        <v>817</v>
      </c>
      <c r="B131" s="392"/>
      <c r="C131" s="392"/>
      <c r="D131" s="392"/>
      <c r="E131" s="395">
        <v>256374</v>
      </c>
      <c r="I131" s="199">
        <v>256374</v>
      </c>
    </row>
    <row r="133" spans="1:2" ht="15">
      <c r="A133" s="10" t="s">
        <v>630</v>
      </c>
      <c r="B133" s="26">
        <f>(E128*E131)/$B$4</f>
        <v>0.256374</v>
      </c>
    </row>
    <row r="134" spans="1:2" ht="15">
      <c r="A134" s="10" t="s">
        <v>924</v>
      </c>
      <c r="B134" s="26">
        <f>B133*$B$5*B118</f>
        <v>7.696929961728</v>
      </c>
    </row>
    <row r="137" ht="15">
      <c r="A137" s="404" t="s">
        <v>1092</v>
      </c>
    </row>
    <row r="138" ht="14.25">
      <c r="A138" s="15" t="s">
        <v>928</v>
      </c>
    </row>
    <row r="139" ht="14.25">
      <c r="A139" s="15" t="s">
        <v>929</v>
      </c>
    </row>
    <row r="140" spans="1:2" ht="15">
      <c r="A140" s="25" t="s">
        <v>617</v>
      </c>
      <c r="B140" s="405">
        <f>'PT Operational Factors'!E21/100</f>
        <v>0.894</v>
      </c>
    </row>
    <row r="141" spans="1:2" ht="15">
      <c r="A141" s="25" t="s">
        <v>618</v>
      </c>
      <c r="B141" s="405">
        <f>'PT Operational Factors'!E22/100</f>
        <v>0.894</v>
      </c>
    </row>
    <row r="142" ht="15">
      <c r="A142" s="10" t="s">
        <v>930</v>
      </c>
    </row>
    <row r="143" spans="1:2" ht="14.25">
      <c r="A143" t="s">
        <v>815</v>
      </c>
      <c r="B143" s="397" t="s">
        <v>1076</v>
      </c>
    </row>
    <row r="144" spans="1:2" ht="14.25">
      <c r="A144" t="s">
        <v>816</v>
      </c>
      <c r="B144" s="397">
        <v>3</v>
      </c>
    </row>
    <row r="145" spans="1:2" ht="14.25">
      <c r="A145" t="s">
        <v>892</v>
      </c>
      <c r="B145" s="397" t="s">
        <v>1077</v>
      </c>
    </row>
    <row r="146" spans="1:5" ht="14.25">
      <c r="A146" t="s">
        <v>817</v>
      </c>
      <c r="B146" s="402">
        <v>639167</v>
      </c>
      <c r="E146" s="199"/>
    </row>
    <row r="147" spans="1:2" ht="15">
      <c r="A147" s="10" t="s">
        <v>931</v>
      </c>
      <c r="B147" s="397"/>
    </row>
    <row r="148" spans="1:2" ht="14.25">
      <c r="A148" t="s">
        <v>815</v>
      </c>
      <c r="B148" s="397" t="s">
        <v>1078</v>
      </c>
    </row>
    <row r="149" spans="1:2" ht="14.25">
      <c r="A149" t="s">
        <v>816</v>
      </c>
      <c r="B149" s="397">
        <v>5.53</v>
      </c>
    </row>
    <row r="150" spans="1:2" ht="14.25">
      <c r="A150" t="s">
        <v>892</v>
      </c>
      <c r="B150" s="397" t="s">
        <v>1079</v>
      </c>
    </row>
    <row r="151" spans="1:5" ht="14.25">
      <c r="A151" t="s">
        <v>817</v>
      </c>
      <c r="B151" s="402">
        <v>508733</v>
      </c>
      <c r="E151" s="199"/>
    </row>
    <row r="153" spans="1:4" ht="15">
      <c r="A153" s="10" t="s">
        <v>930</v>
      </c>
      <c r="D153" s="11" t="s">
        <v>762</v>
      </c>
    </row>
    <row r="154" spans="1:5" ht="15">
      <c r="A154" s="10" t="s">
        <v>630</v>
      </c>
      <c r="B154" s="18">
        <f>(B144*B146)/B4</f>
        <v>0.5326391666666667</v>
      </c>
      <c r="C154" s="18">
        <f>(B149*B151)/B4</f>
        <v>0.7814704138888889</v>
      </c>
      <c r="D154" s="35">
        <f>AVERAGE(B154:C154)</f>
        <v>0.6570547902777778</v>
      </c>
      <c r="E154" s="15" t="s">
        <v>818</v>
      </c>
    </row>
    <row r="155" spans="1:5" ht="15">
      <c r="A155" s="10" t="s">
        <v>924</v>
      </c>
      <c r="B155" s="18"/>
      <c r="C155" s="18"/>
      <c r="D155" s="31">
        <f>D154*B5*B140</f>
        <v>18.5244666003828</v>
      </c>
      <c r="E155" s="15" t="s">
        <v>749</v>
      </c>
    </row>
    <row r="156" spans="1:2" ht="15">
      <c r="A156" s="10" t="s">
        <v>932</v>
      </c>
      <c r="B156" s="11">
        <f>AVERAGE(B144,B149)</f>
        <v>4.265000000000001</v>
      </c>
    </row>
    <row r="157" spans="1:2" ht="15">
      <c r="A157" s="10" t="s">
        <v>1587</v>
      </c>
      <c r="B157" s="398">
        <f>AVERAGE(B146,B151)</f>
        <v>573950</v>
      </c>
    </row>
    <row r="159" ht="15">
      <c r="A159" s="10" t="s">
        <v>931</v>
      </c>
    </row>
    <row r="160" spans="1:2" ht="15">
      <c r="A160" s="10" t="s">
        <v>630</v>
      </c>
      <c r="B160" s="18">
        <f>B141*(B149*B151)/B4</f>
        <v>0.6986345500166667</v>
      </c>
    </row>
    <row r="161" spans="1:2" ht="15">
      <c r="A161" s="10" t="s">
        <v>924</v>
      </c>
      <c r="B161" s="30">
        <f>B160*B5*B140</f>
        <v>19.69673241737709</v>
      </c>
    </row>
    <row r="164" ht="15">
      <c r="A164" s="404" t="s">
        <v>619</v>
      </c>
    </row>
    <row r="165" ht="14.25">
      <c r="A165" s="15" t="s">
        <v>928</v>
      </c>
    </row>
    <row r="166" ht="14.25">
      <c r="A166" s="15" t="s">
        <v>929</v>
      </c>
    </row>
    <row r="167" spans="1:2" ht="15">
      <c r="A167" s="25" t="s">
        <v>951</v>
      </c>
      <c r="B167" s="405">
        <f>'PT Operational Factors'!E23/100</f>
        <v>0.9520000000000001</v>
      </c>
    </row>
    <row r="169" spans="1:2" ht="14.25">
      <c r="A169" s="13" t="s">
        <v>815</v>
      </c>
      <c r="B169" s="392" t="s">
        <v>1080</v>
      </c>
    </row>
    <row r="170" spans="1:2" ht="14.25">
      <c r="A170" s="13" t="s">
        <v>816</v>
      </c>
      <c r="B170" s="392">
        <v>3.4</v>
      </c>
    </row>
    <row r="171" spans="1:2" ht="14.25">
      <c r="A171" s="13" t="s">
        <v>892</v>
      </c>
      <c r="B171" s="392" t="s">
        <v>1081</v>
      </c>
    </row>
    <row r="172" spans="1:5" ht="14.25">
      <c r="A172" s="13" t="s">
        <v>817</v>
      </c>
      <c r="B172" s="395">
        <v>1252502</v>
      </c>
      <c r="E172" s="199"/>
    </row>
    <row r="174" spans="1:2" ht="15">
      <c r="A174" s="10" t="s">
        <v>630</v>
      </c>
      <c r="B174" s="18">
        <f>(B170*B172)/B4</f>
        <v>1.1829185555555555</v>
      </c>
    </row>
    <row r="175" spans="1:2" ht="15">
      <c r="A175" s="10" t="s">
        <v>924</v>
      </c>
      <c r="B175" s="30">
        <f>B174*B5*B167</f>
        <v>35.513902628736</v>
      </c>
    </row>
    <row r="178" ht="15">
      <c r="A178" s="404" t="s">
        <v>620</v>
      </c>
    </row>
    <row r="179" ht="14.25">
      <c r="A179" s="15" t="s">
        <v>928</v>
      </c>
    </row>
    <row r="180" ht="14.25">
      <c r="A180" s="15" t="s">
        <v>933</v>
      </c>
    </row>
    <row r="181" ht="14.25">
      <c r="A181" s="15" t="s">
        <v>929</v>
      </c>
    </row>
    <row r="182" ht="14.25">
      <c r="A182" s="15"/>
    </row>
    <row r="183" ht="15">
      <c r="A183" s="10" t="s">
        <v>938</v>
      </c>
    </row>
    <row r="184" spans="1:2" ht="15">
      <c r="A184" s="25" t="s">
        <v>951</v>
      </c>
      <c r="B184" s="405">
        <f>'PT Operational Factors'!E26/100</f>
        <v>0.413</v>
      </c>
    </row>
    <row r="185" spans="1:2" ht="14.25">
      <c r="A185" t="s">
        <v>815</v>
      </c>
      <c r="B185" s="397" t="s">
        <v>1082</v>
      </c>
    </row>
    <row r="186" spans="1:2" ht="14.25">
      <c r="A186" t="s">
        <v>816</v>
      </c>
      <c r="B186" s="397">
        <v>2.7</v>
      </c>
    </row>
    <row r="187" spans="1:2" ht="14.25">
      <c r="A187" t="s">
        <v>817</v>
      </c>
      <c r="B187" s="402">
        <v>33536</v>
      </c>
    </row>
    <row r="189" ht="15">
      <c r="A189" s="10" t="s">
        <v>939</v>
      </c>
    </row>
    <row r="190" spans="1:2" ht="15">
      <c r="A190" s="25" t="s">
        <v>951</v>
      </c>
      <c r="B190" s="405">
        <f>'PT Operational Factors'!E25/100</f>
        <v>0.43700000000000006</v>
      </c>
    </row>
    <row r="191" spans="1:2" ht="14.25">
      <c r="A191" t="s">
        <v>815</v>
      </c>
      <c r="B191" s="397" t="s">
        <v>1083</v>
      </c>
    </row>
    <row r="192" spans="1:2" ht="14.25">
      <c r="A192" t="s">
        <v>816</v>
      </c>
      <c r="B192" s="397">
        <v>3</v>
      </c>
    </row>
    <row r="193" spans="1:2" ht="14.25">
      <c r="A193" t="s">
        <v>817</v>
      </c>
      <c r="B193" s="402">
        <v>30838</v>
      </c>
    </row>
    <row r="195" ht="15">
      <c r="A195" s="10" t="s">
        <v>940</v>
      </c>
    </row>
    <row r="196" spans="1:2" ht="15">
      <c r="A196" s="25" t="s">
        <v>951</v>
      </c>
      <c r="B196" s="405">
        <f>'PT Operational Factors'!E27/100</f>
        <v>1</v>
      </c>
    </row>
    <row r="197" spans="2:3" ht="14.25">
      <c r="B197" s="397" t="s">
        <v>821</v>
      </c>
      <c r="C197" s="397" t="s">
        <v>822</v>
      </c>
    </row>
    <row r="198" spans="1:3" ht="14.25">
      <c r="A198" t="s">
        <v>815</v>
      </c>
      <c r="B198" s="397" t="s">
        <v>1084</v>
      </c>
      <c r="C198" s="397" t="s">
        <v>1085</v>
      </c>
    </row>
    <row r="199" spans="1:3" ht="14.25">
      <c r="A199" t="s">
        <v>874</v>
      </c>
      <c r="B199" s="397" t="s">
        <v>1086</v>
      </c>
      <c r="C199" s="397" t="s">
        <v>1087</v>
      </c>
    </row>
    <row r="200" spans="1:3" ht="14.25">
      <c r="A200" t="s">
        <v>875</v>
      </c>
      <c r="B200" s="397" t="s">
        <v>1075</v>
      </c>
      <c r="C200" s="397" t="s">
        <v>1088</v>
      </c>
    </row>
    <row r="201" spans="1:3" ht="14.25">
      <c r="A201" t="s">
        <v>876</v>
      </c>
      <c r="B201" s="397" t="s">
        <v>1089</v>
      </c>
      <c r="C201" s="397" t="s">
        <v>1090</v>
      </c>
    </row>
    <row r="202" spans="1:3" ht="14.25">
      <c r="A202" t="s">
        <v>877</v>
      </c>
      <c r="B202" s="397">
        <v>15.2</v>
      </c>
      <c r="C202" s="397">
        <v>11.8</v>
      </c>
    </row>
    <row r="203" spans="1:3" ht="14.25">
      <c r="A203" t="s">
        <v>878</v>
      </c>
      <c r="B203" s="397"/>
      <c r="C203" s="397"/>
    </row>
    <row r="204" spans="1:3" ht="14.25">
      <c r="A204" t="s">
        <v>879</v>
      </c>
      <c r="B204" s="397"/>
      <c r="C204" s="397"/>
    </row>
    <row r="205" spans="1:3" ht="14.25">
      <c r="A205" t="s">
        <v>815</v>
      </c>
      <c r="B205" s="397" t="s">
        <v>1091</v>
      </c>
      <c r="C205" s="397" t="s">
        <v>1091</v>
      </c>
    </row>
    <row r="206" spans="1:5" ht="15">
      <c r="A206" t="s">
        <v>816</v>
      </c>
      <c r="B206" s="403">
        <v>2.6</v>
      </c>
      <c r="C206" s="403">
        <v>2.6</v>
      </c>
      <c r="E206" s="11"/>
    </row>
    <row r="207" spans="1:3" ht="14.25">
      <c r="A207" t="s">
        <v>817</v>
      </c>
      <c r="B207" s="397">
        <v>38890</v>
      </c>
      <c r="C207" s="397">
        <v>38890</v>
      </c>
    </row>
    <row r="210" ht="15">
      <c r="A210" s="10" t="s">
        <v>938</v>
      </c>
    </row>
    <row r="211" spans="1:2" ht="15">
      <c r="A211" s="10" t="s">
        <v>630</v>
      </c>
      <c r="B211" s="30">
        <f>(B186*B187)/B4</f>
        <v>0.025152000000000004</v>
      </c>
    </row>
    <row r="212" spans="1:2" ht="15">
      <c r="A212" s="10" t="s">
        <v>924</v>
      </c>
      <c r="B212" s="30">
        <f>B211*B5*B184</f>
        <v>0.32758890393600004</v>
      </c>
    </row>
    <row r="214" ht="15">
      <c r="A214" s="10" t="s">
        <v>939</v>
      </c>
    </row>
    <row r="215" spans="1:2" ht="15">
      <c r="A215" s="10" t="s">
        <v>630</v>
      </c>
      <c r="B215" s="30">
        <f>(B192*B193)/B4</f>
        <v>0.025698333333333333</v>
      </c>
    </row>
    <row r="216" spans="1:2" ht="15">
      <c r="A216" s="10" t="s">
        <v>924</v>
      </c>
      <c r="B216" s="30">
        <f>B215*B5*B190</f>
        <v>0.3541546936800001</v>
      </c>
    </row>
    <row r="218" ht="15">
      <c r="A218" s="10" t="s">
        <v>940</v>
      </c>
    </row>
    <row r="219" spans="1:2" ht="15">
      <c r="A219" s="10" t="s">
        <v>630</v>
      </c>
      <c r="B219" s="30">
        <f>(B206*B207)/B4</f>
        <v>0.028087222222222222</v>
      </c>
    </row>
    <row r="220" spans="1:2" ht="15">
      <c r="A220" s="10" t="s">
        <v>924</v>
      </c>
      <c r="B220" s="30">
        <f>B219*B5*B196</f>
        <v>0.88575864</v>
      </c>
    </row>
    <row r="223" ht="15">
      <c r="A223" s="404" t="s">
        <v>1100</v>
      </c>
    </row>
    <row r="224" ht="14.25">
      <c r="A224" s="15" t="s">
        <v>942</v>
      </c>
    </row>
    <row r="225" ht="14.25">
      <c r="A225" s="15" t="s">
        <v>929</v>
      </c>
    </row>
    <row r="227" ht="15">
      <c r="A227" s="10" t="s">
        <v>974</v>
      </c>
    </row>
    <row r="228" spans="1:2" ht="15">
      <c r="A228" s="10" t="s">
        <v>951</v>
      </c>
      <c r="B228" s="405">
        <f>'PT Operational Factors'!D28/100</f>
        <v>1</v>
      </c>
    </row>
    <row r="229" spans="1:2" ht="14.25">
      <c r="A229" t="s">
        <v>815</v>
      </c>
      <c r="B229" s="397" t="s">
        <v>973</v>
      </c>
    </row>
    <row r="230" spans="1:2" ht="14.25">
      <c r="A230" t="s">
        <v>816</v>
      </c>
      <c r="B230" s="397">
        <v>23.5</v>
      </c>
    </row>
    <row r="231" spans="1:2" ht="14.25">
      <c r="A231" t="s">
        <v>892</v>
      </c>
      <c r="B231" s="397">
        <v>34</v>
      </c>
    </row>
    <row r="232" spans="1:3" ht="14.25">
      <c r="A232" t="s">
        <v>817</v>
      </c>
      <c r="B232" s="402">
        <v>441209</v>
      </c>
      <c r="C232" s="20"/>
    </row>
    <row r="234" ht="15">
      <c r="A234" s="10" t="s">
        <v>944</v>
      </c>
    </row>
    <row r="235" spans="1:2" ht="15">
      <c r="A235" s="10" t="s">
        <v>951</v>
      </c>
      <c r="B235" s="405">
        <f>'PT Operational Factors'!D29/100</f>
        <v>1</v>
      </c>
    </row>
    <row r="236" spans="1:2" ht="14.25">
      <c r="A236" t="s">
        <v>815</v>
      </c>
      <c r="B236" s="397" t="s">
        <v>1098</v>
      </c>
    </row>
    <row r="237" spans="1:2" ht="14.25">
      <c r="A237" t="s">
        <v>816</v>
      </c>
      <c r="B237" s="397">
        <v>1</v>
      </c>
    </row>
    <row r="238" spans="1:2" ht="14.25">
      <c r="A238" t="s">
        <v>892</v>
      </c>
      <c r="B238" s="397" t="s">
        <v>1099</v>
      </c>
    </row>
    <row r="239" spans="1:5" ht="14.25">
      <c r="A239" t="s">
        <v>817</v>
      </c>
      <c r="B239" s="402">
        <v>143549</v>
      </c>
      <c r="E239" s="199"/>
    </row>
    <row r="242" ht="15">
      <c r="A242" s="10" t="s">
        <v>943</v>
      </c>
    </row>
    <row r="243" spans="1:2" ht="15">
      <c r="A243" s="10" t="s">
        <v>630</v>
      </c>
      <c r="B243" s="30">
        <f>(B230*B232)/B4</f>
        <v>2.8801143055555554</v>
      </c>
    </row>
    <row r="244" spans="1:2" ht="15">
      <c r="A244" s="10" t="s">
        <v>924</v>
      </c>
      <c r="B244" s="30">
        <f>B243*B5*B228</f>
        <v>90.82728474</v>
      </c>
    </row>
    <row r="246" ht="15">
      <c r="A246" s="10" t="s">
        <v>944</v>
      </c>
    </row>
    <row r="247" spans="1:2" ht="15">
      <c r="A247" s="10" t="s">
        <v>630</v>
      </c>
      <c r="B247" s="30">
        <f>(B237*B239)/B4</f>
        <v>0.03987472222222222</v>
      </c>
    </row>
    <row r="248" spans="1:2" ht="15">
      <c r="A248" s="10" t="s">
        <v>924</v>
      </c>
      <c r="B248" s="30">
        <f>B247*B5*B235</f>
        <v>1.25748924</v>
      </c>
    </row>
    <row r="249" spans="1:2" ht="15">
      <c r="A249" s="10"/>
      <c r="B249" s="30"/>
    </row>
    <row r="251" ht="15">
      <c r="A251" s="404" t="s">
        <v>624</v>
      </c>
    </row>
    <row r="252" ht="14.25">
      <c r="A252" s="15" t="s">
        <v>942</v>
      </c>
    </row>
    <row r="253" ht="14.25">
      <c r="A253" s="15" t="s">
        <v>929</v>
      </c>
    </row>
    <row r="255" ht="15">
      <c r="A255" s="10" t="s">
        <v>945</v>
      </c>
    </row>
    <row r="256" spans="1:2" ht="15">
      <c r="A256" s="10" t="s">
        <v>951</v>
      </c>
      <c r="B256" s="405">
        <f>'PT Operational Factors'!D32/100</f>
        <v>1</v>
      </c>
    </row>
    <row r="257" spans="1:2" ht="14.25">
      <c r="A257" t="s">
        <v>815</v>
      </c>
      <c r="B257" s="397" t="s">
        <v>1101</v>
      </c>
    </row>
    <row r="258" spans="1:2" ht="14.25">
      <c r="A258" t="s">
        <v>816</v>
      </c>
      <c r="B258" s="397">
        <v>3.6</v>
      </c>
    </row>
    <row r="259" spans="1:2" ht="14.25">
      <c r="A259" t="s">
        <v>892</v>
      </c>
      <c r="B259" s="397" t="s">
        <v>1102</v>
      </c>
    </row>
    <row r="260" spans="1:2" ht="14.25">
      <c r="A260" t="s">
        <v>817</v>
      </c>
      <c r="B260" s="402">
        <v>394153</v>
      </c>
    </row>
    <row r="262" ht="15">
      <c r="A262" s="10" t="s">
        <v>946</v>
      </c>
    </row>
    <row r="263" spans="1:2" ht="15">
      <c r="A263" s="10" t="s">
        <v>951</v>
      </c>
      <c r="B263" s="405">
        <f>'PT Operational Factors'!D32/100</f>
        <v>1</v>
      </c>
    </row>
    <row r="264" spans="1:2" ht="14.25">
      <c r="A264" t="s">
        <v>815</v>
      </c>
      <c r="B264" s="397" t="s">
        <v>1103</v>
      </c>
    </row>
    <row r="265" spans="1:2" ht="14.25">
      <c r="A265" t="s">
        <v>816</v>
      </c>
      <c r="B265" s="397">
        <v>1.9</v>
      </c>
    </row>
    <row r="266" spans="1:2" ht="14.25">
      <c r="A266" t="s">
        <v>892</v>
      </c>
      <c r="B266" s="397" t="s">
        <v>1104</v>
      </c>
    </row>
    <row r="267" spans="1:2" ht="14.25">
      <c r="A267" t="s">
        <v>817</v>
      </c>
      <c r="B267" s="402">
        <v>409456</v>
      </c>
    </row>
    <row r="269" ht="15">
      <c r="A269" s="10" t="s">
        <v>947</v>
      </c>
    </row>
    <row r="270" spans="1:2" ht="15">
      <c r="A270" s="10" t="s">
        <v>951</v>
      </c>
      <c r="B270" s="405">
        <f>'PT Operational Factors'!D32/100</f>
        <v>1</v>
      </c>
    </row>
    <row r="271" spans="1:2" ht="14.25">
      <c r="A271" t="s">
        <v>815</v>
      </c>
      <c r="B271" s="397" t="s">
        <v>1105</v>
      </c>
    </row>
    <row r="272" spans="1:2" ht="14.25">
      <c r="A272" t="s">
        <v>816</v>
      </c>
      <c r="B272" s="397">
        <v>22.7</v>
      </c>
    </row>
    <row r="273" spans="1:2" ht="14.25">
      <c r="A273" t="s">
        <v>892</v>
      </c>
      <c r="B273" s="397" t="s">
        <v>1106</v>
      </c>
    </row>
    <row r="274" spans="1:2" ht="14.25">
      <c r="A274" t="s">
        <v>817</v>
      </c>
      <c r="B274" s="402">
        <v>473896</v>
      </c>
    </row>
    <row r="277" ht="15">
      <c r="A277" s="10" t="s">
        <v>945</v>
      </c>
    </row>
    <row r="278" spans="1:2" ht="15">
      <c r="A278" s="10" t="s">
        <v>630</v>
      </c>
      <c r="B278" s="30">
        <f>(B258*B260)/B4</f>
        <v>0.39415300000000003</v>
      </c>
    </row>
    <row r="279" spans="1:2" ht="15">
      <c r="A279" s="10" t="s">
        <v>924</v>
      </c>
      <c r="B279" s="30">
        <f>B278*B5*B256</f>
        <v>12.430009008</v>
      </c>
    </row>
    <row r="281" ht="15">
      <c r="A281" s="10" t="s">
        <v>946</v>
      </c>
    </row>
    <row r="282" spans="1:2" ht="15">
      <c r="A282" s="10" t="s">
        <v>630</v>
      </c>
      <c r="B282" s="30">
        <f>(B265*B267)/B4</f>
        <v>0.21610177777777775</v>
      </c>
    </row>
    <row r="283" spans="1:2" ht="15">
      <c r="A283" s="10" t="s">
        <v>924</v>
      </c>
      <c r="B283" s="30">
        <f>B282*B5*B263</f>
        <v>6.814985664</v>
      </c>
    </row>
    <row r="284" ht="14.25">
      <c r="N284"/>
    </row>
    <row r="285" spans="1:14" ht="15">
      <c r="A285" s="10" t="s">
        <v>947</v>
      </c>
      <c r="N285"/>
    </row>
    <row r="286" spans="1:14" ht="15">
      <c r="A286" s="10" t="s">
        <v>630</v>
      </c>
      <c r="B286" s="30">
        <f>(B272*B274)/B4</f>
        <v>2.988177555555555</v>
      </c>
      <c r="N286"/>
    </row>
    <row r="287" spans="1:14" ht="15">
      <c r="A287" s="10" t="s">
        <v>924</v>
      </c>
      <c r="B287" s="30">
        <f>B286*B5*B270</f>
        <v>94.235167392</v>
      </c>
      <c r="N287"/>
    </row>
    <row r="288" ht="14.25">
      <c r="N288"/>
    </row>
    <row r="289" ht="14.25">
      <c r="N289"/>
    </row>
    <row r="290" spans="1:14" ht="15">
      <c r="A290" s="404" t="s">
        <v>1108</v>
      </c>
      <c r="I290"/>
      <c r="J290" s="9"/>
      <c r="L290"/>
      <c r="N290"/>
    </row>
    <row r="291" spans="1:12" ht="14.25">
      <c r="A291" s="15" t="s">
        <v>942</v>
      </c>
      <c r="D291"/>
      <c r="E291"/>
      <c r="G291" s="9"/>
      <c r="I291"/>
      <c r="J291" s="9"/>
      <c r="L291"/>
    </row>
    <row r="292" spans="1:12" ht="14.25">
      <c r="A292" s="15" t="s">
        <v>929</v>
      </c>
      <c r="D292"/>
      <c r="E292"/>
      <c r="G292" s="9"/>
      <c r="I292"/>
      <c r="J292" s="9"/>
      <c r="L292"/>
    </row>
    <row r="293" spans="1:12" ht="15">
      <c r="A293" s="25" t="s">
        <v>951</v>
      </c>
      <c r="B293" s="405">
        <f>'PT Operational Factors'!D30/100</f>
        <v>1</v>
      </c>
      <c r="D293"/>
      <c r="E293"/>
      <c r="G293" s="9"/>
      <c r="I293"/>
      <c r="J293" s="9"/>
      <c r="L293"/>
    </row>
    <row r="294" spans="4:12" ht="14.25">
      <c r="D294"/>
      <c r="E294"/>
      <c r="G294" s="9"/>
      <c r="I294"/>
      <c r="J294" s="9"/>
      <c r="L294"/>
    </row>
    <row r="295" spans="1:12" ht="14.25">
      <c r="A295" t="s">
        <v>815</v>
      </c>
      <c r="B295" s="397" t="s">
        <v>1107</v>
      </c>
      <c r="D295"/>
      <c r="G295" s="9"/>
      <c r="I295"/>
      <c r="J295" s="9"/>
      <c r="L295"/>
    </row>
    <row r="296" spans="1:12" ht="14.25">
      <c r="A296" t="s">
        <v>816</v>
      </c>
      <c r="B296" s="397">
        <v>0.6</v>
      </c>
      <c r="D296"/>
      <c r="G296" s="9"/>
      <c r="I296"/>
      <c r="J296" s="9"/>
      <c r="L296"/>
    </row>
    <row r="297" spans="1:7" ht="14.25">
      <c r="A297" t="s">
        <v>817</v>
      </c>
      <c r="B297" s="402">
        <v>24385</v>
      </c>
      <c r="D297"/>
      <c r="G297" s="9"/>
    </row>
    <row r="299" spans="1:2" ht="15">
      <c r="A299" s="10" t="s">
        <v>630</v>
      </c>
      <c r="B299" s="26">
        <f>(B296*B297)/B4</f>
        <v>0.0040641666666666664</v>
      </c>
    </row>
    <row r="300" spans="1:2" ht="15">
      <c r="A300" s="10" t="s">
        <v>924</v>
      </c>
      <c r="B300" s="30">
        <f>B299*B5</f>
        <v>0.12816755999999999</v>
      </c>
    </row>
    <row r="302" ht="15">
      <c r="A302" s="404" t="s">
        <v>1109</v>
      </c>
    </row>
    <row r="303" ht="14.25">
      <c r="A303" s="15" t="s">
        <v>928</v>
      </c>
    </row>
    <row r="304" ht="14.25">
      <c r="A304" s="15" t="s">
        <v>929</v>
      </c>
    </row>
    <row r="305" spans="1:2" ht="15">
      <c r="A305" s="25" t="s">
        <v>951</v>
      </c>
      <c r="B305" s="405">
        <f>'PT Operational Factors'!E34/100</f>
        <v>0.07400000000000001</v>
      </c>
    </row>
    <row r="307" spans="1:2" ht="14.25">
      <c r="A307" t="s">
        <v>815</v>
      </c>
      <c r="B307" s="397" t="s">
        <v>1110</v>
      </c>
    </row>
    <row r="308" spans="1:2" ht="14.25">
      <c r="A308" t="s">
        <v>816</v>
      </c>
      <c r="B308" s="397">
        <v>10.6</v>
      </c>
    </row>
    <row r="309" spans="1:2" ht="14.25">
      <c r="A309" t="s">
        <v>817</v>
      </c>
      <c r="B309" s="397">
        <v>4187</v>
      </c>
    </row>
    <row r="311" spans="1:2" ht="15">
      <c r="A311" s="10" t="s">
        <v>630</v>
      </c>
      <c r="B311" s="30">
        <f>(B308*B309)/B4</f>
        <v>0.012328388888888889</v>
      </c>
    </row>
    <row r="312" spans="1:2" ht="15">
      <c r="A312" s="10" t="s">
        <v>924</v>
      </c>
      <c r="B312" s="30">
        <f>B311*B5*B305</f>
        <v>0.028770317328000002</v>
      </c>
    </row>
    <row r="315" spans="1:2" ht="15">
      <c r="A315" s="404" t="s">
        <v>1135</v>
      </c>
      <c r="B315" s="45" t="s">
        <v>959</v>
      </c>
    </row>
    <row r="316" ht="14.25">
      <c r="A316" s="15" t="s">
        <v>954</v>
      </c>
    </row>
    <row r="317" ht="14.25">
      <c r="A317" s="15" t="s">
        <v>810</v>
      </c>
    </row>
    <row r="318" spans="1:2" ht="15">
      <c r="A318" s="25" t="s">
        <v>951</v>
      </c>
      <c r="B318" s="403" t="s">
        <v>338</v>
      </c>
    </row>
    <row r="319" spans="2:5" ht="14.25">
      <c r="B319" s="9" t="s">
        <v>811</v>
      </c>
      <c r="C319" s="9" t="s">
        <v>812</v>
      </c>
      <c r="D319" s="9" t="s">
        <v>813</v>
      </c>
      <c r="E319" s="9" t="s">
        <v>814</v>
      </c>
    </row>
    <row r="320" spans="1:5" ht="14.25">
      <c r="A320" t="s">
        <v>815</v>
      </c>
      <c r="B320" s="397" t="s">
        <v>1111</v>
      </c>
      <c r="C320" s="397" t="s">
        <v>1112</v>
      </c>
      <c r="D320" s="397" t="s">
        <v>1113</v>
      </c>
      <c r="E320" s="397" t="s">
        <v>1114</v>
      </c>
    </row>
    <row r="321" spans="1:5" ht="14.25">
      <c r="A321" t="s">
        <v>874</v>
      </c>
      <c r="B321" s="397">
        <v>275.8</v>
      </c>
      <c r="C321" s="397">
        <v>344.2</v>
      </c>
      <c r="D321" s="397">
        <v>324.5</v>
      </c>
      <c r="E321" s="397">
        <v>307.1</v>
      </c>
    </row>
    <row r="322" spans="1:5" ht="14.25">
      <c r="A322" t="s">
        <v>875</v>
      </c>
      <c r="B322" s="397">
        <v>87.2</v>
      </c>
      <c r="C322" s="397">
        <v>141.3</v>
      </c>
      <c r="D322" s="397">
        <v>180.5</v>
      </c>
      <c r="E322" s="397">
        <v>3.5</v>
      </c>
    </row>
    <row r="323" spans="1:5" ht="14.25">
      <c r="A323" t="s">
        <v>876</v>
      </c>
      <c r="B323" s="397">
        <v>0.2</v>
      </c>
      <c r="C323" s="397">
        <v>0</v>
      </c>
      <c r="D323" s="397">
        <v>0</v>
      </c>
      <c r="E323" s="397">
        <v>0</v>
      </c>
    </row>
    <row r="324" spans="1:5" ht="14.25">
      <c r="A324" t="s">
        <v>877</v>
      </c>
      <c r="B324" s="397">
        <v>9.9</v>
      </c>
      <c r="C324" s="397">
        <v>13.1</v>
      </c>
      <c r="D324" s="397">
        <v>11.12</v>
      </c>
      <c r="E324" s="397">
        <v>8</v>
      </c>
    </row>
    <row r="325" spans="1:5" ht="14.25">
      <c r="A325" t="s">
        <v>878</v>
      </c>
      <c r="B325" s="397" t="s">
        <v>1115</v>
      </c>
      <c r="C325" s="397" t="s">
        <v>1116</v>
      </c>
      <c r="D325" s="397" t="s">
        <v>1117</v>
      </c>
      <c r="E325" s="397" t="s">
        <v>1118</v>
      </c>
    </row>
    <row r="326" spans="1:5" ht="14.25">
      <c r="A326" t="s">
        <v>879</v>
      </c>
      <c r="B326" s="397" t="s">
        <v>1119</v>
      </c>
      <c r="C326" s="397" t="s">
        <v>1120</v>
      </c>
      <c r="D326" s="397" t="s">
        <v>1121</v>
      </c>
      <c r="E326" s="397" t="s">
        <v>1122</v>
      </c>
    </row>
    <row r="327" spans="1:5" ht="14.25">
      <c r="A327" t="s">
        <v>955</v>
      </c>
      <c r="B327" s="397"/>
      <c r="C327" s="397"/>
      <c r="D327" s="397"/>
      <c r="E327" s="397" t="s">
        <v>388</v>
      </c>
    </row>
    <row r="328" spans="1:5" ht="15">
      <c r="A328" t="s">
        <v>956</v>
      </c>
      <c r="B328" s="403"/>
      <c r="C328" s="403">
        <v>5.7</v>
      </c>
      <c r="D328" s="403"/>
      <c r="E328" s="397"/>
    </row>
    <row r="329" spans="1:5" ht="14.25">
      <c r="A329" t="s">
        <v>877</v>
      </c>
      <c r="B329" s="397"/>
      <c r="C329" s="397">
        <v>9</v>
      </c>
      <c r="D329" s="397"/>
      <c r="E329" s="397"/>
    </row>
    <row r="330" spans="1:5" ht="14.25">
      <c r="A330" t="s">
        <v>882</v>
      </c>
      <c r="B330" s="397"/>
      <c r="C330" s="397" t="s">
        <v>389</v>
      </c>
      <c r="D330" s="397"/>
      <c r="E330" s="397"/>
    </row>
    <row r="331" spans="1:5" ht="14.25">
      <c r="A331" t="s">
        <v>817</v>
      </c>
      <c r="B331" s="402"/>
      <c r="C331" s="402">
        <v>96074</v>
      </c>
      <c r="D331" s="397"/>
      <c r="E331" s="397"/>
    </row>
    <row r="333" ht="14.25">
      <c r="A333" t="s">
        <v>957</v>
      </c>
    </row>
    <row r="335" spans="1:2" ht="15">
      <c r="A335" s="10" t="s">
        <v>630</v>
      </c>
      <c r="B335" s="30">
        <f>(C328*C331)/B4</f>
        <v>0.1521171666666667</v>
      </c>
    </row>
    <row r="336" spans="1:2" ht="15">
      <c r="A336" s="10" t="s">
        <v>924</v>
      </c>
      <c r="B336" s="31">
        <f>B335*B5</f>
        <v>4.797166968000001</v>
      </c>
    </row>
    <row r="337" spans="1:2" ht="15">
      <c r="A337" s="10"/>
      <c r="B337" s="31"/>
    </row>
    <row r="339" spans="1:2" ht="15">
      <c r="A339" s="404" t="s">
        <v>1136</v>
      </c>
      <c r="B339" s="45" t="s">
        <v>963</v>
      </c>
    </row>
    <row r="340" ht="14.25">
      <c r="A340" s="15" t="s">
        <v>960</v>
      </c>
    </row>
    <row r="341" ht="14.25">
      <c r="A341" s="15" t="s">
        <v>810</v>
      </c>
    </row>
    <row r="342" spans="1:2" ht="15">
      <c r="A342" s="25" t="s">
        <v>951</v>
      </c>
      <c r="B342" s="403" t="s">
        <v>338</v>
      </c>
    </row>
    <row r="343" spans="2:5" ht="14.25">
      <c r="B343" s="9" t="s">
        <v>961</v>
      </c>
      <c r="C343" s="9" t="s">
        <v>812</v>
      </c>
      <c r="D343" s="9" t="s">
        <v>813</v>
      </c>
      <c r="E343" s="9" t="s">
        <v>814</v>
      </c>
    </row>
    <row r="344" spans="1:5" ht="14.25">
      <c r="A344" t="s">
        <v>815</v>
      </c>
      <c r="B344" s="397" t="s">
        <v>1123</v>
      </c>
      <c r="C344" s="397" t="s">
        <v>1124</v>
      </c>
      <c r="D344" s="397" t="s">
        <v>1125</v>
      </c>
      <c r="E344" s="397" t="s">
        <v>1126</v>
      </c>
    </row>
    <row r="345" spans="1:5" ht="14.25">
      <c r="A345" t="s">
        <v>874</v>
      </c>
      <c r="B345" s="397">
        <v>257.4</v>
      </c>
      <c r="C345" s="397">
        <v>106</v>
      </c>
      <c r="D345" s="397">
        <v>485.1</v>
      </c>
      <c r="E345" s="397">
        <v>337.2</v>
      </c>
    </row>
    <row r="346" spans="1:5" ht="14.25">
      <c r="A346" t="s">
        <v>875</v>
      </c>
      <c r="B346" s="397">
        <v>129</v>
      </c>
      <c r="C346" s="397">
        <v>54.6</v>
      </c>
      <c r="D346" s="397">
        <v>476.1</v>
      </c>
      <c r="E346" s="397">
        <v>57.3</v>
      </c>
    </row>
    <row r="347" spans="1:5" ht="14.25">
      <c r="A347" t="s">
        <v>876</v>
      </c>
      <c r="B347" s="397">
        <v>0.7</v>
      </c>
      <c r="C347" s="397">
        <v>0</v>
      </c>
      <c r="D347" s="397">
        <v>0.4</v>
      </c>
      <c r="E347" s="397">
        <v>0.7</v>
      </c>
    </row>
    <row r="348" spans="1:5" ht="14.25">
      <c r="A348" t="s">
        <v>877</v>
      </c>
      <c r="B348" s="397">
        <v>10.5</v>
      </c>
      <c r="C348" s="397">
        <v>16.6</v>
      </c>
      <c r="D348" s="397">
        <v>9.8</v>
      </c>
      <c r="E348" s="397">
        <v>15.8</v>
      </c>
    </row>
    <row r="349" spans="1:5" ht="14.25">
      <c r="A349" t="s">
        <v>878</v>
      </c>
      <c r="B349" s="397" t="s">
        <v>1127</v>
      </c>
      <c r="C349" s="397" t="s">
        <v>1128</v>
      </c>
      <c r="D349" s="397" t="s">
        <v>1129</v>
      </c>
      <c r="E349" s="397" t="s">
        <v>1130</v>
      </c>
    </row>
    <row r="350" spans="1:5" ht="14.25">
      <c r="A350" t="s">
        <v>879</v>
      </c>
      <c r="B350" s="397" t="s">
        <v>1131</v>
      </c>
      <c r="C350" s="397" t="s">
        <v>1132</v>
      </c>
      <c r="D350" s="397" t="s">
        <v>1133</v>
      </c>
      <c r="E350" s="397" t="s">
        <v>1134</v>
      </c>
    </row>
    <row r="351" spans="1:5" ht="14.25">
      <c r="A351" t="s">
        <v>955</v>
      </c>
      <c r="B351" s="397"/>
      <c r="C351" s="397"/>
      <c r="D351" s="397"/>
      <c r="E351" s="397" t="s">
        <v>390</v>
      </c>
    </row>
    <row r="352" spans="1:5" ht="15">
      <c r="A352" t="s">
        <v>956</v>
      </c>
      <c r="B352" s="403"/>
      <c r="C352" s="403">
        <v>5.1</v>
      </c>
      <c r="D352" s="403"/>
      <c r="E352" s="397"/>
    </row>
    <row r="353" spans="1:5" ht="14.25">
      <c r="A353" t="s">
        <v>877</v>
      </c>
      <c r="B353" s="397"/>
      <c r="C353" s="397">
        <v>11.3</v>
      </c>
      <c r="D353" s="397"/>
      <c r="E353" s="397"/>
    </row>
    <row r="354" spans="1:5" ht="14.25">
      <c r="A354" t="s">
        <v>882</v>
      </c>
      <c r="B354" s="397"/>
      <c r="C354" s="397" t="s">
        <v>391</v>
      </c>
      <c r="D354" s="397"/>
      <c r="E354" s="397"/>
    </row>
    <row r="355" spans="1:5" ht="14.25">
      <c r="A355" t="s">
        <v>817</v>
      </c>
      <c r="B355" s="402"/>
      <c r="C355" s="402">
        <v>102944</v>
      </c>
      <c r="D355" s="397"/>
      <c r="E355" s="397"/>
    </row>
    <row r="357" ht="14.25">
      <c r="A357" t="s">
        <v>957</v>
      </c>
    </row>
    <row r="359" spans="1:2" ht="15">
      <c r="A359" s="10" t="s">
        <v>630</v>
      </c>
      <c r="B359" s="31">
        <f>(C352*C355)/B4</f>
        <v>0.14583733333333332</v>
      </c>
    </row>
    <row r="360" spans="1:2" ht="15">
      <c r="A360" s="10" t="s">
        <v>924</v>
      </c>
      <c r="B360" s="31">
        <f>B359*B5</f>
        <v>4.5991261439999995</v>
      </c>
    </row>
    <row r="363" ht="15">
      <c r="A363" s="404" t="s">
        <v>1150</v>
      </c>
    </row>
    <row r="364" ht="14.25">
      <c r="A364" s="15" t="s">
        <v>964</v>
      </c>
    </row>
    <row r="365" ht="14.25">
      <c r="A365" s="15" t="s">
        <v>810</v>
      </c>
    </row>
    <row r="366" spans="1:2" ht="15">
      <c r="A366" s="25" t="s">
        <v>951</v>
      </c>
      <c r="B366" s="403" t="s">
        <v>338</v>
      </c>
    </row>
    <row r="367" spans="2:5" ht="14.25">
      <c r="B367" s="9" t="s">
        <v>811</v>
      </c>
      <c r="C367" s="9" t="s">
        <v>812</v>
      </c>
      <c r="D367" s="9" t="s">
        <v>813</v>
      </c>
      <c r="E367" s="9" t="s">
        <v>814</v>
      </c>
    </row>
    <row r="368" spans="1:5" ht="14.25">
      <c r="A368" t="s">
        <v>815</v>
      </c>
      <c r="B368" s="397" t="s">
        <v>1137</v>
      </c>
      <c r="C368" s="397" t="s">
        <v>1138</v>
      </c>
      <c r="D368" s="397" t="s">
        <v>1139</v>
      </c>
      <c r="E368" s="397" t="s">
        <v>1140</v>
      </c>
    </row>
    <row r="369" spans="1:5" ht="14.25">
      <c r="A369" t="s">
        <v>874</v>
      </c>
      <c r="B369" s="397">
        <v>22.9</v>
      </c>
      <c r="C369" s="397">
        <v>16.5</v>
      </c>
      <c r="D369" s="397">
        <v>12.8</v>
      </c>
      <c r="E369" s="397">
        <v>16.5</v>
      </c>
    </row>
    <row r="370" spans="1:5" ht="14.25">
      <c r="A370" t="s">
        <v>875</v>
      </c>
      <c r="B370" s="397">
        <v>50.6</v>
      </c>
      <c r="C370" s="397">
        <v>38.9</v>
      </c>
      <c r="D370" s="397">
        <v>22.9</v>
      </c>
      <c r="E370" s="397">
        <v>22.9</v>
      </c>
    </row>
    <row r="371" spans="1:5" ht="14.25">
      <c r="A371" t="s">
        <v>876</v>
      </c>
      <c r="B371" s="397">
        <v>10.7</v>
      </c>
      <c r="C371" s="397">
        <v>39.9</v>
      </c>
      <c r="D371" s="397">
        <v>9.3</v>
      </c>
      <c r="E371" s="397">
        <v>78.9</v>
      </c>
    </row>
    <row r="372" spans="1:5" ht="14.25">
      <c r="A372" t="s">
        <v>877</v>
      </c>
      <c r="B372" s="397">
        <v>11.7</v>
      </c>
      <c r="C372" s="397">
        <v>10</v>
      </c>
      <c r="D372" s="397">
        <v>8.7</v>
      </c>
      <c r="E372" s="397">
        <v>8.4</v>
      </c>
    </row>
    <row r="373" spans="1:5" ht="14.25">
      <c r="A373" t="s">
        <v>878</v>
      </c>
      <c r="B373" s="397" t="s">
        <v>1141</v>
      </c>
      <c r="C373" s="397" t="s">
        <v>1142</v>
      </c>
      <c r="D373" s="397" t="s">
        <v>1143</v>
      </c>
      <c r="E373" s="397" t="s">
        <v>1144</v>
      </c>
    </row>
    <row r="374" spans="1:5" ht="14.25">
      <c r="A374" t="s">
        <v>879</v>
      </c>
      <c r="B374" s="397" t="s">
        <v>1145</v>
      </c>
      <c r="C374" s="397" t="s">
        <v>1146</v>
      </c>
      <c r="D374" s="397" t="s">
        <v>1147</v>
      </c>
      <c r="E374" s="397" t="s">
        <v>1148</v>
      </c>
    </row>
    <row r="375" spans="1:5" ht="14.25">
      <c r="A375" t="s">
        <v>815</v>
      </c>
      <c r="B375" s="397" t="s">
        <v>392</v>
      </c>
      <c r="C375" s="397"/>
      <c r="D375" s="397"/>
      <c r="E375" s="397"/>
    </row>
    <row r="376" spans="1:5" ht="15">
      <c r="A376" t="s">
        <v>956</v>
      </c>
      <c r="B376" s="403">
        <v>1.8</v>
      </c>
      <c r="C376" s="404" t="s">
        <v>1149</v>
      </c>
      <c r="D376" s="397"/>
      <c r="E376" s="397"/>
    </row>
    <row r="377" spans="1:5" ht="14.25">
      <c r="A377" t="s">
        <v>877</v>
      </c>
      <c r="B377" s="397">
        <v>8.5</v>
      </c>
      <c r="C377" s="397"/>
      <c r="D377" s="397"/>
      <c r="E377" s="397"/>
    </row>
    <row r="378" spans="1:5" ht="14.25">
      <c r="A378" t="s">
        <v>882</v>
      </c>
      <c r="B378" s="397" t="s">
        <v>393</v>
      </c>
      <c r="C378" s="397"/>
      <c r="D378" s="397"/>
      <c r="E378" s="397"/>
    </row>
    <row r="379" spans="1:5" ht="14.25">
      <c r="A379" t="s">
        <v>817</v>
      </c>
      <c r="B379" s="402">
        <v>129936</v>
      </c>
      <c r="C379" s="397"/>
      <c r="D379" s="397"/>
      <c r="E379" s="397"/>
    </row>
    <row r="380" spans="2:5" ht="14.25">
      <c r="B380" s="397"/>
      <c r="C380" s="397"/>
      <c r="D380" s="397"/>
      <c r="E380" s="397"/>
    </row>
    <row r="381" spans="1:5" ht="15">
      <c r="A381" s="10" t="s">
        <v>630</v>
      </c>
      <c r="B381" s="405">
        <f>(B376*B379)/B4</f>
        <v>0.064968</v>
      </c>
      <c r="C381" s="397"/>
      <c r="D381" s="397"/>
      <c r="E381" s="397"/>
    </row>
    <row r="382" spans="1:2" ht="15">
      <c r="A382" s="10" t="s">
        <v>924</v>
      </c>
      <c r="B382" s="406">
        <f>B381*B5</f>
        <v>2.048830848</v>
      </c>
    </row>
    <row r="385" ht="15">
      <c r="A385" s="404" t="s">
        <v>1165</v>
      </c>
    </row>
    <row r="386" ht="14.25">
      <c r="A386" s="15" t="s">
        <v>965</v>
      </c>
    </row>
    <row r="387" ht="14.25">
      <c r="A387" s="15" t="s">
        <v>810</v>
      </c>
    </row>
    <row r="388" spans="1:2" ht="15">
      <c r="A388" s="25" t="s">
        <v>951</v>
      </c>
      <c r="B388" s="403" t="s">
        <v>338</v>
      </c>
    </row>
    <row r="389" spans="2:5" ht="14.25">
      <c r="B389" s="9" t="s">
        <v>811</v>
      </c>
      <c r="C389" s="9" t="s">
        <v>812</v>
      </c>
      <c r="D389" s="9" t="s">
        <v>813</v>
      </c>
      <c r="E389" s="9" t="s">
        <v>814</v>
      </c>
    </row>
    <row r="390" spans="1:5" ht="14.25">
      <c r="A390" t="s">
        <v>815</v>
      </c>
      <c r="B390" s="397" t="s">
        <v>1151</v>
      </c>
      <c r="C390" s="397" t="s">
        <v>1152</v>
      </c>
      <c r="D390" s="397" t="s">
        <v>1153</v>
      </c>
      <c r="E390" s="397" t="s">
        <v>1154</v>
      </c>
    </row>
    <row r="391" spans="1:5" ht="14.25">
      <c r="A391" t="s">
        <v>874</v>
      </c>
      <c r="B391" s="397">
        <v>19.7</v>
      </c>
      <c r="C391" s="397">
        <v>14.4</v>
      </c>
      <c r="D391" s="397">
        <v>16.3</v>
      </c>
      <c r="E391" s="397">
        <v>15.5</v>
      </c>
    </row>
    <row r="392" spans="1:5" ht="14.25">
      <c r="A392" t="s">
        <v>875</v>
      </c>
      <c r="B392" s="397">
        <v>26.3</v>
      </c>
      <c r="C392" s="397">
        <v>46.1</v>
      </c>
      <c r="D392" s="397">
        <v>33.5</v>
      </c>
      <c r="E392" s="397">
        <v>50</v>
      </c>
    </row>
    <row r="393" spans="1:5" ht="14.25">
      <c r="A393" t="s">
        <v>876</v>
      </c>
      <c r="B393" s="397">
        <v>1</v>
      </c>
      <c r="C393" s="397">
        <v>18.9</v>
      </c>
      <c r="D393" s="397">
        <v>10.5</v>
      </c>
      <c r="E393" s="397">
        <v>3.8</v>
      </c>
    </row>
    <row r="394" spans="1:5" ht="14.25">
      <c r="A394" t="s">
        <v>877</v>
      </c>
      <c r="B394" s="397">
        <v>11.9</v>
      </c>
      <c r="C394" s="397">
        <v>11.2</v>
      </c>
      <c r="D394" s="397">
        <v>11.1</v>
      </c>
      <c r="E394" s="397">
        <v>11.1</v>
      </c>
    </row>
    <row r="395" spans="1:5" ht="14.25">
      <c r="A395" t="s">
        <v>878</v>
      </c>
      <c r="B395" s="397" t="s">
        <v>1155</v>
      </c>
      <c r="C395" s="397" t="s">
        <v>1156</v>
      </c>
      <c r="D395" s="397" t="s">
        <v>1157</v>
      </c>
      <c r="E395" s="397" t="s">
        <v>1158</v>
      </c>
    </row>
    <row r="396" spans="1:5" ht="14.25">
      <c r="A396" t="s">
        <v>879</v>
      </c>
      <c r="B396" s="397" t="s">
        <v>1159</v>
      </c>
      <c r="C396" s="397" t="s">
        <v>1160</v>
      </c>
      <c r="D396" s="397" t="s">
        <v>1161</v>
      </c>
      <c r="E396" s="397" t="s">
        <v>1162</v>
      </c>
    </row>
    <row r="397" spans="1:5" ht="14.25">
      <c r="A397" t="s">
        <v>815</v>
      </c>
      <c r="B397" s="397" t="s">
        <v>394</v>
      </c>
      <c r="C397" s="396"/>
      <c r="D397" s="397"/>
      <c r="E397" s="397"/>
    </row>
    <row r="398" spans="1:5" ht="15">
      <c r="A398" t="s">
        <v>956</v>
      </c>
      <c r="B398" s="403">
        <v>4.5</v>
      </c>
      <c r="C398" s="32" t="s">
        <v>1163</v>
      </c>
      <c r="D398" s="397"/>
      <c r="E398" s="397"/>
    </row>
    <row r="399" spans="1:5" ht="14.25">
      <c r="A399" t="s">
        <v>877</v>
      </c>
      <c r="B399" s="397">
        <v>9</v>
      </c>
      <c r="C399" s="396"/>
      <c r="D399" s="397"/>
      <c r="E399" s="397"/>
    </row>
    <row r="400" spans="1:5" ht="14.25">
      <c r="A400" t="s">
        <v>882</v>
      </c>
      <c r="B400" s="397" t="s">
        <v>395</v>
      </c>
      <c r="C400" s="396"/>
      <c r="D400" s="397"/>
      <c r="E400" s="397"/>
    </row>
    <row r="401" spans="1:5" ht="14.25">
      <c r="A401" t="s">
        <v>817</v>
      </c>
      <c r="B401" s="402">
        <v>147627</v>
      </c>
      <c r="C401" s="396" t="s">
        <v>1164</v>
      </c>
      <c r="D401" s="397"/>
      <c r="E401" s="397"/>
    </row>
    <row r="402" spans="2:5" ht="14.25">
      <c r="B402" s="397"/>
      <c r="C402" s="397"/>
      <c r="D402" s="397"/>
      <c r="E402" s="397"/>
    </row>
    <row r="403" spans="1:5" ht="15">
      <c r="A403" s="10" t="s">
        <v>630</v>
      </c>
      <c r="B403" s="405">
        <f>(B398*B401)/B4</f>
        <v>0.18453375</v>
      </c>
      <c r="C403" s="397"/>
      <c r="D403" s="397"/>
      <c r="E403" s="397"/>
    </row>
    <row r="404" spans="1:5" ht="15">
      <c r="A404" s="10" t="s">
        <v>924</v>
      </c>
      <c r="B404" s="405">
        <f>B403*B5</f>
        <v>5.81945634</v>
      </c>
      <c r="C404" s="397"/>
      <c r="D404" s="397"/>
      <c r="E404" s="397"/>
    </row>
    <row r="407" ht="15">
      <c r="A407" s="404" t="s">
        <v>1172</v>
      </c>
    </row>
    <row r="408" ht="14.25">
      <c r="A408" s="15" t="s">
        <v>975</v>
      </c>
    </row>
    <row r="409" ht="14.25">
      <c r="A409" s="15" t="s">
        <v>810</v>
      </c>
    </row>
    <row r="410" spans="1:2" ht="15">
      <c r="A410" s="25" t="s">
        <v>951</v>
      </c>
      <c r="B410" s="403" t="s">
        <v>338</v>
      </c>
    </row>
    <row r="411" spans="2:5" ht="14.25">
      <c r="B411" s="397" t="s">
        <v>976</v>
      </c>
      <c r="C411" s="397" t="s">
        <v>977</v>
      </c>
      <c r="D411" s="397" t="s">
        <v>978</v>
      </c>
      <c r="E411" s="397" t="s">
        <v>979</v>
      </c>
    </row>
    <row r="412" spans="1:5" ht="14.25">
      <c r="A412" t="s">
        <v>815</v>
      </c>
      <c r="B412" s="397"/>
      <c r="C412" s="397" t="s">
        <v>1166</v>
      </c>
      <c r="D412" s="397"/>
      <c r="E412" s="407">
        <v>40879</v>
      </c>
    </row>
    <row r="413" spans="1:5" ht="14.25">
      <c r="A413" t="s">
        <v>874</v>
      </c>
      <c r="B413" s="397"/>
      <c r="C413" s="397">
        <v>129.4</v>
      </c>
      <c r="D413" s="397"/>
      <c r="E413" s="397">
        <v>20.3</v>
      </c>
    </row>
    <row r="414" spans="1:5" ht="14.25">
      <c r="A414" t="s">
        <v>875</v>
      </c>
      <c r="B414" s="397"/>
      <c r="C414" s="397">
        <v>315.8</v>
      </c>
      <c r="D414" s="397"/>
      <c r="E414" s="397">
        <v>73</v>
      </c>
    </row>
    <row r="415" spans="1:5" ht="14.25">
      <c r="A415" t="s">
        <v>876</v>
      </c>
      <c r="B415" s="397"/>
      <c r="C415" s="397">
        <v>23.4</v>
      </c>
      <c r="D415" s="397"/>
      <c r="E415" s="397">
        <v>908.5</v>
      </c>
    </row>
    <row r="416" spans="1:5" ht="14.25">
      <c r="A416" t="s">
        <v>877</v>
      </c>
      <c r="B416" s="397"/>
      <c r="C416" s="397">
        <v>9</v>
      </c>
      <c r="D416" s="397"/>
      <c r="E416" s="397">
        <v>9.5</v>
      </c>
    </row>
    <row r="417" spans="1:5" ht="14.25">
      <c r="A417" t="s">
        <v>878</v>
      </c>
      <c r="B417" s="397"/>
      <c r="C417" s="397" t="s">
        <v>1167</v>
      </c>
      <c r="D417" s="397"/>
      <c r="E417" s="397" t="s">
        <v>1168</v>
      </c>
    </row>
    <row r="418" spans="1:5" ht="14.25">
      <c r="A418" t="s">
        <v>879</v>
      </c>
      <c r="B418" s="397"/>
      <c r="C418" s="397" t="s">
        <v>1169</v>
      </c>
      <c r="D418" s="397"/>
      <c r="E418" s="397" t="s">
        <v>1170</v>
      </c>
    </row>
    <row r="419" spans="1:5" ht="14.25">
      <c r="A419" t="s">
        <v>815</v>
      </c>
      <c r="B419" s="397" t="s">
        <v>396</v>
      </c>
      <c r="C419" s="396"/>
      <c r="D419" s="397"/>
      <c r="E419" s="397"/>
    </row>
    <row r="420" spans="1:5" ht="15">
      <c r="A420" t="s">
        <v>956</v>
      </c>
      <c r="B420" s="403" t="s">
        <v>1171</v>
      </c>
      <c r="C420" s="403">
        <v>3.3</v>
      </c>
      <c r="D420" s="397"/>
      <c r="E420" s="397"/>
    </row>
    <row r="421" spans="1:5" ht="14.25">
      <c r="A421" t="s">
        <v>877</v>
      </c>
      <c r="B421" s="397">
        <v>10</v>
      </c>
      <c r="C421" s="396"/>
      <c r="D421" s="397"/>
      <c r="E421" s="397"/>
    </row>
    <row r="422" spans="1:5" ht="14.25">
      <c r="A422" t="s">
        <v>882</v>
      </c>
      <c r="B422" s="397" t="s">
        <v>397</v>
      </c>
      <c r="C422" s="396"/>
      <c r="D422" s="397"/>
      <c r="E422" s="397"/>
    </row>
    <row r="423" spans="1:5" ht="14.25">
      <c r="A423" t="s">
        <v>817</v>
      </c>
      <c r="B423" s="402">
        <v>153136</v>
      </c>
      <c r="C423" s="396"/>
      <c r="D423" s="397"/>
      <c r="E423" s="397"/>
    </row>
    <row r="424" spans="2:5" ht="14.25">
      <c r="B424" s="397"/>
      <c r="C424" s="397"/>
      <c r="D424" s="397"/>
      <c r="E424" s="397"/>
    </row>
    <row r="425" spans="1:2" ht="15">
      <c r="A425" s="10" t="s">
        <v>630</v>
      </c>
      <c r="B425" s="30">
        <f>(C420*B423)/B4</f>
        <v>0.14037466666666668</v>
      </c>
    </row>
    <row r="426" spans="1:2" ht="15">
      <c r="A426" s="10" t="s">
        <v>924</v>
      </c>
      <c r="B426" s="30">
        <f>B425*B5</f>
        <v>4.426855488</v>
      </c>
    </row>
    <row r="429" ht="15">
      <c r="A429" s="404" t="s">
        <v>1178</v>
      </c>
    </row>
    <row r="430" ht="14.25">
      <c r="A430" s="15" t="s">
        <v>980</v>
      </c>
    </row>
    <row r="431" ht="14.25">
      <c r="A431" s="15" t="s">
        <v>810</v>
      </c>
    </row>
    <row r="432" spans="1:2" ht="15">
      <c r="A432" s="25" t="s">
        <v>951</v>
      </c>
      <c r="B432" s="403" t="s">
        <v>338</v>
      </c>
    </row>
    <row r="433" ht="14.25">
      <c r="B433" s="9" t="s">
        <v>981</v>
      </c>
    </row>
    <row r="434" spans="1:2" ht="14.25">
      <c r="A434" t="s">
        <v>815</v>
      </c>
      <c r="B434" s="397" t="s">
        <v>1173</v>
      </c>
    </row>
    <row r="435" spans="1:2" ht="14.25">
      <c r="A435" t="s">
        <v>874</v>
      </c>
      <c r="B435" s="397">
        <v>7.5</v>
      </c>
    </row>
    <row r="436" spans="1:2" ht="14.25">
      <c r="A436" t="s">
        <v>875</v>
      </c>
      <c r="B436" s="397">
        <v>24.7</v>
      </c>
    </row>
    <row r="437" spans="1:2" ht="14.25">
      <c r="A437" t="s">
        <v>876</v>
      </c>
      <c r="B437" s="397">
        <v>38.9</v>
      </c>
    </row>
    <row r="438" spans="1:2" ht="14.25">
      <c r="A438" t="s">
        <v>877</v>
      </c>
      <c r="B438" s="397">
        <v>10.7</v>
      </c>
    </row>
    <row r="439" spans="1:2" ht="14.25">
      <c r="A439" t="s">
        <v>878</v>
      </c>
      <c r="B439" s="397" t="s">
        <v>1174</v>
      </c>
    </row>
    <row r="440" spans="1:2" ht="14.25">
      <c r="A440" t="s">
        <v>879</v>
      </c>
      <c r="B440" s="397" t="s">
        <v>1175</v>
      </c>
    </row>
    <row r="441" spans="1:2" ht="14.25">
      <c r="A441" t="s">
        <v>815</v>
      </c>
      <c r="B441" s="397" t="s">
        <v>398</v>
      </c>
    </row>
    <row r="442" spans="1:3" ht="14.25">
      <c r="A442" t="s">
        <v>956</v>
      </c>
      <c r="B442" s="397">
        <v>1.3</v>
      </c>
      <c r="C442" s="408" t="s">
        <v>1177</v>
      </c>
    </row>
    <row r="443" spans="1:2" ht="14.25">
      <c r="A443" t="s">
        <v>877</v>
      </c>
      <c r="B443" s="397">
        <v>10.7</v>
      </c>
    </row>
    <row r="444" spans="1:2" ht="14.25">
      <c r="A444" t="s">
        <v>882</v>
      </c>
      <c r="B444" s="397" t="s">
        <v>1176</v>
      </c>
    </row>
    <row r="445" spans="1:6" ht="14.25">
      <c r="A445" t="s">
        <v>817</v>
      </c>
      <c r="B445" s="402">
        <v>220875</v>
      </c>
      <c r="F445" s="46"/>
    </row>
    <row r="446" ht="14.25">
      <c r="N446"/>
    </row>
    <row r="447" spans="1:14" ht="15">
      <c r="A447" s="10" t="s">
        <v>630</v>
      </c>
      <c r="B447" s="30">
        <f>(B442*B445)/B4</f>
        <v>0.07976041666666667</v>
      </c>
      <c r="N447"/>
    </row>
    <row r="448" spans="1:14" ht="15">
      <c r="A448" s="10" t="s">
        <v>924</v>
      </c>
      <c r="B448" s="30">
        <f>B447*B5</f>
        <v>2.5153245</v>
      </c>
      <c r="N448"/>
    </row>
    <row r="449" ht="14.25">
      <c r="N449"/>
    </row>
    <row r="450" ht="14.25">
      <c r="N450"/>
    </row>
    <row r="451" spans="1:14" ht="15">
      <c r="A451" s="404" t="s">
        <v>1184</v>
      </c>
      <c r="N451"/>
    </row>
    <row r="452" spans="1:14" ht="14.25">
      <c r="A452" s="15" t="s">
        <v>964</v>
      </c>
      <c r="I452"/>
      <c r="J452" s="9"/>
      <c r="L452"/>
      <c r="N452"/>
    </row>
    <row r="453" spans="1:14" ht="14.25">
      <c r="A453" s="15" t="s">
        <v>810</v>
      </c>
      <c r="I453"/>
      <c r="J453" s="9"/>
      <c r="L453"/>
      <c r="N453"/>
    </row>
    <row r="454" spans="1:14" ht="15">
      <c r="A454" s="25" t="s">
        <v>951</v>
      </c>
      <c r="B454" s="403" t="s">
        <v>338</v>
      </c>
      <c r="D454"/>
      <c r="E454"/>
      <c r="G454" s="9"/>
      <c r="I454"/>
      <c r="J454" s="9"/>
      <c r="L454"/>
      <c r="N454"/>
    </row>
    <row r="455" spans="2:14" ht="14.25">
      <c r="B455" s="9" t="s">
        <v>821</v>
      </c>
      <c r="C455" s="9" t="s">
        <v>822</v>
      </c>
      <c r="D455"/>
      <c r="E455"/>
      <c r="G455" s="9"/>
      <c r="I455"/>
      <c r="J455" s="9"/>
      <c r="L455"/>
      <c r="N455"/>
    </row>
    <row r="456" spans="1:14" ht="14.25">
      <c r="A456" t="s">
        <v>815</v>
      </c>
      <c r="B456" s="397"/>
      <c r="C456" s="397" t="s">
        <v>1179</v>
      </c>
      <c r="D456"/>
      <c r="E456"/>
      <c r="G456" s="9"/>
      <c r="I456"/>
      <c r="J456" s="9"/>
      <c r="L456"/>
      <c r="N456"/>
    </row>
    <row r="457" spans="1:14" ht="14.25">
      <c r="A457" t="s">
        <v>874</v>
      </c>
      <c r="B457" s="397"/>
      <c r="C457" s="397">
        <v>49.7</v>
      </c>
      <c r="D457"/>
      <c r="E457"/>
      <c r="G457" s="9"/>
      <c r="I457"/>
      <c r="J457" s="9"/>
      <c r="L457"/>
      <c r="N457"/>
    </row>
    <row r="458" spans="1:14" ht="14.25">
      <c r="A458" t="s">
        <v>875</v>
      </c>
      <c r="B458" s="397"/>
      <c r="C458" s="397">
        <v>85.2</v>
      </c>
      <c r="D458"/>
      <c r="E458"/>
      <c r="G458" s="9"/>
      <c r="I458"/>
      <c r="J458" s="9"/>
      <c r="L458"/>
      <c r="N458"/>
    </row>
    <row r="459" spans="1:14" ht="14.25">
      <c r="A459" t="s">
        <v>876</v>
      </c>
      <c r="B459" s="397"/>
      <c r="C459" s="397">
        <v>1</v>
      </c>
      <c r="D459"/>
      <c r="E459"/>
      <c r="G459" s="9"/>
      <c r="I459"/>
      <c r="J459" s="9"/>
      <c r="L459"/>
      <c r="N459"/>
    </row>
    <row r="460" spans="1:14" ht="14.25">
      <c r="A460" t="s">
        <v>877</v>
      </c>
      <c r="B460" s="397"/>
      <c r="C460" s="397">
        <v>3.7</v>
      </c>
      <c r="D460"/>
      <c r="E460"/>
      <c r="G460" s="9"/>
      <c r="I460"/>
      <c r="J460" s="9"/>
      <c r="L460"/>
      <c r="N460"/>
    </row>
    <row r="461" spans="1:14" ht="14.25">
      <c r="A461" t="s">
        <v>878</v>
      </c>
      <c r="B461" s="397"/>
      <c r="C461" s="397" t="s">
        <v>1180</v>
      </c>
      <c r="D461"/>
      <c r="E461"/>
      <c r="G461" s="9"/>
      <c r="I461"/>
      <c r="J461" s="9"/>
      <c r="L461"/>
      <c r="N461"/>
    </row>
    <row r="462" spans="1:14" ht="14.25">
      <c r="A462" t="s">
        <v>879</v>
      </c>
      <c r="B462" s="397"/>
      <c r="C462" s="397" t="s">
        <v>1181</v>
      </c>
      <c r="D462"/>
      <c r="E462"/>
      <c r="G462" s="9"/>
      <c r="I462"/>
      <c r="J462" s="9"/>
      <c r="L462"/>
      <c r="N462"/>
    </row>
    <row r="463" spans="1:14" ht="14.25">
      <c r="A463" t="s">
        <v>815</v>
      </c>
      <c r="B463" s="397" t="s">
        <v>399</v>
      </c>
      <c r="C463" s="397"/>
      <c r="D463"/>
      <c r="H463" s="9"/>
      <c r="I463"/>
      <c r="L463"/>
      <c r="N463"/>
    </row>
    <row r="464" spans="1:14" ht="14.25">
      <c r="A464" t="s">
        <v>956</v>
      </c>
      <c r="B464" s="397">
        <v>3.9</v>
      </c>
      <c r="C464" s="408" t="s">
        <v>1183</v>
      </c>
      <c r="D464"/>
      <c r="H464" s="9"/>
      <c r="I464"/>
      <c r="N464"/>
    </row>
    <row r="465" spans="1:14" ht="14.25">
      <c r="A465" t="s">
        <v>877</v>
      </c>
      <c r="B465" s="397">
        <v>3.7</v>
      </c>
      <c r="C465" s="397"/>
      <c r="D465"/>
      <c r="H465" s="9"/>
      <c r="I465"/>
      <c r="N465"/>
    </row>
    <row r="466" spans="1:14" ht="14.25">
      <c r="A466" t="s">
        <v>882</v>
      </c>
      <c r="B466" s="397" t="s">
        <v>1182</v>
      </c>
      <c r="C466" s="397"/>
      <c r="D466"/>
      <c r="H466" s="9"/>
      <c r="I466"/>
      <c r="N466"/>
    </row>
    <row r="467" spans="1:14" ht="14.25">
      <c r="A467" t="s">
        <v>817</v>
      </c>
      <c r="B467" s="402">
        <v>149071</v>
      </c>
      <c r="C467" s="397"/>
      <c r="D467"/>
      <c r="E467" s="199"/>
      <c r="H467" s="9"/>
      <c r="I467"/>
      <c r="N467"/>
    </row>
    <row r="468" spans="4:12" ht="14.25">
      <c r="D468"/>
      <c r="E468"/>
      <c r="G468" s="9"/>
      <c r="I468"/>
      <c r="J468" s="9"/>
      <c r="L468"/>
    </row>
    <row r="469" spans="1:12" ht="15">
      <c r="A469" s="10" t="s">
        <v>630</v>
      </c>
      <c r="B469" s="30">
        <f>(B464*B467)/B4</f>
        <v>0.16149358333333333</v>
      </c>
      <c r="D469"/>
      <c r="E469"/>
      <c r="G469" s="9"/>
      <c r="I469"/>
      <c r="J469" s="9"/>
      <c r="L469"/>
    </row>
    <row r="470" spans="1:7" ht="15">
      <c r="A470" s="10" t="s">
        <v>924</v>
      </c>
      <c r="B470" s="30">
        <f>B469*B5</f>
        <v>5.092861644</v>
      </c>
      <c r="D470"/>
      <c r="E470"/>
      <c r="G470" s="9"/>
    </row>
    <row r="471" spans="4:7" ht="14.25">
      <c r="D471"/>
      <c r="E471"/>
      <c r="G471" s="9"/>
    </row>
    <row r="473" ht="15">
      <c r="A473" s="404" t="s">
        <v>1190</v>
      </c>
    </row>
    <row r="474" ht="14.25">
      <c r="A474" s="15" t="s">
        <v>964</v>
      </c>
    </row>
    <row r="475" ht="14.25">
      <c r="A475" s="15" t="s">
        <v>810</v>
      </c>
    </row>
    <row r="476" spans="1:2" ht="15">
      <c r="A476" s="25" t="s">
        <v>951</v>
      </c>
      <c r="B476" s="403" t="s">
        <v>338</v>
      </c>
    </row>
    <row r="477" spans="2:3" ht="14.25">
      <c r="B477" s="9" t="s">
        <v>821</v>
      </c>
      <c r="C477" s="9" t="s">
        <v>822</v>
      </c>
    </row>
    <row r="478" spans="1:3" ht="14.25">
      <c r="A478" t="s">
        <v>815</v>
      </c>
      <c r="B478" s="397"/>
      <c r="C478" s="397" t="s">
        <v>1185</v>
      </c>
    </row>
    <row r="479" spans="1:3" ht="14.25">
      <c r="A479" t="s">
        <v>874</v>
      </c>
      <c r="B479" s="397"/>
      <c r="C479" s="397">
        <v>44</v>
      </c>
    </row>
    <row r="480" spans="1:3" ht="14.25">
      <c r="A480" t="s">
        <v>875</v>
      </c>
      <c r="B480" s="397"/>
      <c r="C480" s="397">
        <v>100.7</v>
      </c>
    </row>
    <row r="481" spans="1:3" ht="14.25">
      <c r="A481" t="s">
        <v>876</v>
      </c>
      <c r="B481" s="397"/>
      <c r="C481" s="397">
        <v>1.6</v>
      </c>
    </row>
    <row r="482" spans="1:3" ht="14.25">
      <c r="A482" t="s">
        <v>877</v>
      </c>
      <c r="B482" s="397"/>
      <c r="C482" s="397">
        <v>5.5</v>
      </c>
    </row>
    <row r="483" spans="1:3" ht="14.25">
      <c r="A483" t="s">
        <v>878</v>
      </c>
      <c r="B483" s="397"/>
      <c r="C483" s="397" t="s">
        <v>1186</v>
      </c>
    </row>
    <row r="484" spans="1:3" ht="14.25">
      <c r="A484" t="s">
        <v>879</v>
      </c>
      <c r="B484" s="397"/>
      <c r="C484" s="397" t="s">
        <v>1187</v>
      </c>
    </row>
    <row r="485" spans="1:14" ht="14.25">
      <c r="A485" t="s">
        <v>815</v>
      </c>
      <c r="B485" s="397" t="s">
        <v>400</v>
      </c>
      <c r="C485" s="397"/>
      <c r="D485"/>
      <c r="G485" s="9"/>
      <c r="I485"/>
      <c r="J485" s="9"/>
      <c r="N485"/>
    </row>
    <row r="486" spans="1:14" ht="14.25">
      <c r="A486" t="s">
        <v>956</v>
      </c>
      <c r="B486" s="397">
        <v>2.6</v>
      </c>
      <c r="C486" s="408" t="s">
        <v>1189</v>
      </c>
      <c r="D486"/>
      <c r="G486" s="9"/>
      <c r="I486"/>
      <c r="J486" s="9"/>
      <c r="N486"/>
    </row>
    <row r="487" spans="1:14" ht="14.25">
      <c r="A487" t="s">
        <v>877</v>
      </c>
      <c r="B487" s="397">
        <v>5.1</v>
      </c>
      <c r="C487" s="397"/>
      <c r="D487"/>
      <c r="G487" s="9"/>
      <c r="I487"/>
      <c r="J487" s="9"/>
      <c r="N487"/>
    </row>
    <row r="488" spans="1:14" ht="14.25">
      <c r="A488" t="s">
        <v>882</v>
      </c>
      <c r="B488" s="397" t="s">
        <v>1188</v>
      </c>
      <c r="C488" s="397"/>
      <c r="D488"/>
      <c r="G488" s="9"/>
      <c r="I488"/>
      <c r="J488" s="9"/>
      <c r="N488"/>
    </row>
    <row r="489" spans="1:14" ht="14.25">
      <c r="A489" t="s">
        <v>817</v>
      </c>
      <c r="B489" s="402">
        <v>160510</v>
      </c>
      <c r="C489" s="397"/>
      <c r="D489"/>
      <c r="G489" s="9"/>
      <c r="I489"/>
      <c r="J489" s="9"/>
      <c r="N489"/>
    </row>
    <row r="490" spans="2:3" ht="14.25">
      <c r="B490" s="397"/>
      <c r="C490" s="397"/>
    </row>
    <row r="491" spans="1:2" ht="15">
      <c r="A491" s="10" t="s">
        <v>630</v>
      </c>
      <c r="B491" s="30">
        <f>(B486*B489)/B4</f>
        <v>0.1159238888888889</v>
      </c>
    </row>
    <row r="492" spans="1:2" ht="15">
      <c r="A492" s="10" t="s">
        <v>924</v>
      </c>
      <c r="B492" s="30">
        <f>B491*B5</f>
        <v>3.6557757600000005</v>
      </c>
    </row>
  </sheetData>
  <sheetProtection/>
  <printOptions/>
  <pageMargins left="0.75" right="0.75" top="1" bottom="1" header="0.5" footer="0.5"/>
  <pageSetup fitToHeight="16" fitToWidth="2" horizontalDpi="600" verticalDpi="600" orientation="landscape"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selection activeCell="L1" sqref="L1:L16384"/>
    </sheetView>
  </sheetViews>
  <sheetFormatPr defaultColWidth="9.00390625" defaultRowHeight="14.25"/>
  <cols>
    <col min="1" max="1" width="13.00390625" style="25" customWidth="1"/>
    <col min="2" max="2" width="12.25390625" style="11" customWidth="1"/>
    <col min="3" max="3" width="30.875" style="15" customWidth="1"/>
    <col min="4" max="4" width="12.25390625" style="9" hidden="1" customWidth="1"/>
    <col min="5" max="5" width="18.50390625" style="9" customWidth="1"/>
    <col min="6" max="7" width="7.625" style="9" customWidth="1"/>
    <col min="8" max="10" width="7.50390625" style="9" customWidth="1"/>
    <col min="14" max="14" width="9.00390625" style="9" customWidth="1"/>
  </cols>
  <sheetData>
    <row r="1" spans="1:12" ht="19.5" customHeight="1">
      <c r="A1" s="752" t="s">
        <v>595</v>
      </c>
      <c r="B1" s="757" t="s">
        <v>649</v>
      </c>
      <c r="C1" s="752" t="s">
        <v>648</v>
      </c>
      <c r="D1" s="755" t="s">
        <v>649</v>
      </c>
      <c r="E1" s="759" t="s">
        <v>926</v>
      </c>
      <c r="F1" s="759" t="s">
        <v>883</v>
      </c>
      <c r="G1" s="759" t="s">
        <v>884</v>
      </c>
      <c r="H1" s="757" t="s">
        <v>885</v>
      </c>
      <c r="I1" s="758"/>
      <c r="J1" s="758"/>
      <c r="L1" t="s">
        <v>1280</v>
      </c>
    </row>
    <row r="2" spans="1:13" ht="18.75">
      <c r="A2" s="606"/>
      <c r="B2" s="758"/>
      <c r="C2" s="606"/>
      <c r="D2" s="756"/>
      <c r="E2" s="758"/>
      <c r="F2" s="758"/>
      <c r="G2" s="758"/>
      <c r="H2" s="27" t="s">
        <v>632</v>
      </c>
      <c r="I2" s="27" t="s">
        <v>640</v>
      </c>
      <c r="J2" s="27" t="s">
        <v>641</v>
      </c>
      <c r="L2" s="74" t="s">
        <v>633</v>
      </c>
      <c r="M2" s="74" t="s">
        <v>634</v>
      </c>
    </row>
    <row r="3" spans="1:14" ht="15">
      <c r="A3" s="582" t="s">
        <v>599</v>
      </c>
      <c r="B3" s="14" t="s">
        <v>699</v>
      </c>
      <c r="C3" s="16" t="s">
        <v>698</v>
      </c>
      <c r="D3" s="12" t="s">
        <v>699</v>
      </c>
      <c r="E3" s="12">
        <f>'Point sources raw data'!C43</f>
        <v>5.2</v>
      </c>
      <c r="F3" s="69">
        <v>90</v>
      </c>
      <c r="G3" s="69">
        <v>90</v>
      </c>
      <c r="H3" s="28">
        <f>'Point sources raw data'!C45</f>
        <v>3.3324932160000005</v>
      </c>
      <c r="I3" s="28">
        <f>(H3*F3)/100</f>
        <v>2.9992438944</v>
      </c>
      <c r="J3" s="28">
        <f>(H3*G3)/100</f>
        <v>2.9992438944</v>
      </c>
      <c r="L3">
        <v>0.9</v>
      </c>
      <c r="M3">
        <v>0.9</v>
      </c>
      <c r="N3" s="11" t="s">
        <v>1300</v>
      </c>
    </row>
    <row r="4" spans="1:14" ht="15">
      <c r="A4" s="583"/>
      <c r="B4" s="14" t="s">
        <v>701</v>
      </c>
      <c r="C4" s="16" t="s">
        <v>700</v>
      </c>
      <c r="D4" s="12" t="s">
        <v>701</v>
      </c>
      <c r="E4" s="29">
        <f>'Point sources raw data'!F15</f>
        <v>22.86</v>
      </c>
      <c r="F4" s="50">
        <v>95</v>
      </c>
      <c r="G4" s="50">
        <v>95</v>
      </c>
      <c r="H4" s="28">
        <f>'Point sources raw data'!F19</f>
        <v>7.8549864858000005</v>
      </c>
      <c r="I4" s="28">
        <f>(H4*F4)/100</f>
        <v>7.462237161510001</v>
      </c>
      <c r="J4" s="28">
        <f>(H4*G4)/100</f>
        <v>7.462237161510001</v>
      </c>
      <c r="L4">
        <v>0.95</v>
      </c>
      <c r="M4">
        <v>0.95</v>
      </c>
      <c r="N4" s="11" t="s">
        <v>1300</v>
      </c>
    </row>
    <row r="5" spans="1:10" ht="16.5" customHeight="1">
      <c r="A5" s="583"/>
      <c r="B5" s="17" t="s">
        <v>703</v>
      </c>
      <c r="C5" s="16" t="s">
        <v>702</v>
      </c>
      <c r="D5" s="12" t="s">
        <v>703</v>
      </c>
      <c r="E5" s="12" t="s">
        <v>614</v>
      </c>
      <c r="F5" s="50"/>
      <c r="G5" s="12"/>
      <c r="H5" s="12"/>
      <c r="I5" s="12">
        <f>(H5*F5)/100</f>
        <v>0</v>
      </c>
      <c r="J5" s="12">
        <f>(H5*G5)/100</f>
        <v>0</v>
      </c>
    </row>
    <row r="6" spans="1:12" ht="15">
      <c r="A6" s="583"/>
      <c r="B6" s="17" t="s">
        <v>705</v>
      </c>
      <c r="C6" s="16" t="s">
        <v>704</v>
      </c>
      <c r="D6" s="12" t="s">
        <v>705</v>
      </c>
      <c r="E6" s="12"/>
      <c r="F6" s="41">
        <f>I6/H6</f>
        <v>0.17491749174917492</v>
      </c>
      <c r="G6" s="41">
        <f>J6/H6</f>
        <v>0.16501650165016502</v>
      </c>
      <c r="H6" s="29">
        <f>(0.25*('PT Diffuse emissions - process'!C3*Production!E3)/1000000)+(('PT Diffuse emissions - process'!C4*Production!E3)/1000000)</f>
        <v>15.915930066</v>
      </c>
      <c r="I6" s="28">
        <f>('PT Diffuse emissions - process'!C4*Production!$E$3)/1000000</f>
        <v>2.783974566</v>
      </c>
      <c r="J6" s="29">
        <f>('PT Diffuse emissions - process'!C5*Production!$E$3)/1000000</f>
        <v>2.6263910999999998</v>
      </c>
      <c r="L6" t="s">
        <v>1285</v>
      </c>
    </row>
    <row r="7" spans="1:10" ht="15">
      <c r="A7" s="586"/>
      <c r="B7" s="613" t="s">
        <v>639</v>
      </c>
      <c r="C7" s="753"/>
      <c r="D7" s="753"/>
      <c r="E7" s="753"/>
      <c r="F7" s="753"/>
      <c r="G7" s="754"/>
      <c r="H7" s="37">
        <f>SUM(H3:H6)</f>
        <v>27.103409767800002</v>
      </c>
      <c r="I7" s="37">
        <f>SUM(I3:I6)</f>
        <v>13.24545562191</v>
      </c>
      <c r="J7" s="37">
        <f>SUM(J3:J6)</f>
        <v>13.08787215591</v>
      </c>
    </row>
    <row r="8" spans="1:13" ht="15">
      <c r="A8" s="578" t="s">
        <v>602</v>
      </c>
      <c r="B8" s="14" t="s">
        <v>651</v>
      </c>
      <c r="C8" s="16" t="s">
        <v>650</v>
      </c>
      <c r="D8" s="12" t="s">
        <v>651</v>
      </c>
      <c r="E8" s="29">
        <f>'Point sources raw data'!F60</f>
        <v>39.56666666666666</v>
      </c>
      <c r="F8" s="12">
        <v>96</v>
      </c>
      <c r="G8" s="12">
        <v>56</v>
      </c>
      <c r="H8" s="29">
        <f>'Point sources raw data'!F77</f>
        <v>421.49066218589405</v>
      </c>
      <c r="I8" s="29">
        <f>H8*(F8/100)</f>
        <v>404.6310356984583</v>
      </c>
      <c r="J8" s="29">
        <f>(H8*G8)/100</f>
        <v>236.03477082410066</v>
      </c>
      <c r="L8">
        <v>0.96</v>
      </c>
      <c r="M8">
        <v>0.56</v>
      </c>
    </row>
    <row r="9" spans="1:13" ht="15">
      <c r="A9" s="578"/>
      <c r="B9" s="14" t="s">
        <v>653</v>
      </c>
      <c r="C9" s="16" t="s">
        <v>652</v>
      </c>
      <c r="D9" s="12" t="s">
        <v>653</v>
      </c>
      <c r="E9" s="12">
        <f>'Point sources raw data'!D85</f>
        <v>88.8</v>
      </c>
      <c r="F9" s="12">
        <v>46</v>
      </c>
      <c r="G9" s="12">
        <v>46</v>
      </c>
      <c r="H9" s="29">
        <f>'Point sources raw data'!D90</f>
        <v>487.5882728774401</v>
      </c>
      <c r="I9" s="29">
        <f>(H9*F9)/100</f>
        <v>224.29060552362245</v>
      </c>
      <c r="J9" s="29">
        <f>(H9*G9)/100</f>
        <v>224.29060552362245</v>
      </c>
      <c r="L9">
        <v>0.46</v>
      </c>
      <c r="M9">
        <v>0.46</v>
      </c>
    </row>
    <row r="10" spans="1:10" ht="16.5" customHeight="1">
      <c r="A10" s="578"/>
      <c r="B10" s="17" t="s">
        <v>655</v>
      </c>
      <c r="C10" s="16" t="s">
        <v>654</v>
      </c>
      <c r="D10" s="12" t="s">
        <v>655</v>
      </c>
      <c r="E10" s="12" t="s">
        <v>614</v>
      </c>
      <c r="F10" s="12"/>
      <c r="G10" s="12"/>
      <c r="H10" s="12"/>
      <c r="I10" s="29">
        <f>(H10*F10)/100</f>
        <v>0</v>
      </c>
      <c r="J10" s="29">
        <f>(H10*G10)/100</f>
        <v>0</v>
      </c>
    </row>
    <row r="11" spans="1:10" ht="15">
      <c r="A11" s="748"/>
      <c r="B11" s="613" t="s">
        <v>642</v>
      </c>
      <c r="C11" s="753"/>
      <c r="D11" s="753"/>
      <c r="E11" s="753"/>
      <c r="F11" s="753"/>
      <c r="G11" s="754"/>
      <c r="H11" s="38">
        <f>SUM(H8:H10)</f>
        <v>909.0789350633341</v>
      </c>
      <c r="I11" s="38">
        <f>SUM(I8:I10)</f>
        <v>628.9216412220808</v>
      </c>
      <c r="J11" s="38">
        <f>SUM(J8:J10)</f>
        <v>460.32537634772314</v>
      </c>
    </row>
    <row r="12" spans="1:10" ht="15">
      <c r="A12" s="760" t="s">
        <v>644</v>
      </c>
      <c r="B12" s="17" t="s">
        <v>657</v>
      </c>
      <c r="C12" s="16" t="s">
        <v>656</v>
      </c>
      <c r="D12" s="12" t="s">
        <v>657</v>
      </c>
      <c r="E12" s="12"/>
      <c r="F12" s="12"/>
      <c r="G12" s="12"/>
      <c r="H12" s="29"/>
      <c r="I12" s="12">
        <f aca="true" t="shared" si="0" ref="I12:I25">(H12*F12)/100</f>
        <v>0</v>
      </c>
      <c r="J12" s="12">
        <f aca="true" t="shared" si="1" ref="J12:J25">(H12*G12)/100</f>
        <v>0</v>
      </c>
    </row>
    <row r="13" spans="1:10" ht="15">
      <c r="A13" s="615"/>
      <c r="B13" s="17" t="s">
        <v>659</v>
      </c>
      <c r="C13" s="16" t="s">
        <v>658</v>
      </c>
      <c r="D13" s="12" t="s">
        <v>659</v>
      </c>
      <c r="E13" s="12"/>
      <c r="F13" s="12"/>
      <c r="G13" s="12"/>
      <c r="H13" s="29"/>
      <c r="I13" s="12">
        <f>(H13*F13)/100</f>
        <v>0</v>
      </c>
      <c r="J13" s="12">
        <f>(H13*G13)/100</f>
        <v>0</v>
      </c>
    </row>
    <row r="14" spans="1:13" ht="15">
      <c r="A14" s="615"/>
      <c r="B14" s="14" t="s">
        <v>661</v>
      </c>
      <c r="C14" s="16" t="s">
        <v>660</v>
      </c>
      <c r="D14" s="12" t="s">
        <v>661</v>
      </c>
      <c r="E14" s="12">
        <f>'Point sources raw data'!D106</f>
        <v>0</v>
      </c>
      <c r="F14" s="12">
        <v>100</v>
      </c>
      <c r="G14" s="12">
        <v>100</v>
      </c>
      <c r="H14" s="28">
        <f>'Point sources raw data'!B112</f>
        <v>8.102892252</v>
      </c>
      <c r="I14" s="28">
        <f t="shared" si="0"/>
        <v>8.102892252</v>
      </c>
      <c r="J14" s="28">
        <f t="shared" si="1"/>
        <v>8.102892252</v>
      </c>
      <c r="L14" t="s">
        <v>614</v>
      </c>
      <c r="M14">
        <v>1</v>
      </c>
    </row>
    <row r="15" spans="1:13" ht="15">
      <c r="A15" s="615"/>
      <c r="B15" s="14" t="s">
        <v>663</v>
      </c>
      <c r="C15" s="16" t="s">
        <v>662</v>
      </c>
      <c r="D15" s="12" t="s">
        <v>663</v>
      </c>
      <c r="E15" s="12">
        <f>'Point sources raw data'!E128</f>
        <v>3.6</v>
      </c>
      <c r="F15" s="12">
        <v>100</v>
      </c>
      <c r="G15" s="12">
        <v>100</v>
      </c>
      <c r="H15" s="29">
        <f>'Point sources raw data'!B134</f>
        <v>7.696929961728</v>
      </c>
      <c r="I15" s="28">
        <f t="shared" si="0"/>
        <v>7.696929961728</v>
      </c>
      <c r="J15" s="28">
        <f t="shared" si="1"/>
        <v>7.696929961728</v>
      </c>
      <c r="L15" t="s">
        <v>614</v>
      </c>
      <c r="M15">
        <v>1</v>
      </c>
    </row>
    <row r="16" spans="1:13" ht="15">
      <c r="A16" s="615"/>
      <c r="B16" s="14" t="s">
        <v>665</v>
      </c>
      <c r="C16" s="16" t="s">
        <v>664</v>
      </c>
      <c r="D16" s="12" t="s">
        <v>665</v>
      </c>
      <c r="E16" s="12">
        <f>'Point sources raw data'!B156</f>
        <v>4.265000000000001</v>
      </c>
      <c r="F16" s="12">
        <v>86</v>
      </c>
      <c r="G16" s="12">
        <v>86</v>
      </c>
      <c r="H16" s="29">
        <f>'Point sources raw data'!D155</f>
        <v>18.5244666003828</v>
      </c>
      <c r="I16" s="28">
        <f>(H16*F16)/100</f>
        <v>15.931041276329209</v>
      </c>
      <c r="J16" s="28">
        <f>(H16*G16)/100</f>
        <v>15.931041276329209</v>
      </c>
      <c r="L16">
        <v>0.86</v>
      </c>
      <c r="M16">
        <v>0.86</v>
      </c>
    </row>
    <row r="17" spans="1:13" ht="15">
      <c r="A17" s="615"/>
      <c r="B17" s="14" t="s">
        <v>667</v>
      </c>
      <c r="C17" s="16" t="s">
        <v>666</v>
      </c>
      <c r="D17" s="12" t="s">
        <v>667</v>
      </c>
      <c r="E17" s="12">
        <f>'Point sources raw data'!B149</f>
        <v>5.53</v>
      </c>
      <c r="F17" s="12">
        <v>86</v>
      </c>
      <c r="G17" s="12">
        <v>86</v>
      </c>
      <c r="H17" s="29">
        <f>'Point sources raw data'!B161</f>
        <v>19.69673241737709</v>
      </c>
      <c r="I17" s="28">
        <f>(H17*F17)/100</f>
        <v>16.939189878944298</v>
      </c>
      <c r="J17" s="28">
        <f>(H17*G17)/100</f>
        <v>16.939189878944298</v>
      </c>
      <c r="L17">
        <v>0.86</v>
      </c>
      <c r="M17">
        <v>0.86</v>
      </c>
    </row>
    <row r="18" spans="1:10" ht="15">
      <c r="A18" s="615"/>
      <c r="B18" s="14" t="s">
        <v>669</v>
      </c>
      <c r="C18" s="16" t="s">
        <v>668</v>
      </c>
      <c r="D18" s="12" t="s">
        <v>669</v>
      </c>
      <c r="E18" s="12">
        <f>'Point sources raw data'!B170</f>
        <v>3.4</v>
      </c>
      <c r="F18" s="12">
        <v>86</v>
      </c>
      <c r="G18" s="12">
        <v>86</v>
      </c>
      <c r="H18" s="28">
        <f>'Point sources raw data'!B175</f>
        <v>35.513902628736</v>
      </c>
      <c r="I18" s="28">
        <f t="shared" si="0"/>
        <v>30.541956260712958</v>
      </c>
      <c r="J18" s="28">
        <f t="shared" si="1"/>
        <v>30.541956260712958</v>
      </c>
    </row>
    <row r="19" spans="1:10" ht="15">
      <c r="A19" s="615"/>
      <c r="B19" s="17" t="s">
        <v>671</v>
      </c>
      <c r="C19" s="16" t="s">
        <v>670</v>
      </c>
      <c r="D19" s="12" t="s">
        <v>671</v>
      </c>
      <c r="E19" s="12" t="s">
        <v>614</v>
      </c>
      <c r="F19" s="12"/>
      <c r="G19" s="12"/>
      <c r="H19" s="12"/>
      <c r="I19" s="28">
        <f t="shared" si="0"/>
        <v>0</v>
      </c>
      <c r="J19" s="28">
        <f t="shared" si="1"/>
        <v>0</v>
      </c>
    </row>
    <row r="20" spans="1:10" ht="15">
      <c r="A20" s="615"/>
      <c r="B20" s="17" t="s">
        <v>673</v>
      </c>
      <c r="C20" s="16" t="s">
        <v>672</v>
      </c>
      <c r="D20" s="12" t="s">
        <v>673</v>
      </c>
      <c r="E20" s="12" t="s">
        <v>614</v>
      </c>
      <c r="F20" s="12"/>
      <c r="G20" s="12"/>
      <c r="H20" s="12"/>
      <c r="I20" s="28">
        <f t="shared" si="0"/>
        <v>0</v>
      </c>
      <c r="J20" s="28">
        <f t="shared" si="1"/>
        <v>0</v>
      </c>
    </row>
    <row r="21" spans="1:10" ht="15">
      <c r="A21" s="615"/>
      <c r="B21" s="17" t="s">
        <v>675</v>
      </c>
      <c r="C21" s="16" t="s">
        <v>674</v>
      </c>
      <c r="D21" s="12" t="s">
        <v>675</v>
      </c>
      <c r="E21" s="12" t="s">
        <v>614</v>
      </c>
      <c r="F21" s="12"/>
      <c r="G21" s="12"/>
      <c r="H21" s="12"/>
      <c r="I21" s="28">
        <f t="shared" si="0"/>
        <v>0</v>
      </c>
      <c r="J21" s="28">
        <f t="shared" si="1"/>
        <v>0</v>
      </c>
    </row>
    <row r="22" spans="1:12" ht="15">
      <c r="A22" s="615"/>
      <c r="B22" s="14" t="s">
        <v>731</v>
      </c>
      <c r="C22" s="16" t="s">
        <v>676</v>
      </c>
      <c r="D22" s="12"/>
      <c r="E22" s="12">
        <f>'Point sources raw data'!B192</f>
        <v>3</v>
      </c>
      <c r="F22" s="12">
        <v>86</v>
      </c>
      <c r="G22" s="12">
        <v>86</v>
      </c>
      <c r="H22" s="28">
        <f>'Point sources raw data'!B216</f>
        <v>0.3541546936800001</v>
      </c>
      <c r="I22" s="28">
        <f t="shared" si="0"/>
        <v>0.30457303656480006</v>
      </c>
      <c r="J22" s="28">
        <f t="shared" si="1"/>
        <v>0.30457303656480006</v>
      </c>
      <c r="L22" t="s">
        <v>614</v>
      </c>
    </row>
    <row r="23" spans="1:12" ht="15">
      <c r="A23" s="615"/>
      <c r="B23" s="14" t="s">
        <v>732</v>
      </c>
      <c r="C23" s="16" t="s">
        <v>676</v>
      </c>
      <c r="D23" s="12" t="s">
        <v>677</v>
      </c>
      <c r="E23" s="12">
        <f>'Point sources raw data'!B186</f>
        <v>2.7</v>
      </c>
      <c r="F23" s="12">
        <v>86</v>
      </c>
      <c r="G23" s="12">
        <v>86</v>
      </c>
      <c r="H23" s="28">
        <f>'Point sources raw data'!B212</f>
        <v>0.32758890393600004</v>
      </c>
      <c r="I23" s="28">
        <f t="shared" si="0"/>
        <v>0.28172645738496005</v>
      </c>
      <c r="J23" s="28">
        <f t="shared" si="1"/>
        <v>0.28172645738496005</v>
      </c>
      <c r="L23" t="s">
        <v>614</v>
      </c>
    </row>
    <row r="24" spans="1:12" ht="15">
      <c r="A24" s="615"/>
      <c r="B24" s="14" t="s">
        <v>735</v>
      </c>
      <c r="C24" s="16" t="s">
        <v>941</v>
      </c>
      <c r="D24" s="12"/>
      <c r="E24" s="12">
        <f>'Point sources raw data'!C206</f>
        <v>2.6</v>
      </c>
      <c r="F24" s="12">
        <v>86</v>
      </c>
      <c r="G24" s="12">
        <v>86</v>
      </c>
      <c r="H24" s="28">
        <f>'Point sources raw data'!B220</f>
        <v>0.88575864</v>
      </c>
      <c r="I24" s="28">
        <f t="shared" si="0"/>
        <v>0.7617524304</v>
      </c>
      <c r="J24" s="28">
        <f t="shared" si="1"/>
        <v>0.7617524304</v>
      </c>
      <c r="L24" t="s">
        <v>614</v>
      </c>
    </row>
    <row r="25" spans="1:10" ht="15">
      <c r="A25" s="615"/>
      <c r="B25" s="17" t="s">
        <v>679</v>
      </c>
      <c r="C25" s="16" t="s">
        <v>678</v>
      </c>
      <c r="D25" s="12" t="s">
        <v>679</v>
      </c>
      <c r="E25" s="12" t="s">
        <v>614</v>
      </c>
      <c r="F25" s="12"/>
      <c r="G25" s="12"/>
      <c r="H25" s="12"/>
      <c r="I25" s="28">
        <f t="shared" si="0"/>
        <v>0</v>
      </c>
      <c r="J25" s="28">
        <f t="shared" si="1"/>
        <v>0</v>
      </c>
    </row>
    <row r="26" spans="1:10" ht="15">
      <c r="A26" s="616"/>
      <c r="B26" s="613" t="s">
        <v>643</v>
      </c>
      <c r="C26" s="753"/>
      <c r="D26" s="753"/>
      <c r="E26" s="753"/>
      <c r="F26" s="753"/>
      <c r="G26" s="754"/>
      <c r="H26" s="37">
        <f>SUM(H12:H25)</f>
        <v>91.10242609783991</v>
      </c>
      <c r="I26" s="37">
        <f>SUM(I12:I25)</f>
        <v>80.56006155406422</v>
      </c>
      <c r="J26" s="37">
        <f>SUM(J12:J25)</f>
        <v>80.56006155406422</v>
      </c>
    </row>
    <row r="27" spans="1:12" ht="15">
      <c r="A27" s="578" t="s">
        <v>607</v>
      </c>
      <c r="B27" s="14" t="s">
        <v>683</v>
      </c>
      <c r="C27" s="16" t="s">
        <v>682</v>
      </c>
      <c r="D27" s="12" t="s">
        <v>683</v>
      </c>
      <c r="E27" s="12">
        <f>'Point sources raw data'!B230</f>
        <v>23.5</v>
      </c>
      <c r="F27" s="12">
        <v>86</v>
      </c>
      <c r="G27" s="12">
        <v>86</v>
      </c>
      <c r="H27" s="28">
        <f>'Point sources raw data'!B244</f>
        <v>90.82728474</v>
      </c>
      <c r="I27" s="28">
        <f aca="true" t="shared" si="2" ref="I27:I37">(H27*F27)/100</f>
        <v>78.11146487639999</v>
      </c>
      <c r="J27" s="28">
        <f aca="true" t="shared" si="3" ref="J27:J37">(H27*G27)/100</f>
        <v>78.11146487639999</v>
      </c>
      <c r="L27" t="s">
        <v>614</v>
      </c>
    </row>
    <row r="28" spans="1:12" ht="15">
      <c r="A28" s="578"/>
      <c r="B28" s="14" t="s">
        <v>685</v>
      </c>
      <c r="C28" s="16" t="s">
        <v>684</v>
      </c>
      <c r="D28" s="12" t="s">
        <v>685</v>
      </c>
      <c r="E28" s="12">
        <f>'Point sources raw data'!B237</f>
        <v>1</v>
      </c>
      <c r="F28" s="12">
        <v>86</v>
      </c>
      <c r="G28" s="12">
        <v>86</v>
      </c>
      <c r="H28" s="28">
        <f>'Point sources raw data'!B248</f>
        <v>1.25748924</v>
      </c>
      <c r="I28" s="28">
        <f t="shared" si="2"/>
        <v>1.0814407464</v>
      </c>
      <c r="J28" s="28">
        <f t="shared" si="3"/>
        <v>1.0814407464</v>
      </c>
      <c r="L28" t="s">
        <v>614</v>
      </c>
    </row>
    <row r="29" spans="1:12" ht="15">
      <c r="A29" s="578"/>
      <c r="B29" s="14" t="s">
        <v>687</v>
      </c>
      <c r="C29" s="16" t="s">
        <v>686</v>
      </c>
      <c r="D29" s="12" t="s">
        <v>687</v>
      </c>
      <c r="E29" s="12">
        <f>'Point sources raw data'!B296</f>
        <v>0.6</v>
      </c>
      <c r="F29" s="12">
        <v>86</v>
      </c>
      <c r="G29" s="12">
        <v>86</v>
      </c>
      <c r="H29" s="28">
        <f>'Point sources raw data'!B300</f>
        <v>0.12816755999999999</v>
      </c>
      <c r="I29" s="28">
        <f t="shared" si="2"/>
        <v>0.11022410159999999</v>
      </c>
      <c r="J29" s="28">
        <f t="shared" si="3"/>
        <v>0.11022410159999999</v>
      </c>
      <c r="L29" t="s">
        <v>614</v>
      </c>
    </row>
    <row r="30" spans="1:13" ht="15">
      <c r="A30" s="578"/>
      <c r="B30" s="14" t="s">
        <v>726</v>
      </c>
      <c r="C30" s="16" t="s">
        <v>983</v>
      </c>
      <c r="D30" s="12"/>
      <c r="E30" s="12"/>
      <c r="F30" s="12">
        <v>86</v>
      </c>
      <c r="G30" s="12">
        <v>86</v>
      </c>
      <c r="H30" s="12"/>
      <c r="I30" s="28">
        <f t="shared" si="2"/>
        <v>0</v>
      </c>
      <c r="J30" s="28">
        <f t="shared" si="3"/>
        <v>0</v>
      </c>
      <c r="L30">
        <v>0.86</v>
      </c>
      <c r="M30">
        <v>0.86</v>
      </c>
    </row>
    <row r="31" spans="1:13" ht="15">
      <c r="A31" s="578"/>
      <c r="B31" s="14" t="s">
        <v>727</v>
      </c>
      <c r="C31" s="16" t="s">
        <v>984</v>
      </c>
      <c r="D31" s="12" t="s">
        <v>688</v>
      </c>
      <c r="E31" s="12"/>
      <c r="F31" s="12">
        <v>86</v>
      </c>
      <c r="G31" s="12">
        <v>86</v>
      </c>
      <c r="H31" s="12"/>
      <c r="I31" s="28">
        <f t="shared" si="2"/>
        <v>0</v>
      </c>
      <c r="J31" s="28">
        <f t="shared" si="3"/>
        <v>0</v>
      </c>
      <c r="L31">
        <v>0.86</v>
      </c>
      <c r="M31">
        <v>0.86</v>
      </c>
    </row>
    <row r="32" spans="1:13" ht="15">
      <c r="A32" s="578"/>
      <c r="B32" s="14" t="s">
        <v>728</v>
      </c>
      <c r="C32" s="16" t="s">
        <v>689</v>
      </c>
      <c r="D32" s="12" t="s">
        <v>690</v>
      </c>
      <c r="E32" s="12">
        <f>'Point sources raw data'!B258</f>
        <v>3.6</v>
      </c>
      <c r="F32" s="12">
        <v>86</v>
      </c>
      <c r="G32" s="12">
        <v>86</v>
      </c>
      <c r="H32" s="28">
        <f>'Point sources raw data'!B279</f>
        <v>12.430009008</v>
      </c>
      <c r="I32" s="28">
        <f t="shared" si="2"/>
        <v>10.689807746880001</v>
      </c>
      <c r="J32" s="28">
        <f t="shared" si="3"/>
        <v>10.689807746880001</v>
      </c>
      <c r="L32">
        <v>0.86</v>
      </c>
      <c r="M32">
        <v>0.86</v>
      </c>
    </row>
    <row r="33" spans="1:13" ht="15">
      <c r="A33" s="578"/>
      <c r="B33" s="14" t="s">
        <v>729</v>
      </c>
      <c r="C33" s="16" t="s">
        <v>689</v>
      </c>
      <c r="D33" s="12"/>
      <c r="E33" s="12">
        <f>'Point sources raw data'!B265</f>
        <v>1.9</v>
      </c>
      <c r="F33" s="12">
        <v>86</v>
      </c>
      <c r="G33" s="12">
        <v>86</v>
      </c>
      <c r="H33" s="28">
        <f>'Point sources raw data'!B283</f>
        <v>6.814985664</v>
      </c>
      <c r="I33" s="28">
        <f t="shared" si="2"/>
        <v>5.86088767104</v>
      </c>
      <c r="J33" s="28">
        <f t="shared" si="3"/>
        <v>5.86088767104</v>
      </c>
      <c r="L33">
        <v>0.86</v>
      </c>
      <c r="M33">
        <v>0.86</v>
      </c>
    </row>
    <row r="34" spans="1:13" ht="15">
      <c r="A34" s="578"/>
      <c r="B34" s="14" t="s">
        <v>730</v>
      </c>
      <c r="C34" s="16" t="s">
        <v>689</v>
      </c>
      <c r="D34" s="12"/>
      <c r="E34" s="12">
        <f>'Point sources raw data'!B272</f>
        <v>22.7</v>
      </c>
      <c r="F34" s="12">
        <v>86</v>
      </c>
      <c r="G34" s="12">
        <v>86</v>
      </c>
      <c r="H34" s="28">
        <f>'Point sources raw data'!B287</f>
        <v>94.235167392</v>
      </c>
      <c r="I34" s="28">
        <f t="shared" si="2"/>
        <v>81.04224395712</v>
      </c>
      <c r="J34" s="28">
        <f t="shared" si="3"/>
        <v>81.04224395712</v>
      </c>
      <c r="L34">
        <v>0.86</v>
      </c>
      <c r="M34">
        <v>0.86</v>
      </c>
    </row>
    <row r="35" spans="1:12" ht="15">
      <c r="A35" s="578"/>
      <c r="B35" s="14" t="s">
        <v>692</v>
      </c>
      <c r="C35" s="16" t="s">
        <v>691</v>
      </c>
      <c r="D35" s="12" t="s">
        <v>692</v>
      </c>
      <c r="E35" s="12">
        <f>'Point sources raw data'!B308</f>
        <v>10.6</v>
      </c>
      <c r="F35" s="12">
        <v>86</v>
      </c>
      <c r="G35" s="12">
        <v>86</v>
      </c>
      <c r="H35" s="28">
        <f>'Point sources raw data'!B312</f>
        <v>0.028770317328000002</v>
      </c>
      <c r="I35" s="28">
        <f t="shared" si="2"/>
        <v>0.024742472902080002</v>
      </c>
      <c r="J35" s="28">
        <f t="shared" si="3"/>
        <v>0.024742472902080002</v>
      </c>
      <c r="L35" t="s">
        <v>614</v>
      </c>
    </row>
    <row r="36" spans="1:12" ht="15">
      <c r="A36" s="578"/>
      <c r="B36" s="14" t="s">
        <v>694</v>
      </c>
      <c r="C36" s="16" t="s">
        <v>693</v>
      </c>
      <c r="D36" s="12" t="s">
        <v>694</v>
      </c>
      <c r="E36" s="28" t="s">
        <v>614</v>
      </c>
      <c r="F36" s="12">
        <v>86</v>
      </c>
      <c r="G36" s="12">
        <v>86</v>
      </c>
      <c r="H36" s="12"/>
      <c r="I36" s="28">
        <f t="shared" si="2"/>
        <v>0</v>
      </c>
      <c r="J36" s="28">
        <f t="shared" si="3"/>
        <v>0</v>
      </c>
      <c r="L36" t="s">
        <v>614</v>
      </c>
    </row>
    <row r="37" spans="1:12" ht="15">
      <c r="A37" s="578"/>
      <c r="B37" s="17" t="s">
        <v>696</v>
      </c>
      <c r="C37" s="16" t="s">
        <v>695</v>
      </c>
      <c r="D37" s="12" t="s">
        <v>696</v>
      </c>
      <c r="E37" s="12" t="s">
        <v>614</v>
      </c>
      <c r="F37" s="12">
        <v>86</v>
      </c>
      <c r="G37" s="12">
        <v>86</v>
      </c>
      <c r="H37" s="12"/>
      <c r="I37" s="28">
        <f t="shared" si="2"/>
        <v>0</v>
      </c>
      <c r="J37" s="28">
        <f t="shared" si="3"/>
        <v>0</v>
      </c>
      <c r="L37" t="s">
        <v>614</v>
      </c>
    </row>
    <row r="38" spans="1:10" ht="15">
      <c r="A38" s="748"/>
      <c r="B38" s="613" t="s">
        <v>645</v>
      </c>
      <c r="C38" s="753"/>
      <c r="D38" s="753"/>
      <c r="E38" s="753"/>
      <c r="F38" s="753"/>
      <c r="G38" s="754"/>
      <c r="H38" s="37">
        <f>SUM(H27:H37)</f>
        <v>205.72187392132798</v>
      </c>
      <c r="I38" s="37">
        <f>SUM(I27:I37)</f>
        <v>176.9208115723421</v>
      </c>
      <c r="J38" s="37">
        <f>SUM(J27:J37)</f>
        <v>176.9208115723421</v>
      </c>
    </row>
    <row r="39" spans="1:12" ht="15">
      <c r="A39" s="578" t="s">
        <v>646</v>
      </c>
      <c r="B39" s="14" t="s">
        <v>707</v>
      </c>
      <c r="C39" s="16" t="s">
        <v>706</v>
      </c>
      <c r="D39" s="12" t="s">
        <v>707</v>
      </c>
      <c r="E39" s="12">
        <f>'Point sources raw data'!C420</f>
        <v>3.3</v>
      </c>
      <c r="F39" s="12">
        <v>100</v>
      </c>
      <c r="G39" s="12">
        <v>100</v>
      </c>
      <c r="H39" s="28">
        <f>'Point sources raw data'!B426</f>
        <v>4.426855488</v>
      </c>
      <c r="I39" s="28">
        <v>3.5244493439999998</v>
      </c>
      <c r="J39" s="28">
        <f aca="true" t="shared" si="4" ref="J39:J44">(H39*G39)/100</f>
        <v>4.426855488</v>
      </c>
      <c r="L39" t="s">
        <v>1279</v>
      </c>
    </row>
    <row r="40" spans="1:10" ht="15">
      <c r="A40" s="751"/>
      <c r="B40" s="14" t="s">
        <v>709</v>
      </c>
      <c r="C40" s="16" t="s">
        <v>708</v>
      </c>
      <c r="D40" s="12" t="s">
        <v>709</v>
      </c>
      <c r="E40" s="12">
        <f>'Point sources raw data'!B376</f>
        <v>1.8</v>
      </c>
      <c r="F40" s="12">
        <v>100</v>
      </c>
      <c r="G40" s="12">
        <v>100</v>
      </c>
      <c r="H40" s="29">
        <f>'Point sources raw data'!B382</f>
        <v>2.048830848</v>
      </c>
      <c r="I40" s="28">
        <v>2.1521413053000003</v>
      </c>
      <c r="J40" s="28">
        <f t="shared" si="4"/>
        <v>2.048830848</v>
      </c>
    </row>
    <row r="41" spans="1:10" ht="15">
      <c r="A41" s="751"/>
      <c r="B41" s="14" t="s">
        <v>711</v>
      </c>
      <c r="C41" s="16" t="s">
        <v>710</v>
      </c>
      <c r="D41" s="12" t="s">
        <v>711</v>
      </c>
      <c r="E41" s="12">
        <f>'Point sources raw data'!B464</f>
        <v>3.9</v>
      </c>
      <c r="F41" s="12">
        <v>100</v>
      </c>
      <c r="G41" s="12">
        <v>100</v>
      </c>
      <c r="H41" s="28">
        <f>'Point sources raw data'!B470</f>
        <v>5.092861644</v>
      </c>
      <c r="I41" s="28">
        <v>6.107813640000001</v>
      </c>
      <c r="J41" s="28">
        <f t="shared" si="4"/>
        <v>5.092861644</v>
      </c>
    </row>
    <row r="42" spans="1:10" ht="15">
      <c r="A42" s="751"/>
      <c r="B42" s="14" t="s">
        <v>713</v>
      </c>
      <c r="C42" s="16" t="s">
        <v>712</v>
      </c>
      <c r="D42" s="12" t="s">
        <v>713</v>
      </c>
      <c r="E42" s="12">
        <f>'Point sources raw data'!B486</f>
        <v>2.6</v>
      </c>
      <c r="F42" s="12">
        <v>100</v>
      </c>
      <c r="G42" s="12">
        <v>100</v>
      </c>
      <c r="H42" s="28">
        <f>'Point sources raw data'!B492</f>
        <v>3.6557757600000005</v>
      </c>
      <c r="I42" s="28">
        <v>3.931151616</v>
      </c>
      <c r="J42" s="28">
        <f t="shared" si="4"/>
        <v>3.65577576</v>
      </c>
    </row>
    <row r="43" spans="1:10" ht="15">
      <c r="A43" s="751"/>
      <c r="B43" s="14" t="s">
        <v>681</v>
      </c>
      <c r="C43" s="16" t="s">
        <v>680</v>
      </c>
      <c r="D43" s="12" t="s">
        <v>681</v>
      </c>
      <c r="E43" s="12">
        <f>'Point sources raw data'!B398</f>
        <v>4.5</v>
      </c>
      <c r="F43" s="12">
        <v>100</v>
      </c>
      <c r="G43" s="12">
        <v>100</v>
      </c>
      <c r="H43" s="28">
        <f>'Point sources raw data'!B404</f>
        <v>5.81945634</v>
      </c>
      <c r="I43" s="28">
        <v>0.9182126880000001</v>
      </c>
      <c r="J43" s="28">
        <f t="shared" si="4"/>
        <v>5.81945634</v>
      </c>
    </row>
    <row r="44" spans="1:10" ht="15">
      <c r="A44" s="751"/>
      <c r="B44" s="14" t="s">
        <v>715</v>
      </c>
      <c r="C44" s="16" t="s">
        <v>714</v>
      </c>
      <c r="D44" s="12" t="s">
        <v>715</v>
      </c>
      <c r="E44" s="12">
        <f>'Point sources raw data'!B442</f>
        <v>1.3</v>
      </c>
      <c r="F44" s="12">
        <v>100</v>
      </c>
      <c r="G44" s="12">
        <v>100</v>
      </c>
      <c r="H44" s="28">
        <f>'Point sources raw data'!B448</f>
        <v>2.5153245</v>
      </c>
      <c r="I44" s="28">
        <v>3.707393184</v>
      </c>
      <c r="J44" s="28">
        <f t="shared" si="4"/>
        <v>2.5153245</v>
      </c>
    </row>
    <row r="45" spans="1:10" ht="15">
      <c r="A45" s="751"/>
      <c r="B45" s="613" t="s">
        <v>647</v>
      </c>
      <c r="C45" s="749"/>
      <c r="D45" s="749"/>
      <c r="E45" s="749"/>
      <c r="F45" s="749"/>
      <c r="G45" s="750"/>
      <c r="H45" s="37">
        <f>SUM(H39:H44)</f>
        <v>23.559104580000003</v>
      </c>
      <c r="I45" s="37">
        <v>20.3411617773</v>
      </c>
      <c r="J45" s="37">
        <f>SUM(J39:J44)</f>
        <v>23.559104580000003</v>
      </c>
    </row>
    <row r="46" spans="1:12" ht="15">
      <c r="A46" s="578" t="s">
        <v>716</v>
      </c>
      <c r="B46" s="17" t="s">
        <v>958</v>
      </c>
      <c r="C46" s="16" t="s">
        <v>717</v>
      </c>
      <c r="D46" s="12"/>
      <c r="E46" s="12">
        <f>'Point sources raw data'!C328</f>
        <v>5.7</v>
      </c>
      <c r="F46" s="12">
        <v>100</v>
      </c>
      <c r="G46" s="12">
        <v>100</v>
      </c>
      <c r="H46" s="29">
        <f>'Point sources raw data'!B336</f>
        <v>4.797166968000001</v>
      </c>
      <c r="I46" s="28">
        <f>(H46*F46)/100</f>
        <v>4.797166968000001</v>
      </c>
      <c r="J46" s="28">
        <f>(H46*G46)/100</f>
        <v>4.797166968000001</v>
      </c>
      <c r="L46" t="s">
        <v>614</v>
      </c>
    </row>
    <row r="47" spans="1:12" ht="15">
      <c r="A47" s="578"/>
      <c r="B47" s="17" t="s">
        <v>962</v>
      </c>
      <c r="C47" s="16" t="s">
        <v>717</v>
      </c>
      <c r="D47" s="12" t="s">
        <v>718</v>
      </c>
      <c r="E47" s="12">
        <f>'Point sources raw data'!C352</f>
        <v>5.1</v>
      </c>
      <c r="F47" s="12">
        <v>100</v>
      </c>
      <c r="G47" s="12">
        <v>100</v>
      </c>
      <c r="H47" s="29">
        <f>'Point sources raw data'!B360</f>
        <v>4.5991261439999995</v>
      </c>
      <c r="I47" s="28">
        <f>(H47*F47)/100</f>
        <v>4.5991261439999995</v>
      </c>
      <c r="J47" s="28">
        <f>(H47*G47)/100</f>
        <v>4.5991261439999995</v>
      </c>
      <c r="L47" t="s">
        <v>614</v>
      </c>
    </row>
    <row r="48" spans="1:10" ht="15">
      <c r="A48" s="748"/>
      <c r="B48" s="613" t="s">
        <v>888</v>
      </c>
      <c r="C48" s="749"/>
      <c r="D48" s="749"/>
      <c r="E48" s="749"/>
      <c r="F48" s="749"/>
      <c r="G48" s="750"/>
      <c r="H48" s="37">
        <f>SUM(H46:H47)</f>
        <v>9.396293112</v>
      </c>
      <c r="I48" s="37">
        <f>SUM(I46:I47)</f>
        <v>9.396293112</v>
      </c>
      <c r="J48" s="37">
        <f>SUM(J46:J47)</f>
        <v>9.396293112</v>
      </c>
    </row>
    <row r="49" spans="1:10" ht="15">
      <c r="A49" s="578" t="s">
        <v>721</v>
      </c>
      <c r="B49" s="14" t="s">
        <v>723</v>
      </c>
      <c r="C49" s="16" t="s">
        <v>722</v>
      </c>
      <c r="D49" s="12" t="s">
        <v>723</v>
      </c>
      <c r="E49" s="12" t="s">
        <v>614</v>
      </c>
      <c r="F49" s="12"/>
      <c r="G49" s="12"/>
      <c r="H49" s="12"/>
      <c r="I49" s="28">
        <f>(H49*F49)/100</f>
        <v>0</v>
      </c>
      <c r="J49" s="28">
        <f>(H49*G49)/100</f>
        <v>0</v>
      </c>
    </row>
    <row r="50" spans="1:10" ht="15">
      <c r="A50" s="578"/>
      <c r="B50" s="14" t="s">
        <v>725</v>
      </c>
      <c r="C50" s="16" t="s">
        <v>724</v>
      </c>
      <c r="D50" s="12" t="s">
        <v>725</v>
      </c>
      <c r="E50" s="12" t="s">
        <v>614</v>
      </c>
      <c r="F50" s="12"/>
      <c r="G50" s="12"/>
      <c r="H50" s="12"/>
      <c r="I50" s="28">
        <f>(H50*F50)/100</f>
        <v>0</v>
      </c>
      <c r="J50" s="28">
        <f>(H50*G50)/100</f>
        <v>0</v>
      </c>
    </row>
    <row r="51" spans="1:10" ht="15">
      <c r="A51" s="751"/>
      <c r="B51" s="613" t="s">
        <v>889</v>
      </c>
      <c r="C51" s="749"/>
      <c r="D51" s="749"/>
      <c r="E51" s="749"/>
      <c r="F51" s="749"/>
      <c r="G51" s="750"/>
      <c r="H51" s="14">
        <f>SUM(H49:H50)</f>
        <v>0</v>
      </c>
      <c r="I51" s="37">
        <f>SUM(I49:I50)</f>
        <v>0</v>
      </c>
      <c r="J51" s="37">
        <f>SUM(J49:J50)</f>
        <v>0</v>
      </c>
    </row>
    <row r="52" spans="1:10" ht="15">
      <c r="A52" s="613" t="s">
        <v>890</v>
      </c>
      <c r="B52" s="749"/>
      <c r="C52" s="749"/>
      <c r="D52" s="749"/>
      <c r="E52" s="749"/>
      <c r="F52" s="749"/>
      <c r="G52" s="750"/>
      <c r="H52" s="39">
        <f>H7+H11+H26+H38+H45+H48+H51</f>
        <v>1265.962042542302</v>
      </c>
      <c r="I52" s="37">
        <f>I7+I11+I26+I38+I45+I48+I51</f>
        <v>929.3854248596971</v>
      </c>
      <c r="J52" s="37">
        <f>J7+J11+J26+J38+J45+J48+J51</f>
        <v>763.8495193220396</v>
      </c>
    </row>
    <row r="53" ht="15">
      <c r="A53" s="33" t="s">
        <v>927</v>
      </c>
    </row>
    <row r="54" spans="8:10" ht="15">
      <c r="H54" s="9" t="s">
        <v>632</v>
      </c>
      <c r="I54" s="9" t="s">
        <v>633</v>
      </c>
      <c r="J54" s="9" t="s">
        <v>634</v>
      </c>
    </row>
    <row r="55" spans="1:10" ht="15">
      <c r="A55" s="746" t="s">
        <v>599</v>
      </c>
      <c r="B55" s="747"/>
      <c r="C55" s="747"/>
      <c r="D55" s="747"/>
      <c r="E55" s="747"/>
      <c r="F55" s="747"/>
      <c r="G55" s="747"/>
      <c r="H55" s="36">
        <f>H7/H52</f>
        <v>0.021409338397990984</v>
      </c>
      <c r="I55" s="36">
        <f>I7/I52</f>
        <v>0.01425184349529645</v>
      </c>
      <c r="J55" s="36">
        <f>J7/J52</f>
        <v>0.01713409752162473</v>
      </c>
    </row>
    <row r="56" spans="1:10" ht="15">
      <c r="A56" s="746" t="s">
        <v>602</v>
      </c>
      <c r="B56" s="747"/>
      <c r="C56" s="747"/>
      <c r="D56" s="747"/>
      <c r="E56" s="747"/>
      <c r="F56" s="747"/>
      <c r="G56" s="747"/>
      <c r="H56" s="36">
        <f>H11/H52</f>
        <v>0.7180933586584666</v>
      </c>
      <c r="I56" s="36">
        <f>I11/I52</f>
        <v>0.6767070199288145</v>
      </c>
      <c r="J56" s="36">
        <f>J11/J52</f>
        <v>0.602638824406525</v>
      </c>
    </row>
    <row r="57" spans="1:10" ht="15">
      <c r="A57" s="746" t="s">
        <v>644</v>
      </c>
      <c r="B57" s="747"/>
      <c r="C57" s="747"/>
      <c r="D57" s="747"/>
      <c r="E57" s="747"/>
      <c r="F57" s="747"/>
      <c r="G57" s="747"/>
      <c r="H57" s="36">
        <f>H26/H52</f>
        <v>0.07196299970802303</v>
      </c>
      <c r="I57" s="36">
        <f>I26/I52</f>
        <v>0.08668100381090635</v>
      </c>
      <c r="J57" s="36">
        <f>J26/J52</f>
        <v>0.1054658797528156</v>
      </c>
    </row>
    <row r="58" spans="1:10" ht="15">
      <c r="A58" s="746" t="s">
        <v>607</v>
      </c>
      <c r="B58" s="747"/>
      <c r="C58" s="747"/>
      <c r="D58" s="747"/>
      <c r="E58" s="747"/>
      <c r="F58" s="747"/>
      <c r="G58" s="747"/>
      <c r="H58" s="36">
        <f>H38/H52</f>
        <v>0.16250240292212695</v>
      </c>
      <c r="I58" s="36">
        <f>I38/I52</f>
        <v>0.19036323019488993</v>
      </c>
      <c r="J58" s="36">
        <f>J38/J52</f>
        <v>0.23161736323323148</v>
      </c>
    </row>
    <row r="59" spans="1:10" ht="15">
      <c r="A59" s="746" t="s">
        <v>646</v>
      </c>
      <c r="B59" s="747"/>
      <c r="C59" s="747"/>
      <c r="D59" s="747"/>
      <c r="E59" s="747"/>
      <c r="F59" s="747"/>
      <c r="G59" s="747"/>
      <c r="H59" s="36">
        <f>H45/H52</f>
        <v>0.018609645303968723</v>
      </c>
      <c r="I59" s="36">
        <f>I45/I52</f>
        <v>0.021886680416115592</v>
      </c>
      <c r="J59" s="36">
        <f>J45/J52</f>
        <v>0.030842599208427943</v>
      </c>
    </row>
    <row r="60" spans="1:10" ht="15">
      <c r="A60" s="746" t="s">
        <v>716</v>
      </c>
      <c r="B60" s="747"/>
      <c r="C60" s="747"/>
      <c r="D60" s="747"/>
      <c r="E60" s="747"/>
      <c r="F60" s="747"/>
      <c r="G60" s="747"/>
      <c r="H60" s="36">
        <f>H48/H52</f>
        <v>0.007422255009423811</v>
      </c>
      <c r="I60" s="36">
        <f>I48/I52</f>
        <v>0.010110222153977177</v>
      </c>
      <c r="J60" s="36">
        <f>J48/J52</f>
        <v>0.012301235877375104</v>
      </c>
    </row>
    <row r="61" spans="1:10" ht="15">
      <c r="A61" s="746" t="s">
        <v>721</v>
      </c>
      <c r="B61" s="747"/>
      <c r="C61" s="747"/>
      <c r="D61" s="747"/>
      <c r="E61" s="747"/>
      <c r="F61" s="747"/>
      <c r="G61" s="747"/>
      <c r="H61" s="36">
        <f>H51/H52</f>
        <v>0</v>
      </c>
      <c r="I61" s="36">
        <f>I51/I52</f>
        <v>0</v>
      </c>
      <c r="J61" s="36">
        <f>J51/J52</f>
        <v>0</v>
      </c>
    </row>
    <row r="62" spans="8:10" ht="15">
      <c r="H62" s="49">
        <f>SUM(H55:H61)</f>
        <v>1</v>
      </c>
      <c r="I62" s="49">
        <f>SUM(I55:I61)</f>
        <v>1</v>
      </c>
      <c r="J62" s="49">
        <f>SUM(J55:J61)</f>
        <v>0.9999999999999999</v>
      </c>
    </row>
  </sheetData>
  <sheetProtection/>
  <mergeCells count="30">
    <mergeCell ref="A12:A26"/>
    <mergeCell ref="B26:G26"/>
    <mergeCell ref="H1:J1"/>
    <mergeCell ref="F1:F2"/>
    <mergeCell ref="G1:G2"/>
    <mergeCell ref="E1:E2"/>
    <mergeCell ref="C1:C2"/>
    <mergeCell ref="B1:B2"/>
    <mergeCell ref="A1:A2"/>
    <mergeCell ref="B7:G7"/>
    <mergeCell ref="A3:A7"/>
    <mergeCell ref="D1:D2"/>
    <mergeCell ref="A39:A45"/>
    <mergeCell ref="B45:G45"/>
    <mergeCell ref="A27:A38"/>
    <mergeCell ref="B38:G38"/>
    <mergeCell ref="A8:A11"/>
    <mergeCell ref="B11:G11"/>
    <mergeCell ref="A46:A48"/>
    <mergeCell ref="B48:G48"/>
    <mergeCell ref="A49:A51"/>
    <mergeCell ref="B51:G51"/>
    <mergeCell ref="A52:G52"/>
    <mergeCell ref="A55:G55"/>
    <mergeCell ref="A60:G60"/>
    <mergeCell ref="A61:G61"/>
    <mergeCell ref="A56:G56"/>
    <mergeCell ref="A57:G57"/>
    <mergeCell ref="A58:G58"/>
    <mergeCell ref="A59:G59"/>
  </mergeCells>
  <printOptions/>
  <pageMargins left="0.75" right="0.75" top="1" bottom="1" header="0.5" footer="0.5"/>
  <pageSetup fitToHeight="1" fitToWidth="1" horizontalDpi="600" verticalDpi="600" orientation="portrait" paperSize="9" scale="71"/>
  <headerFooter alignWithMargins="0">
    <oddHeader>&amp;C&amp;Z&amp;F
&amp;A</oddHeader>
    <oddFooter>&amp;L&amp;D&amp;R93008.02</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58"/>
  <sheetViews>
    <sheetView zoomScalePageLayoutView="0" workbookViewId="0" topLeftCell="C1">
      <selection activeCell="M45" sqref="M45"/>
    </sheetView>
  </sheetViews>
  <sheetFormatPr defaultColWidth="10.00390625" defaultRowHeight="14.25"/>
  <cols>
    <col min="1" max="1" width="10.00390625" style="233" customWidth="1"/>
    <col min="2" max="2" width="27.25390625" style="233" bestFit="1" customWidth="1"/>
    <col min="3" max="3" width="14.625" style="233" bestFit="1" customWidth="1"/>
    <col min="4" max="4" width="16.375" style="233" bestFit="1" customWidth="1"/>
    <col min="5" max="5" width="14.125" style="233" bestFit="1" customWidth="1"/>
    <col min="6" max="6" width="10.875" style="233" bestFit="1" customWidth="1"/>
    <col min="7" max="7" width="8.625" style="233" bestFit="1" customWidth="1"/>
    <col min="8" max="8" width="7.25390625" style="233" customWidth="1"/>
    <col min="9" max="9" width="5.625" style="233" customWidth="1"/>
    <col min="10" max="11" width="13.75390625" style="233" customWidth="1"/>
    <col min="12" max="12" width="8.75390625" style="233" customWidth="1"/>
    <col min="13" max="13" width="10.375" style="233" customWidth="1"/>
    <col min="14" max="14" width="15.625" style="233" customWidth="1"/>
    <col min="15" max="15" width="20.125" style="233" customWidth="1"/>
    <col min="16" max="16" width="16.875" style="233" customWidth="1"/>
    <col min="17" max="17" width="15.75390625" style="233" customWidth="1"/>
    <col min="18" max="16384" width="10.00390625" style="233" customWidth="1"/>
  </cols>
  <sheetData>
    <row r="1" ht="14.25">
      <c r="A1" s="233" t="s">
        <v>564</v>
      </c>
    </row>
    <row r="2" spans="4:8" ht="14.25">
      <c r="D2" s="234"/>
      <c r="E2" s="234"/>
      <c r="F2" s="234"/>
      <c r="G2" s="234"/>
      <c r="H2" s="234"/>
    </row>
    <row r="3" spans="2:11" ht="15">
      <c r="B3" s="235"/>
      <c r="C3" s="235"/>
      <c r="D3" s="761" t="s">
        <v>433</v>
      </c>
      <c r="E3" s="762"/>
      <c r="F3" s="762"/>
      <c r="G3" s="762"/>
      <c r="H3" s="762"/>
      <c r="I3" s="234"/>
      <c r="J3" s="234"/>
      <c r="K3" s="234"/>
    </row>
    <row r="4" spans="2:11" ht="15">
      <c r="B4" s="237" t="s">
        <v>648</v>
      </c>
      <c r="C4" s="237" t="s">
        <v>403</v>
      </c>
      <c r="D4" s="236" t="s">
        <v>429</v>
      </c>
      <c r="E4" s="236" t="s">
        <v>430</v>
      </c>
      <c r="F4" s="236" t="s">
        <v>431</v>
      </c>
      <c r="G4" s="236" t="s">
        <v>432</v>
      </c>
      <c r="H4" s="238" t="s">
        <v>533</v>
      </c>
      <c r="I4" s="234"/>
      <c r="J4" s="234"/>
      <c r="K4" s="234"/>
    </row>
    <row r="5" spans="2:11" ht="14.25">
      <c r="B5" s="239" t="s">
        <v>660</v>
      </c>
      <c r="C5" s="240" t="s">
        <v>661</v>
      </c>
      <c r="D5" s="240">
        <v>1685323.2498143527</v>
      </c>
      <c r="E5" s="240">
        <v>269472.03022294707</v>
      </c>
      <c r="F5" s="240">
        <v>447286.5284147488</v>
      </c>
      <c r="G5" s="241" t="s">
        <v>734</v>
      </c>
      <c r="H5" s="241" t="s">
        <v>734</v>
      </c>
      <c r="I5" s="234"/>
      <c r="J5" s="234"/>
      <c r="K5" s="234"/>
    </row>
    <row r="6" spans="2:11" ht="14.25">
      <c r="B6" s="239" t="s">
        <v>662</v>
      </c>
      <c r="C6" s="240" t="s">
        <v>663</v>
      </c>
      <c r="D6" s="240">
        <v>2135576.900587696</v>
      </c>
      <c r="E6" s="240">
        <v>482437.48585926066</v>
      </c>
      <c r="F6" s="240">
        <v>419076.65823147766</v>
      </c>
      <c r="G6" s="241" t="s">
        <v>734</v>
      </c>
      <c r="H6" s="241" t="s">
        <v>734</v>
      </c>
      <c r="I6" s="234"/>
      <c r="J6" s="234"/>
      <c r="K6" s="234"/>
    </row>
    <row r="7" spans="2:11" ht="14.25">
      <c r="B7" s="239" t="s">
        <v>698</v>
      </c>
      <c r="C7" s="240" t="s">
        <v>699</v>
      </c>
      <c r="D7" s="242">
        <v>2335880.7296132054</v>
      </c>
      <c r="E7" s="242">
        <v>970748.1082700599</v>
      </c>
      <c r="F7" s="241" t="s">
        <v>734</v>
      </c>
      <c r="G7" s="241" t="s">
        <v>734</v>
      </c>
      <c r="H7" s="241" t="s">
        <v>734</v>
      </c>
      <c r="I7" s="234"/>
      <c r="J7" s="234"/>
      <c r="K7" s="234"/>
    </row>
    <row r="8" spans="2:11" ht="14.25">
      <c r="B8" s="243" t="s">
        <v>706</v>
      </c>
      <c r="C8" s="240" t="s">
        <v>707</v>
      </c>
      <c r="D8" s="240">
        <v>752208.0964022626</v>
      </c>
      <c r="E8" s="240">
        <v>523575.8938627043</v>
      </c>
      <c r="F8" s="242">
        <v>18187.738317656836</v>
      </c>
      <c r="G8" s="241" t="s">
        <v>734</v>
      </c>
      <c r="H8" s="244">
        <v>10886.87496911105</v>
      </c>
      <c r="I8" s="234"/>
      <c r="J8" s="234"/>
      <c r="K8" s="234"/>
    </row>
    <row r="9" spans="2:11" ht="14.25">
      <c r="B9" s="243" t="s">
        <v>26</v>
      </c>
      <c r="C9" s="240" t="s">
        <v>709</v>
      </c>
      <c r="D9" s="242">
        <v>656107.8601564114</v>
      </c>
      <c r="E9" s="242">
        <v>62230.649955428235</v>
      </c>
      <c r="F9" s="242">
        <v>126696.98635609601</v>
      </c>
      <c r="G9" s="242">
        <v>52542.810515969824</v>
      </c>
      <c r="H9" s="242">
        <v>2861.443294289831</v>
      </c>
      <c r="I9" s="234"/>
      <c r="J9" s="234"/>
      <c r="K9" s="234"/>
    </row>
    <row r="10" spans="2:11" ht="14.25">
      <c r="B10" s="243" t="s">
        <v>157</v>
      </c>
      <c r="C10" s="240" t="s">
        <v>711</v>
      </c>
      <c r="D10" s="240">
        <v>2020530.988815736</v>
      </c>
      <c r="E10" s="240">
        <v>401391.61484817433</v>
      </c>
      <c r="F10" s="242">
        <v>238378.36998167512</v>
      </c>
      <c r="G10" s="242">
        <v>586364.840026684</v>
      </c>
      <c r="H10" s="242">
        <v>15065.980226497935</v>
      </c>
      <c r="I10" s="234"/>
      <c r="J10" s="234"/>
      <c r="K10" s="234"/>
    </row>
    <row r="11" spans="2:11" ht="14.25">
      <c r="B11" s="243" t="s">
        <v>27</v>
      </c>
      <c r="C11" s="240" t="s">
        <v>713</v>
      </c>
      <c r="D11" s="240">
        <v>2319230.876253048</v>
      </c>
      <c r="E11" s="240">
        <v>693400.7632149818</v>
      </c>
      <c r="F11" s="242">
        <v>305789.43813263916</v>
      </c>
      <c r="G11" s="242">
        <v>817945.9949958746</v>
      </c>
      <c r="H11" s="242">
        <v>19129.047160885853</v>
      </c>
      <c r="I11" s="234"/>
      <c r="J11" s="234"/>
      <c r="K11" s="234"/>
    </row>
    <row r="12" spans="2:11" ht="14.25">
      <c r="B12" s="243" t="s">
        <v>409</v>
      </c>
      <c r="C12" s="240" t="s">
        <v>681</v>
      </c>
      <c r="D12" s="240">
        <v>1374098.3521231564</v>
      </c>
      <c r="E12" s="242">
        <v>129310.80926374352</v>
      </c>
      <c r="F12" s="242">
        <v>30139.482193234286</v>
      </c>
      <c r="G12" s="242">
        <v>85497.6590900523</v>
      </c>
      <c r="H12" s="244">
        <v>13882</v>
      </c>
      <c r="I12" s="234"/>
      <c r="J12" s="234"/>
      <c r="K12" s="234"/>
    </row>
    <row r="13" spans="2:11" ht="14.25">
      <c r="B13" s="243" t="s">
        <v>714</v>
      </c>
      <c r="C13" s="240" t="s">
        <v>715</v>
      </c>
      <c r="D13" s="240">
        <v>1684449.3499211576</v>
      </c>
      <c r="E13" s="241" t="s">
        <v>734</v>
      </c>
      <c r="F13" s="242">
        <v>230693.62879634148</v>
      </c>
      <c r="G13" s="242">
        <v>126312.18048542566</v>
      </c>
      <c r="H13" s="241" t="s">
        <v>734</v>
      </c>
      <c r="I13" s="234"/>
      <c r="J13" s="234"/>
      <c r="K13" s="234"/>
    </row>
    <row r="14" spans="2:11" ht="14.25">
      <c r="B14" s="243" t="s">
        <v>111</v>
      </c>
      <c r="C14" s="240" t="s">
        <v>958</v>
      </c>
      <c r="D14" s="241" t="s">
        <v>734</v>
      </c>
      <c r="E14" s="244">
        <v>786014.3781999999</v>
      </c>
      <c r="F14" s="242">
        <v>1199152.4071999998</v>
      </c>
      <c r="G14" s="241" t="s">
        <v>734</v>
      </c>
      <c r="H14" s="241" t="s">
        <v>734</v>
      </c>
      <c r="I14" s="234"/>
      <c r="J14" s="234"/>
      <c r="K14" s="234"/>
    </row>
    <row r="15" spans="2:11" ht="14.25">
      <c r="B15" s="243" t="s">
        <v>112</v>
      </c>
      <c r="C15" s="240" t="s">
        <v>962</v>
      </c>
      <c r="D15" s="241" t="s">
        <v>734</v>
      </c>
      <c r="E15" s="244">
        <v>920511.8544999999</v>
      </c>
      <c r="F15" s="242">
        <v>1052451.4082000002</v>
      </c>
      <c r="G15" s="241" t="s">
        <v>734</v>
      </c>
      <c r="H15" s="241" t="s">
        <v>734</v>
      </c>
      <c r="I15" s="234"/>
      <c r="J15" s="234"/>
      <c r="K15" s="234"/>
    </row>
    <row r="16" spans="2:11" ht="14.25">
      <c r="B16" s="245"/>
      <c r="C16" s="246"/>
      <c r="D16" s="247"/>
      <c r="E16" s="248"/>
      <c r="F16" s="249"/>
      <c r="G16" s="247"/>
      <c r="H16" s="247"/>
      <c r="I16" s="234"/>
      <c r="J16" s="234"/>
      <c r="K16" s="234"/>
    </row>
    <row r="17" spans="2:8" ht="15">
      <c r="B17" s="250" t="s">
        <v>534</v>
      </c>
      <c r="C17" s="250"/>
      <c r="D17" s="251">
        <f>'[6]A'!X98</f>
        <v>3.254611787587807</v>
      </c>
      <c r="E17" s="251">
        <f>'[6]A'!M98</f>
        <v>17.306125</v>
      </c>
      <c r="F17" s="252">
        <v>35.6</v>
      </c>
      <c r="G17" s="252">
        <v>7.6</v>
      </c>
      <c r="H17" s="234"/>
    </row>
    <row r="18" spans="3:16" ht="14.25" hidden="1">
      <c r="C18" s="233" t="s">
        <v>535</v>
      </c>
      <c r="D18" s="233" t="s">
        <v>659</v>
      </c>
      <c r="E18" s="233" t="s">
        <v>536</v>
      </c>
      <c r="F18" s="233" t="s">
        <v>537</v>
      </c>
      <c r="G18" s="233" t="s">
        <v>538</v>
      </c>
      <c r="H18" s="233" t="s">
        <v>539</v>
      </c>
      <c r="I18" s="233" t="s">
        <v>540</v>
      </c>
      <c r="L18" s="233" t="s">
        <v>541</v>
      </c>
      <c r="M18" s="233" t="s">
        <v>542</v>
      </c>
      <c r="N18" s="233" t="s">
        <v>543</v>
      </c>
      <c r="O18" s="233" t="s">
        <v>544</v>
      </c>
      <c r="P18" s="233" t="s">
        <v>545</v>
      </c>
    </row>
    <row r="19" spans="3:8" ht="14.25" hidden="1">
      <c r="C19" s="233" t="s">
        <v>546</v>
      </c>
      <c r="D19" s="233" t="s">
        <v>546</v>
      </c>
      <c r="E19" s="233" t="s">
        <v>546</v>
      </c>
      <c r="F19" s="233" t="s">
        <v>546</v>
      </c>
      <c r="G19" s="233" t="s">
        <v>546</v>
      </c>
      <c r="H19" s="233" t="s">
        <v>546</v>
      </c>
    </row>
    <row r="20" spans="2:8" ht="14.25" hidden="1">
      <c r="B20" s="233" t="s">
        <v>533</v>
      </c>
      <c r="C20" s="233">
        <v>13882</v>
      </c>
      <c r="D20" s="233">
        <v>2861.443294289831</v>
      </c>
      <c r="E20" s="233">
        <v>15065.980226497935</v>
      </c>
      <c r="F20" s="233">
        <v>19129.047160885853</v>
      </c>
      <c r="G20" s="233">
        <v>0</v>
      </c>
      <c r="H20" s="233">
        <v>10886.87496911105</v>
      </c>
    </row>
    <row r="21" spans="2:16" ht="14.25" hidden="1">
      <c r="B21" s="233" t="s">
        <v>547</v>
      </c>
      <c r="C21" s="233">
        <v>129310.80926374352</v>
      </c>
      <c r="D21" s="233">
        <v>62230.649955428235</v>
      </c>
      <c r="E21" s="233">
        <v>401391.61484817433</v>
      </c>
      <c r="F21" s="233">
        <v>693400.7632149818</v>
      </c>
      <c r="G21" s="233">
        <v>235731.53650220335</v>
      </c>
      <c r="H21" s="233">
        <v>287844.35736050096</v>
      </c>
      <c r="L21" s="233">
        <v>786014.3781999999</v>
      </c>
      <c r="M21" s="233">
        <v>920511.8544999999</v>
      </c>
      <c r="N21" s="233">
        <v>970748.1082700599</v>
      </c>
      <c r="O21" s="233">
        <v>269472.03022294707</v>
      </c>
      <c r="P21" s="233">
        <v>482437.48585926066</v>
      </c>
    </row>
    <row r="22" spans="2:16" ht="14.25" hidden="1">
      <c r="B22" s="233" t="s">
        <v>548</v>
      </c>
      <c r="C22" s="233">
        <v>1374098.3521231564</v>
      </c>
      <c r="D22" s="233">
        <v>656107.8601564114</v>
      </c>
      <c r="E22" s="233">
        <v>2020530.988815736</v>
      </c>
      <c r="F22" s="233">
        <v>2319230.876253048</v>
      </c>
      <c r="G22" s="233">
        <v>401823.4188699197</v>
      </c>
      <c r="H22" s="233">
        <v>350384.67753234284</v>
      </c>
      <c r="I22" s="233">
        <v>1684449.3499211576</v>
      </c>
      <c r="N22" s="233">
        <v>2335880.7296132054</v>
      </c>
      <c r="O22" s="233">
        <v>1685323.2498143527</v>
      </c>
      <c r="P22" s="233">
        <v>2135576.900587696</v>
      </c>
    </row>
    <row r="23" spans="2:16" ht="14.25" hidden="1">
      <c r="B23" s="233" t="s">
        <v>549</v>
      </c>
      <c r="C23" s="233">
        <v>30139.482193234286</v>
      </c>
      <c r="D23" s="233">
        <v>126696.98635609601</v>
      </c>
      <c r="E23" s="233">
        <v>238378.36998167512</v>
      </c>
      <c r="F23" s="233">
        <v>305789.43813263916</v>
      </c>
      <c r="G23" s="233">
        <v>18187.738317656836</v>
      </c>
      <c r="H23" s="233">
        <v>0</v>
      </c>
      <c r="I23" s="233">
        <v>230693.62879634148</v>
      </c>
      <c r="L23" s="233">
        <v>1199152.4071999998</v>
      </c>
      <c r="M23" s="233">
        <v>1052451.4082000002</v>
      </c>
      <c r="O23" s="233">
        <v>447286.5284147488</v>
      </c>
      <c r="P23" s="233">
        <v>419076.65823147766</v>
      </c>
    </row>
    <row r="24" spans="2:9" ht="14.25" hidden="1">
      <c r="B24" s="233" t="s">
        <v>550</v>
      </c>
      <c r="C24" s="233">
        <v>85497.6590900523</v>
      </c>
      <c r="D24" s="233">
        <v>52542.810515969824</v>
      </c>
      <c r="E24" s="233">
        <v>586364.840026684</v>
      </c>
      <c r="F24" s="233">
        <v>817945.9949958746</v>
      </c>
      <c r="I24" s="233">
        <v>126312.18048542566</v>
      </c>
    </row>
    <row r="25" ht="14.25" hidden="1"/>
    <row r="26" ht="14.25" hidden="1"/>
    <row r="27" spans="3:7" ht="14.25" hidden="1">
      <c r="C27" s="233" t="s">
        <v>548</v>
      </c>
      <c r="D27" s="233" t="s">
        <v>547</v>
      </c>
      <c r="E27" s="233" t="s">
        <v>549</v>
      </c>
      <c r="F27" s="233" t="s">
        <v>550</v>
      </c>
      <c r="G27" s="233" t="s">
        <v>533</v>
      </c>
    </row>
    <row r="28" spans="2:5" ht="14.25" hidden="1">
      <c r="B28" s="233" t="s">
        <v>544</v>
      </c>
      <c r="C28" s="233">
        <v>1685323.2498143527</v>
      </c>
      <c r="D28" s="233">
        <v>269472.03022294707</v>
      </c>
      <c r="E28" s="233">
        <v>447286.5284147488</v>
      </c>
    </row>
    <row r="29" spans="2:5" ht="14.25" hidden="1">
      <c r="B29" s="233" t="s">
        <v>545</v>
      </c>
      <c r="C29" s="233">
        <v>2135576.900587696</v>
      </c>
      <c r="D29" s="233">
        <v>482437.48585926066</v>
      </c>
      <c r="E29" s="233">
        <v>419076.65823147766</v>
      </c>
    </row>
    <row r="30" spans="2:4" ht="14.25" hidden="1">
      <c r="B30" s="233" t="s">
        <v>543</v>
      </c>
      <c r="C30" s="233">
        <v>2335880.7296132054</v>
      </c>
      <c r="D30" s="233">
        <v>970748.1082700599</v>
      </c>
    </row>
    <row r="31" spans="2:7" ht="14.25" hidden="1">
      <c r="B31" s="233" t="s">
        <v>538</v>
      </c>
      <c r="C31" s="233">
        <v>401823.4188699197</v>
      </c>
      <c r="D31" s="233">
        <v>235731.53650220335</v>
      </c>
      <c r="E31" s="233">
        <v>18187.738317656836</v>
      </c>
      <c r="G31" s="233">
        <v>0</v>
      </c>
    </row>
    <row r="32" spans="2:7" ht="14.25" hidden="1">
      <c r="B32" s="234" t="s">
        <v>539</v>
      </c>
      <c r="C32" s="233">
        <v>350384.67753234284</v>
      </c>
      <c r="D32" s="233">
        <v>287844.35736050096</v>
      </c>
      <c r="E32" s="233">
        <v>0</v>
      </c>
      <c r="G32" s="233">
        <v>10886.87496911105</v>
      </c>
    </row>
    <row r="33" spans="1:7" ht="14.25" hidden="1">
      <c r="A33" s="234"/>
      <c r="B33" s="245" t="s">
        <v>706</v>
      </c>
      <c r="C33" s="234">
        <f>SUM(C31:C32)</f>
        <v>752208.0964022626</v>
      </c>
      <c r="D33" s="233">
        <f>SUM(D31:D32)</f>
        <v>523575.8938627043</v>
      </c>
      <c r="E33" s="233">
        <f>SUM(E31:E32)</f>
        <v>18187.738317656836</v>
      </c>
      <c r="F33" s="233">
        <f>SUM(F31:F32)</f>
        <v>0</v>
      </c>
      <c r="G33" s="233">
        <f>SUM(G31:G32)</f>
        <v>10886.87496911105</v>
      </c>
    </row>
    <row r="34" spans="2:7" ht="14.25" hidden="1">
      <c r="B34" s="234" t="s">
        <v>659</v>
      </c>
      <c r="C34" s="233">
        <v>656107.8601564114</v>
      </c>
      <c r="D34" s="233">
        <v>62230.649955428235</v>
      </c>
      <c r="E34" s="233">
        <v>126696.98635609601</v>
      </c>
      <c r="F34" s="233">
        <v>52542.810515969824</v>
      </c>
      <c r="G34" s="233">
        <v>2861.443294289831</v>
      </c>
    </row>
    <row r="35" spans="2:7" ht="14.25" hidden="1">
      <c r="B35" s="233" t="s">
        <v>536</v>
      </c>
      <c r="C35" s="233">
        <v>2020530.988815736</v>
      </c>
      <c r="D35" s="233">
        <v>401391.61484817433</v>
      </c>
      <c r="E35" s="233">
        <v>238378.36998167512</v>
      </c>
      <c r="F35" s="233">
        <v>586364.840026684</v>
      </c>
      <c r="G35" s="233">
        <v>15065.980226497935</v>
      </c>
    </row>
    <row r="36" spans="2:7" ht="14.25" hidden="1">
      <c r="B36" s="233" t="s">
        <v>537</v>
      </c>
      <c r="C36" s="233">
        <v>2319230.876253048</v>
      </c>
      <c r="D36" s="233">
        <v>693400.7632149818</v>
      </c>
      <c r="E36" s="233">
        <v>305789.43813263916</v>
      </c>
      <c r="F36" s="233">
        <v>817945.9949958746</v>
      </c>
      <c r="G36" s="233">
        <v>19129.047160885853</v>
      </c>
    </row>
    <row r="37" spans="2:7" ht="14.25" hidden="1">
      <c r="B37" s="233" t="s">
        <v>535</v>
      </c>
      <c r="C37" s="233">
        <v>1374098.3521231564</v>
      </c>
      <c r="D37" s="233">
        <v>129310.80926374352</v>
      </c>
      <c r="E37" s="233">
        <v>30139.482193234286</v>
      </c>
      <c r="F37" s="233">
        <v>85497.6590900523</v>
      </c>
      <c r="G37" s="233">
        <v>13882</v>
      </c>
    </row>
    <row r="38" spans="2:6" ht="14.25" hidden="1">
      <c r="B38" s="233" t="s">
        <v>540</v>
      </c>
      <c r="C38" s="233">
        <v>1684449.3499211576</v>
      </c>
      <c r="E38" s="233">
        <v>230693.62879634148</v>
      </c>
      <c r="F38" s="233">
        <v>126312.18048542566</v>
      </c>
    </row>
    <row r="39" spans="2:5" ht="14.25" hidden="1">
      <c r="B39" s="233" t="s">
        <v>542</v>
      </c>
      <c r="D39" s="233">
        <v>786014.3781999999</v>
      </c>
      <c r="E39" s="233">
        <v>1199152.4071999998</v>
      </c>
    </row>
    <row r="40" spans="2:5" ht="14.25" hidden="1">
      <c r="B40" s="233" t="s">
        <v>541</v>
      </c>
      <c r="D40" s="233">
        <v>920511.8544999999</v>
      </c>
      <c r="E40" s="233">
        <v>1052451.4082000002</v>
      </c>
    </row>
    <row r="41" spans="4:15" ht="14.25">
      <c r="D41" s="234"/>
      <c r="E41" s="234"/>
      <c r="F41" s="234"/>
      <c r="G41" s="234"/>
      <c r="H41" s="234"/>
      <c r="I41" s="234"/>
      <c r="J41" s="234"/>
      <c r="K41" s="234"/>
      <c r="L41" s="234"/>
      <c r="M41" s="234"/>
      <c r="N41" s="234"/>
      <c r="O41" s="234"/>
    </row>
    <row r="42" spans="2:17" ht="18.75" customHeight="1">
      <c r="B42" s="235"/>
      <c r="C42" s="235"/>
      <c r="D42" s="253"/>
      <c r="E42" s="253"/>
      <c r="F42" s="253"/>
      <c r="G42" s="253"/>
      <c r="H42" s="766" t="s">
        <v>551</v>
      </c>
      <c r="I42" s="766"/>
      <c r="J42" s="767" t="s">
        <v>552</v>
      </c>
      <c r="K42" s="768"/>
      <c r="L42" s="768"/>
      <c r="M42" s="768"/>
      <c r="N42" s="769"/>
      <c r="O42" s="763" t="s">
        <v>487</v>
      </c>
      <c r="P42" s="763" t="s">
        <v>565</v>
      </c>
      <c r="Q42" s="763" t="s">
        <v>566</v>
      </c>
    </row>
    <row r="43" spans="2:17" ht="37.5">
      <c r="B43" s="235"/>
      <c r="C43" s="235"/>
      <c r="D43" s="764" t="s">
        <v>553</v>
      </c>
      <c r="E43" s="765"/>
      <c r="F43" s="765"/>
      <c r="G43" s="765"/>
      <c r="H43" s="255" t="s">
        <v>561</v>
      </c>
      <c r="I43" s="256" t="s">
        <v>554</v>
      </c>
      <c r="J43" s="256" t="s">
        <v>555</v>
      </c>
      <c r="K43" s="256" t="s">
        <v>555</v>
      </c>
      <c r="L43" s="257" t="s">
        <v>562</v>
      </c>
      <c r="M43" s="257" t="s">
        <v>563</v>
      </c>
      <c r="N43" s="257" t="s">
        <v>563</v>
      </c>
      <c r="O43" s="763"/>
      <c r="P43" s="763"/>
      <c r="Q43" s="763"/>
    </row>
    <row r="44" spans="2:17" ht="18.75" customHeight="1">
      <c r="B44" s="237" t="s">
        <v>648</v>
      </c>
      <c r="C44" s="237" t="s">
        <v>403</v>
      </c>
      <c r="D44" s="236" t="s">
        <v>429</v>
      </c>
      <c r="E44" s="236" t="s">
        <v>430</v>
      </c>
      <c r="F44" s="236" t="s">
        <v>431</v>
      </c>
      <c r="G44" s="254" t="s">
        <v>432</v>
      </c>
      <c r="H44" s="258" t="s">
        <v>556</v>
      </c>
      <c r="I44" s="258" t="s">
        <v>557</v>
      </c>
      <c r="J44" s="258" t="s">
        <v>558</v>
      </c>
      <c r="K44" s="258" t="s">
        <v>559</v>
      </c>
      <c r="L44" s="258" t="s">
        <v>558</v>
      </c>
      <c r="M44" s="258" t="s">
        <v>559</v>
      </c>
      <c r="N44" s="258" t="s">
        <v>560</v>
      </c>
      <c r="O44" s="763"/>
      <c r="P44" s="763"/>
      <c r="Q44" s="763"/>
    </row>
    <row r="45" spans="2:17" ht="14.25">
      <c r="B45" s="239" t="s">
        <v>660</v>
      </c>
      <c r="C45" s="240" t="s">
        <v>661</v>
      </c>
      <c r="D45" s="259">
        <v>59112.57974636841</v>
      </c>
      <c r="E45" s="259">
        <v>1777.5005835058134</v>
      </c>
      <c r="F45" s="259">
        <v>1434.2726399836745</v>
      </c>
      <c r="G45" s="259"/>
      <c r="H45" s="241">
        <v>2</v>
      </c>
      <c r="I45" s="241">
        <v>242</v>
      </c>
      <c r="J45" s="260">
        <v>29.3046959208142</v>
      </c>
      <c r="K45" s="260">
        <v>31.493853587216257</v>
      </c>
      <c r="L45" s="261">
        <v>33.88867070172368</v>
      </c>
      <c r="M45" s="261">
        <v>34.59487961058284</v>
      </c>
      <c r="N45" s="260">
        <v>62.47353717222468</v>
      </c>
      <c r="O45" s="240">
        <v>4.6</v>
      </c>
      <c r="P45" s="263">
        <f>(O45/1000)*L45</f>
        <v>0.15588788522792893</v>
      </c>
      <c r="Q45" s="263">
        <f>(P45/1000000)*365*24*60*60</f>
        <v>4.9160803485479665</v>
      </c>
    </row>
    <row r="46" spans="2:17" ht="14.25">
      <c r="B46" s="239" t="s">
        <v>662</v>
      </c>
      <c r="C46" s="240" t="s">
        <v>663</v>
      </c>
      <c r="D46" s="259">
        <v>74905.1909503998</v>
      </c>
      <c r="E46" s="259">
        <v>3182.2705752075112</v>
      </c>
      <c r="F46" s="259">
        <v>1343.814639549913</v>
      </c>
      <c r="G46" s="259"/>
      <c r="H46" s="241">
        <v>4</v>
      </c>
      <c r="I46" s="241">
        <v>200</v>
      </c>
      <c r="J46" s="260">
        <v>36.91942226950565</v>
      </c>
      <c r="K46" s="260">
        <v>39.72191995973843</v>
      </c>
      <c r="L46" s="261">
        <v>42.6945274289814</v>
      </c>
      <c r="M46" s="261">
        <v>48.46024475725456</v>
      </c>
      <c r="N46" s="260">
        <v>83.96225556843007</v>
      </c>
      <c r="O46" s="240">
        <v>3.9</v>
      </c>
      <c r="P46" s="263">
        <f aca="true" t="shared" si="0" ref="P46:P55">(O46/1000)*L46</f>
        <v>0.16650865697302747</v>
      </c>
      <c r="Q46" s="263">
        <f aca="true" t="shared" si="1" ref="Q46:Q55">(P46/1000000)*365*24*60*60</f>
        <v>5.251017006301394</v>
      </c>
    </row>
    <row r="47" spans="2:17" ht="14.25">
      <c r="B47" s="239" t="s">
        <v>698</v>
      </c>
      <c r="C47" s="240" t="s">
        <v>699</v>
      </c>
      <c r="D47" s="259">
        <v>81930.83191754227</v>
      </c>
      <c r="E47" s="259">
        <v>6403.281733765109</v>
      </c>
      <c r="F47" s="259"/>
      <c r="G47" s="259"/>
      <c r="H47" s="241">
        <v>5.9</v>
      </c>
      <c r="I47" s="241">
        <v>190</v>
      </c>
      <c r="J47" s="260">
        <v>39.754366880431505</v>
      </c>
      <c r="K47" s="260">
        <v>42.91975469834189</v>
      </c>
      <c r="L47" s="261">
        <v>45.97292706284538</v>
      </c>
      <c r="M47" s="261">
        <v>58.556472337978285</v>
      </c>
      <c r="N47" s="260">
        <v>99.31006114462983</v>
      </c>
      <c r="O47" s="240">
        <v>6.3</v>
      </c>
      <c r="P47" s="263">
        <f t="shared" si="0"/>
        <v>0.28962944049592587</v>
      </c>
      <c r="Q47" s="263">
        <f t="shared" si="1"/>
        <v>9.133754035479521</v>
      </c>
    </row>
    <row r="48" spans="2:17" ht="14.25">
      <c r="B48" s="243" t="s">
        <v>706</v>
      </c>
      <c r="C48" s="240" t="s">
        <v>707</v>
      </c>
      <c r="D48" s="259">
        <v>26383.63951208812</v>
      </c>
      <c r="E48" s="259">
        <v>3453.629143182535</v>
      </c>
      <c r="F48" s="259">
        <v>58.32095043115039</v>
      </c>
      <c r="G48" s="259"/>
      <c r="H48" s="244">
        <v>10</v>
      </c>
      <c r="I48" s="244">
        <v>200</v>
      </c>
      <c r="J48" s="260">
        <v>14.3579657159431</v>
      </c>
      <c r="K48" s="260">
        <v>15.850584890197561</v>
      </c>
      <c r="L48" s="261">
        <v>16.60390448715208</v>
      </c>
      <c r="M48" s="261">
        <v>29.023030501154533</v>
      </c>
      <c r="N48" s="260">
        <v>50.28532390859375</v>
      </c>
      <c r="O48" s="240">
        <v>5.4</v>
      </c>
      <c r="P48" s="263">
        <f t="shared" si="0"/>
        <v>0.08966108423062123</v>
      </c>
      <c r="Q48" s="263">
        <f t="shared" si="1"/>
        <v>2.8275519522968717</v>
      </c>
    </row>
    <row r="49" spans="2:17" ht="14.25">
      <c r="B49" s="243" t="s">
        <v>26</v>
      </c>
      <c r="C49" s="240" t="s">
        <v>709</v>
      </c>
      <c r="D49" s="259">
        <v>23012.931323404748</v>
      </c>
      <c r="E49" s="259">
        <v>410.4879327038232</v>
      </c>
      <c r="F49" s="259">
        <v>406.2675925943256</v>
      </c>
      <c r="G49" s="259">
        <v>789.2154908070451</v>
      </c>
      <c r="H49" s="242">
        <v>8.5</v>
      </c>
      <c r="I49" s="242">
        <v>180</v>
      </c>
      <c r="J49" s="260">
        <v>11.280582929279419</v>
      </c>
      <c r="K49" s="260">
        <v>11.958330338704178</v>
      </c>
      <c r="L49" s="261">
        <v>13.045143387490725</v>
      </c>
      <c r="M49" s="261">
        <v>19.690987991839265</v>
      </c>
      <c r="N49" s="260">
        <v>32.67405699744757</v>
      </c>
      <c r="O49" s="240">
        <v>2.6</v>
      </c>
      <c r="P49" s="263">
        <f t="shared" si="0"/>
        <v>0.033917372807475886</v>
      </c>
      <c r="Q49" s="263">
        <f t="shared" si="1"/>
        <v>1.0696182688565594</v>
      </c>
    </row>
    <row r="50" spans="2:17" ht="14.25">
      <c r="B50" s="243" t="s">
        <v>157</v>
      </c>
      <c r="C50" s="240" t="s">
        <v>711</v>
      </c>
      <c r="D50" s="259">
        <v>70869.96469047444</v>
      </c>
      <c r="E50" s="259">
        <v>2647.673040562613</v>
      </c>
      <c r="F50" s="259">
        <v>764.386030673372</v>
      </c>
      <c r="G50" s="259">
        <v>8807.450733397682</v>
      </c>
      <c r="H50" s="242">
        <v>5.1</v>
      </c>
      <c r="I50" s="242">
        <v>220</v>
      </c>
      <c r="J50" s="260">
        <v>39.23725031046958</v>
      </c>
      <c r="K50" s="260">
        <v>41.489161942754905</v>
      </c>
      <c r="L50" s="261">
        <v>45.3749207500961</v>
      </c>
      <c r="M50" s="261">
        <v>54.154350334109004</v>
      </c>
      <c r="N50" s="260">
        <v>97.79521873522249</v>
      </c>
      <c r="O50" s="240">
        <v>4.1</v>
      </c>
      <c r="P50" s="263">
        <f t="shared" si="0"/>
        <v>0.186037175075394</v>
      </c>
      <c r="Q50" s="263">
        <f t="shared" si="1"/>
        <v>5.866868353177625</v>
      </c>
    </row>
    <row r="51" spans="2:17" ht="14.25">
      <c r="B51" s="243" t="s">
        <v>27</v>
      </c>
      <c r="C51" s="240" t="s">
        <v>713</v>
      </c>
      <c r="D51" s="259">
        <v>81346.83962726439</v>
      </c>
      <c r="E51" s="259">
        <v>4573.83373034405</v>
      </c>
      <c r="F51" s="259">
        <v>980.546913102968</v>
      </c>
      <c r="G51" s="259">
        <v>12285.89874723436</v>
      </c>
      <c r="H51" s="242">
        <v>4</v>
      </c>
      <c r="I51" s="242">
        <v>220</v>
      </c>
      <c r="J51" s="260">
        <v>48.310932862632974</v>
      </c>
      <c r="K51" s="260">
        <v>51.43952218329647</v>
      </c>
      <c r="L51" s="261">
        <v>55.86795029365936</v>
      </c>
      <c r="M51" s="261">
        <v>62.87406250581315</v>
      </c>
      <c r="N51" s="260">
        <v>113.54180518449041</v>
      </c>
      <c r="O51" s="240">
        <v>3</v>
      </c>
      <c r="P51" s="263">
        <f t="shared" si="0"/>
        <v>0.1676038508809781</v>
      </c>
      <c r="Q51" s="263">
        <f t="shared" si="1"/>
        <v>5.285555041382525</v>
      </c>
    </row>
    <row r="52" spans="2:17" ht="14.25">
      <c r="B52" s="243" t="s">
        <v>409</v>
      </c>
      <c r="C52" s="240" t="s">
        <v>681</v>
      </c>
      <c r="D52" s="259">
        <v>48196.39106514493</v>
      </c>
      <c r="E52" s="259">
        <v>852.9643641670237</v>
      </c>
      <c r="F52" s="259">
        <v>96.64551008553399</v>
      </c>
      <c r="G52" s="259">
        <v>1284.2114138736529</v>
      </c>
      <c r="H52" s="244">
        <v>9</v>
      </c>
      <c r="I52" s="244">
        <v>200</v>
      </c>
      <c r="J52" s="260">
        <v>21.525377176309004</v>
      </c>
      <c r="K52" s="260">
        <v>22.519261829736603</v>
      </c>
      <c r="L52" s="261">
        <v>24.892475282100357</v>
      </c>
      <c r="M52" s="261">
        <v>38.798958853835856</v>
      </c>
      <c r="N52" s="260">
        <v>67.22310453430168</v>
      </c>
      <c r="O52" s="240">
        <v>6.8</v>
      </c>
      <c r="P52" s="263">
        <f t="shared" si="0"/>
        <v>0.1692688319182824</v>
      </c>
      <c r="Q52" s="263">
        <f t="shared" si="1"/>
        <v>5.338061883374953</v>
      </c>
    </row>
    <row r="53" spans="2:17" ht="14.25">
      <c r="B53" s="243" t="s">
        <v>714</v>
      </c>
      <c r="C53" s="240" t="s">
        <v>715</v>
      </c>
      <c r="D53" s="259">
        <v>59081.92777670471</v>
      </c>
      <c r="E53" s="259"/>
      <c r="F53" s="259">
        <v>739.7440767416418</v>
      </c>
      <c r="G53" s="259">
        <v>1897.2629849409047</v>
      </c>
      <c r="H53" s="241">
        <v>10.7</v>
      </c>
      <c r="I53" s="241">
        <v>200</v>
      </c>
      <c r="J53" s="260">
        <v>27.0620443105382</v>
      </c>
      <c r="K53" s="260">
        <v>28.298167535844673</v>
      </c>
      <c r="L53" s="261">
        <v>31.29521325296876</v>
      </c>
      <c r="M53" s="261">
        <v>56.68678264591906</v>
      </c>
      <c r="N53" s="260">
        <v>98.21556114109787</v>
      </c>
      <c r="O53" s="240">
        <v>2.3</v>
      </c>
      <c r="P53" s="263">
        <f t="shared" si="0"/>
        <v>0.07197899048182815</v>
      </c>
      <c r="Q53" s="263">
        <f t="shared" si="1"/>
        <v>2.2699294438349327</v>
      </c>
    </row>
    <row r="54" spans="2:17" ht="14.25">
      <c r="B54" s="243" t="s">
        <v>111</v>
      </c>
      <c r="C54" s="240" t="s">
        <v>958</v>
      </c>
      <c r="D54" s="259"/>
      <c r="E54" s="259">
        <v>5184.734811767061</v>
      </c>
      <c r="F54" s="259">
        <v>3845.211915755989</v>
      </c>
      <c r="G54" s="259"/>
      <c r="H54" s="241">
        <v>9</v>
      </c>
      <c r="I54" s="241">
        <v>265</v>
      </c>
      <c r="J54" s="260">
        <v>14.673904855603416</v>
      </c>
      <c r="K54" s="260">
        <v>18.47390904061884</v>
      </c>
      <c r="L54" s="261">
        <v>16.969264274357023</v>
      </c>
      <c r="M54" s="261">
        <v>29.571820275949158</v>
      </c>
      <c r="N54" s="260">
        <v>58.27706706395841</v>
      </c>
      <c r="O54" s="240">
        <v>8.3</v>
      </c>
      <c r="P54" s="263">
        <f t="shared" si="0"/>
        <v>0.1408448934771633</v>
      </c>
      <c r="Q54" s="263">
        <f t="shared" si="1"/>
        <v>4.441684560695822</v>
      </c>
    </row>
    <row r="55" spans="2:17" ht="14.25">
      <c r="B55" s="243" t="s">
        <v>112</v>
      </c>
      <c r="C55" s="240" t="s">
        <v>962</v>
      </c>
      <c r="D55" s="259"/>
      <c r="E55" s="259">
        <v>6071.911645687508</v>
      </c>
      <c r="F55" s="259">
        <v>3374.7992926222364</v>
      </c>
      <c r="G55" s="259"/>
      <c r="H55" s="241">
        <v>11.3</v>
      </c>
      <c r="I55" s="241">
        <v>265</v>
      </c>
      <c r="J55" s="260">
        <v>14.424056565264793</v>
      </c>
      <c r="K55" s="260">
        <v>18.24083220066034</v>
      </c>
      <c r="L55" s="261">
        <v>16.680333569887217</v>
      </c>
      <c r="M55" s="261">
        <v>35.21914878269078</v>
      </c>
      <c r="N55" s="260">
        <v>69.40623459739062</v>
      </c>
      <c r="O55" s="240">
        <v>9.4</v>
      </c>
      <c r="P55" s="263">
        <f t="shared" si="0"/>
        <v>0.15679513555693986</v>
      </c>
      <c r="Q55" s="263">
        <f t="shared" si="1"/>
        <v>4.944691394923656</v>
      </c>
    </row>
    <row r="56" spans="8:15" ht="14.25">
      <c r="H56" s="234"/>
      <c r="I56" s="234"/>
      <c r="J56" s="234"/>
      <c r="K56" s="234"/>
      <c r="L56" s="234"/>
      <c r="M56" s="234"/>
      <c r="N56" s="234"/>
      <c r="O56" s="234"/>
    </row>
    <row r="57" ht="14.25">
      <c r="E57" s="262"/>
    </row>
    <row r="58" ht="14.25">
      <c r="O58" s="233" t="s">
        <v>909</v>
      </c>
    </row>
  </sheetData>
  <sheetProtection/>
  <mergeCells count="7">
    <mergeCell ref="D3:H3"/>
    <mergeCell ref="O42:O44"/>
    <mergeCell ref="P42:P44"/>
    <mergeCell ref="Q42:Q44"/>
    <mergeCell ref="D43:G43"/>
    <mergeCell ref="H42:I42"/>
    <mergeCell ref="J42:N42"/>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51"/>
  <headerFooter alignWithMargins="0">
    <oddHeader>&amp;C&amp;F
&amp;A</oddHeader>
    <oddFooter>&amp;L&amp;D&amp;R93008.02</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B2:T112"/>
  <sheetViews>
    <sheetView zoomScalePageLayoutView="0" workbookViewId="0" topLeftCell="A61">
      <selection activeCell="E100" sqref="E100"/>
    </sheetView>
  </sheetViews>
  <sheetFormatPr defaultColWidth="9.00390625" defaultRowHeight="14.25"/>
  <cols>
    <col min="2" max="2" width="14.875" style="0" bestFit="1" customWidth="1"/>
    <col min="3" max="3" width="22.25390625" style="0" customWidth="1"/>
    <col min="4" max="4" width="20.625" style="0" bestFit="1" customWidth="1"/>
    <col min="5" max="5" width="9.875" style="9" bestFit="1" customWidth="1"/>
    <col min="6" max="6" width="12.375" style="9" bestFit="1" customWidth="1"/>
    <col min="7" max="7" width="8.875" style="9" bestFit="1" customWidth="1"/>
    <col min="10" max="10" width="11.375" style="0" customWidth="1"/>
    <col min="16" max="16" width="14.125" style="0" bestFit="1" customWidth="1"/>
  </cols>
  <sheetData>
    <row r="1" ht="14.25"/>
    <row r="2" spans="2:7" ht="15">
      <c r="B2" s="490" t="s">
        <v>77</v>
      </c>
      <c r="E2" s="776" t="s">
        <v>749</v>
      </c>
      <c r="F2" s="776"/>
      <c r="G2" s="776"/>
    </row>
    <row r="3" spans="5:7" ht="15">
      <c r="E3" s="488" t="s">
        <v>632</v>
      </c>
      <c r="F3" s="488" t="s">
        <v>633</v>
      </c>
      <c r="G3" s="488" t="s">
        <v>634</v>
      </c>
    </row>
    <row r="4" spans="5:7" ht="15">
      <c r="E4" s="489">
        <f>SUM(E21,E27,E38,E47,E57,E68,E76,E85,E94,E103,E112)</f>
        <v>2148.4367129556103</v>
      </c>
      <c r="F4" s="489">
        <f>SUM(F21,F27,F38,F47,F57,F68,F76,F85,F94,F103,F112)</f>
        <v>1411.7699974002567</v>
      </c>
      <c r="G4" s="489">
        <f>SUM(G21,G27,G38,G47,G57,G68,G76,G85,G94,G103,G112)</f>
        <v>512.7294887034654</v>
      </c>
    </row>
    <row r="5" ht="14.25">
      <c r="F5" s="20"/>
    </row>
    <row r="6" ht="14.25"/>
    <row r="7" ht="14.25"/>
    <row r="8" spans="2:4" ht="15">
      <c r="B8" s="491" t="s">
        <v>73</v>
      </c>
      <c r="C8" s="487"/>
      <c r="D8" s="487"/>
    </row>
    <row r="9" spans="2:4" ht="15">
      <c r="B9" s="492"/>
      <c r="C9" s="493"/>
      <c r="D9" s="493"/>
    </row>
    <row r="10" spans="2:7" ht="15">
      <c r="B10" s="10" t="s">
        <v>1274</v>
      </c>
      <c r="D10" s="466" t="s">
        <v>1044</v>
      </c>
      <c r="E10" s="757" t="s">
        <v>749</v>
      </c>
      <c r="F10" s="757"/>
      <c r="G10" s="757"/>
    </row>
    <row r="11" spans="2:7" ht="15">
      <c r="B11" s="463" t="s">
        <v>123</v>
      </c>
      <c r="D11" s="477">
        <f>Production!I21</f>
        <v>3149345</v>
      </c>
      <c r="E11" s="12" t="s">
        <v>632</v>
      </c>
      <c r="F11" s="12" t="s">
        <v>633</v>
      </c>
      <c r="G11" s="12" t="s">
        <v>634</v>
      </c>
    </row>
    <row r="12" spans="3:7" ht="14.25">
      <c r="C12" t="s">
        <v>597</v>
      </c>
      <c r="D12" s="13" t="s">
        <v>746</v>
      </c>
      <c r="E12" s="464">
        <f>(Roads!E4*$D$11)/1000000</f>
        <v>288.8467384117228</v>
      </c>
      <c r="F12" s="464">
        <f>(Roads!F4*$D$11)/1000000</f>
        <v>119.58254970245325</v>
      </c>
      <c r="G12" s="464">
        <f>(Roads!G4*$D$11)/1000000</f>
        <v>17.53987967037423</v>
      </c>
    </row>
    <row r="13" spans="4:7" ht="14.25">
      <c r="D13" s="13" t="s">
        <v>747</v>
      </c>
      <c r="E13" s="464">
        <f>(Roads!E5*$D$11)/1000000</f>
        <v>124.78659509762163</v>
      </c>
      <c r="F13" s="464">
        <f>(Roads!F5*$D$11)/1000000</f>
        <v>51.661650370415344</v>
      </c>
      <c r="G13" s="464">
        <f>(Roads!G5*$D$11)/1000000</f>
        <v>7.577519741172069</v>
      </c>
    </row>
    <row r="14" spans="4:7" ht="14.25">
      <c r="D14" s="442" t="s">
        <v>748</v>
      </c>
      <c r="E14" s="464">
        <f>(Roads!E6*$D$11)/1000000</f>
        <v>156.98374632216436</v>
      </c>
      <c r="F14" s="464">
        <f>(Roads!F6*$D$11)/1000000</f>
        <v>64.99127097737605</v>
      </c>
      <c r="G14" s="464">
        <f>(Roads!G6*$D$11)/1000000</f>
        <v>9.53265401519094</v>
      </c>
    </row>
    <row r="15" spans="4:7" ht="14.25">
      <c r="D15" s="13" t="s">
        <v>637</v>
      </c>
      <c r="E15" s="464">
        <f>(Roads!E7*$D$11)/1000000</f>
        <v>379.18490700417084</v>
      </c>
      <c r="F15" s="464">
        <f>(Roads!F7*$D$11)/1000000</f>
        <v>166.47332870324271</v>
      </c>
      <c r="G15" s="464">
        <f>(Roads!G7*$D$11)/1000000</f>
        <v>23.025559084537946</v>
      </c>
    </row>
    <row r="16" spans="4:7" ht="15">
      <c r="D16" s="51" t="s">
        <v>733</v>
      </c>
      <c r="E16" s="465">
        <f>SUM(E14:E15)</f>
        <v>536.1686533263352</v>
      </c>
      <c r="F16" s="465">
        <f>SUM(F14:F15)</f>
        <v>231.46459968061876</v>
      </c>
      <c r="G16" s="465">
        <f>SUM(G14:G15)</f>
        <v>32.55821309972889</v>
      </c>
    </row>
    <row r="17" ht="14.25"/>
    <row r="18" spans="3:7" ht="14.25">
      <c r="C18" s="362" t="s">
        <v>598</v>
      </c>
      <c r="D18" s="456" t="s">
        <v>745</v>
      </c>
      <c r="E18" s="326">
        <f>E14</f>
        <v>156.98374632216436</v>
      </c>
      <c r="F18" s="326">
        <f>F14*(Production!$E$9/Production!$D$9)</f>
        <v>71.71622649394229</v>
      </c>
      <c r="G18" s="326">
        <f>G14*(Production!$E$9/Production!$D$9)</f>
        <v>10.519043006249317</v>
      </c>
    </row>
    <row r="19" spans="3:7" ht="14.25">
      <c r="C19" s="362"/>
      <c r="D19" s="456" t="s">
        <v>637</v>
      </c>
      <c r="E19" s="326">
        <f>E15</f>
        <v>379.18490700417084</v>
      </c>
      <c r="F19" s="326">
        <f>F15*(Production!$E$9/Production!$D$9)</f>
        <v>183.69911477247857</v>
      </c>
      <c r="G19" s="326">
        <f>G15*(Production!$E$9/Production!$D$9)</f>
        <v>25.408123054420738</v>
      </c>
    </row>
    <row r="20" spans="3:8" ht="14.25">
      <c r="C20" s="313"/>
      <c r="D20" s="443"/>
      <c r="E20" s="444"/>
      <c r="F20" s="444"/>
      <c r="G20" s="444"/>
      <c r="H20" s="313"/>
    </row>
    <row r="21" spans="4:7" ht="15">
      <c r="D21" s="13" t="s">
        <v>1555</v>
      </c>
      <c r="E21" s="465">
        <f>E16</f>
        <v>536.1686533263352</v>
      </c>
      <c r="F21" s="465">
        <f>F16</f>
        <v>231.46459968061876</v>
      </c>
      <c r="G21" s="465">
        <f>G16</f>
        <v>32.55821309972889</v>
      </c>
    </row>
    <row r="22" ht="14.25"/>
    <row r="23" ht="14.25"/>
    <row r="24" spans="2:7" ht="15">
      <c r="B24" s="10" t="s">
        <v>1275</v>
      </c>
      <c r="D24" s="466" t="s">
        <v>1045</v>
      </c>
      <c r="E24" s="757" t="s">
        <v>749</v>
      </c>
      <c r="F24" s="757"/>
      <c r="G24" s="757"/>
    </row>
    <row r="25" spans="2:7" ht="15">
      <c r="B25" s="463" t="s">
        <v>124</v>
      </c>
      <c r="D25" s="477">
        <f>Production!I20</f>
        <v>2923402</v>
      </c>
      <c r="E25" s="12" t="s">
        <v>632</v>
      </c>
      <c r="F25" s="12" t="s">
        <v>633</v>
      </c>
      <c r="G25" s="12" t="s">
        <v>634</v>
      </c>
    </row>
    <row r="26" spans="3:7" ht="14.25">
      <c r="C26" t="s">
        <v>597</v>
      </c>
      <c r="E26" s="464">
        <f>Conveyors!E4*'Diffuse emissions summary'!$D$25/1000000</f>
        <v>123.90583264882973</v>
      </c>
      <c r="F26" s="464">
        <f>Conveyors!F4*'Diffuse emissions summary'!$D$25/1000000</f>
        <v>111.51524938394677</v>
      </c>
      <c r="G26" s="464">
        <f>Conveyors!G4*'Diffuse emissions summary'!$D$25/1000000</f>
        <v>12.390583264882974</v>
      </c>
    </row>
    <row r="27" spans="5:7" ht="15">
      <c r="E27" s="465">
        <f>E26</f>
        <v>123.90583264882973</v>
      </c>
      <c r="F27" s="465">
        <f>F26</f>
        <v>111.51524938394677</v>
      </c>
      <c r="G27" s="465">
        <f>G26</f>
        <v>12.390583264882974</v>
      </c>
    </row>
    <row r="28" spans="5:7" ht="14.25">
      <c r="E28" s="20"/>
      <c r="F28" s="20"/>
      <c r="G28" s="20"/>
    </row>
    <row r="29" spans="5:7" ht="14.25">
      <c r="E29" s="20"/>
      <c r="F29" s="20"/>
      <c r="G29" s="20"/>
    </row>
    <row r="30" spans="2:7" ht="15">
      <c r="B30" s="10" t="s">
        <v>1276</v>
      </c>
      <c r="D30" s="466" t="str">
        <f>D10</f>
        <v>2013 steel production</v>
      </c>
      <c r="E30" s="757" t="s">
        <v>749</v>
      </c>
      <c r="F30" s="757"/>
      <c r="G30" s="757"/>
    </row>
    <row r="31" spans="2:7" ht="15">
      <c r="B31" s="463" t="s">
        <v>4</v>
      </c>
      <c r="D31" s="477">
        <f>D11</f>
        <v>3149345</v>
      </c>
      <c r="E31" s="12" t="s">
        <v>632</v>
      </c>
      <c r="F31" s="12" t="s">
        <v>633</v>
      </c>
      <c r="G31" s="12" t="s">
        <v>634</v>
      </c>
    </row>
    <row r="32" spans="3:7" ht="14.25">
      <c r="C32" t="s">
        <v>752</v>
      </c>
      <c r="E32" s="464">
        <f>(Stockyards!E13)*$D$31/1000000</f>
        <v>123.86784838883243</v>
      </c>
      <c r="F32" s="464">
        <f>(Stockyards!F13)*$D$31/1000000</f>
        <v>21.708481041490334</v>
      </c>
      <c r="G32" s="464">
        <f>(Stockyards!G13)*$D$31/1000000</f>
        <v>5.260131944668811</v>
      </c>
    </row>
    <row r="33" spans="3:7" ht="14.25">
      <c r="C33" t="s">
        <v>753</v>
      </c>
      <c r="E33" s="464">
        <f>(Stockyards!E14)*$D$31/1000000</f>
        <v>33.03142623702198</v>
      </c>
      <c r="F33" s="464">
        <f>(Stockyards!F14)*$D$31/1000000</f>
        <v>5.788928277730755</v>
      </c>
      <c r="G33" s="464">
        <f>(Stockyards!G14)*$D$31/1000000</f>
        <v>1.402701851911683</v>
      </c>
    </row>
    <row r="34" spans="3:7" ht="14.25">
      <c r="C34" t="s">
        <v>246</v>
      </c>
      <c r="E34" s="464">
        <f>(Stockyards!E15)*$D$31/1000000</f>
        <v>0</v>
      </c>
      <c r="F34" s="464">
        <f>(Stockyards!F15)*$D$31/1000000</f>
        <v>0</v>
      </c>
      <c r="G34" s="464">
        <f>(Stockyards!G15)*$D$31/1000000</f>
        <v>0</v>
      </c>
    </row>
    <row r="35" spans="3:7" ht="14.25">
      <c r="C35" t="s">
        <v>285</v>
      </c>
      <c r="E35" s="464">
        <f>(Stockyards!E16)*$D$31/1000000</f>
        <v>0</v>
      </c>
      <c r="F35" s="464">
        <f>(Stockyards!F16)*$D$31/1000000</f>
        <v>0</v>
      </c>
      <c r="G35" s="464">
        <f>(Stockyards!G16)*$D$31/1000000</f>
        <v>0</v>
      </c>
    </row>
    <row r="36" spans="3:7" ht="14.25">
      <c r="C36" t="s">
        <v>1552</v>
      </c>
      <c r="E36" s="464">
        <f>(Stockyards!E17)*$D$31/1000000</f>
        <v>0</v>
      </c>
      <c r="F36" s="464">
        <f>(Stockyards!F17)*$D$31/1000000</f>
        <v>0</v>
      </c>
      <c r="G36" s="464">
        <f>(Stockyards!G17)*$D$31/1000000</f>
        <v>0</v>
      </c>
    </row>
    <row r="37" spans="3:7" ht="14.25">
      <c r="C37" t="s">
        <v>11</v>
      </c>
      <c r="E37" s="464">
        <f>(Stockyards!E18)*$D$31/1000000</f>
        <v>60.781973023255816</v>
      </c>
      <c r="F37" s="464">
        <f>(Stockyards!F18)*$D$31/1000000</f>
        <v>40.62548325461828</v>
      </c>
      <c r="G37" s="464">
        <f>(Stockyards!G18)*$D$31/1000000</f>
        <v>9.843867096311353</v>
      </c>
    </row>
    <row r="38" spans="3:7" ht="15">
      <c r="C38" t="s">
        <v>733</v>
      </c>
      <c r="E38" s="465">
        <f>SUM(E32:E37)</f>
        <v>217.68124764911022</v>
      </c>
      <c r="F38" s="465">
        <f>SUM(F32:F37)</f>
        <v>68.12289257383937</v>
      </c>
      <c r="G38" s="465">
        <f>SUM(G32:G37)</f>
        <v>16.506700892891846</v>
      </c>
    </row>
    <row r="39" spans="5:7" ht="14.25" hidden="1">
      <c r="E39" s="20"/>
      <c r="F39" s="20">
        <f>E33*F42</f>
        <v>22.077559952765338</v>
      </c>
      <c r="G39" s="19">
        <f>E33*G42</f>
        <v>5.349562603939292</v>
      </c>
    </row>
    <row r="40" spans="5:7" ht="14.25">
      <c r="E40" s="20"/>
      <c r="F40" s="20"/>
      <c r="G40" s="20"/>
    </row>
    <row r="41" spans="3:7" ht="15">
      <c r="C41" s="10" t="s">
        <v>1266</v>
      </c>
      <c r="D41" s="10"/>
      <c r="E41" s="485">
        <v>389</v>
      </c>
      <c r="F41" s="485">
        <v>260</v>
      </c>
      <c r="G41" s="485">
        <v>63</v>
      </c>
    </row>
    <row r="42" spans="3:7" ht="15">
      <c r="C42" s="10" t="s">
        <v>1261</v>
      </c>
      <c r="D42" s="10"/>
      <c r="E42" s="486">
        <f>E41/E41</f>
        <v>1</v>
      </c>
      <c r="F42" s="486">
        <f>F41/E41</f>
        <v>0.6683804627249358</v>
      </c>
      <c r="G42" s="486">
        <f>G41/E41</f>
        <v>0.16195372750642673</v>
      </c>
    </row>
    <row r="43" ht="14.25"/>
    <row r="44" ht="15">
      <c r="D44" s="466">
        <v>2013</v>
      </c>
    </row>
    <row r="45" spans="2:7" ht="15">
      <c r="B45" s="10" t="s">
        <v>1277</v>
      </c>
      <c r="D45" s="466" t="s">
        <v>1046</v>
      </c>
      <c r="E45" s="757" t="s">
        <v>749</v>
      </c>
      <c r="F45" s="757"/>
      <c r="G45" s="757"/>
    </row>
    <row r="46" spans="3:7" ht="15">
      <c r="C46" s="10" t="s">
        <v>597</v>
      </c>
      <c r="D46" s="477">
        <f>Production!I20+Production!I21</f>
        <v>6072747</v>
      </c>
      <c r="E46" s="12" t="s">
        <v>632</v>
      </c>
      <c r="F46" s="12" t="s">
        <v>633</v>
      </c>
      <c r="G46" s="12" t="s">
        <v>634</v>
      </c>
    </row>
    <row r="47" spans="2:7" ht="15">
      <c r="B47" s="10"/>
      <c r="C47" t="s">
        <v>1268</v>
      </c>
      <c r="E47" s="474">
        <f>D46*'Slag handling'!E8/1000000</f>
        <v>190</v>
      </c>
      <c r="F47" s="474">
        <f>D46*'Slag handling'!F8/1000000</f>
        <v>127.00000000000001</v>
      </c>
      <c r="G47" s="474">
        <f>D46*'Slag handling'!G8/1000000</f>
        <v>30</v>
      </c>
    </row>
    <row r="48" spans="2:17" ht="15">
      <c r="B48" s="10"/>
      <c r="E48" s="68"/>
      <c r="F48" s="68"/>
      <c r="G48" s="68"/>
      <c r="K48" s="758" t="s">
        <v>1261</v>
      </c>
      <c r="L48" s="758"/>
      <c r="M48" s="758"/>
      <c r="Q48" t="s">
        <v>749</v>
      </c>
    </row>
    <row r="49" spans="3:20" ht="15">
      <c r="C49" s="454" t="s">
        <v>598</v>
      </c>
      <c r="D49" s="362"/>
      <c r="E49" s="777" t="s">
        <v>749</v>
      </c>
      <c r="F49" s="777"/>
      <c r="G49" s="777"/>
      <c r="K49" s="12" t="s">
        <v>632</v>
      </c>
      <c r="L49" s="12" t="s">
        <v>633</v>
      </c>
      <c r="M49" s="12" t="s">
        <v>634</v>
      </c>
      <c r="Q49" s="12" t="s">
        <v>632</v>
      </c>
      <c r="R49" s="12" t="s">
        <v>633</v>
      </c>
      <c r="S49" s="12" t="s">
        <v>634</v>
      </c>
      <c r="T49" s="23" t="s">
        <v>1323</v>
      </c>
    </row>
    <row r="50" spans="2:20" ht="15">
      <c r="B50" s="10"/>
      <c r="C50" s="362" t="s">
        <v>1267</v>
      </c>
      <c r="D50" s="362"/>
      <c r="E50" s="470">
        <f>'Slag handling'!E11</f>
        <v>113.65789925</v>
      </c>
      <c r="F50" s="470">
        <f>'Slag handling'!F11</f>
        <v>76.13975775</v>
      </c>
      <c r="G50" s="470">
        <f>'Slag handling'!G11</f>
        <v>17.655596</v>
      </c>
      <c r="J50" s="51" t="s">
        <v>636</v>
      </c>
      <c r="K50" s="41">
        <f>E21/E4</f>
        <v>0.24956222824396185</v>
      </c>
      <c r="L50" s="41">
        <f>F21/F4</f>
        <v>0.1639534769168177</v>
      </c>
      <c r="M50" s="41">
        <f>G21/G4</f>
        <v>0.06349978656788116</v>
      </c>
      <c r="P50" t="s">
        <v>636</v>
      </c>
      <c r="Q50">
        <v>686.6598190700483</v>
      </c>
      <c r="R50">
        <v>303.45555625</v>
      </c>
      <c r="S50">
        <v>75.01495981642512</v>
      </c>
      <c r="T50">
        <f>S50/R50</f>
        <v>0.24720245937637245</v>
      </c>
    </row>
    <row r="51" spans="2:20" ht="15">
      <c r="B51" s="10"/>
      <c r="C51" s="362" t="s">
        <v>1316</v>
      </c>
      <c r="D51" s="362"/>
      <c r="E51" s="470">
        <f>'Slag handling'!E12</f>
        <v>96.00230325</v>
      </c>
      <c r="F51" s="470">
        <f>'Slag handling'!F12</f>
        <v>64.0015355</v>
      </c>
      <c r="G51" s="470">
        <f>'Slag handling'!G12</f>
        <v>15.448646499999999</v>
      </c>
      <c r="J51" s="51" t="s">
        <v>638</v>
      </c>
      <c r="K51" s="41">
        <f>E27/E4</f>
        <v>0.05767255414211021</v>
      </c>
      <c r="L51" s="41">
        <f>F27/F4</f>
        <v>0.07898967224781632</v>
      </c>
      <c r="M51" s="41">
        <f>G27/G4</f>
        <v>0.02416592674670406</v>
      </c>
      <c r="P51" t="s">
        <v>638</v>
      </c>
      <c r="Q51">
        <v>96.382025</v>
      </c>
      <c r="R51">
        <v>86.74382250000001</v>
      </c>
      <c r="S51">
        <v>9.6382025</v>
      </c>
      <c r="T51">
        <f>S51/R51</f>
        <v>0.1111111111111111</v>
      </c>
    </row>
    <row r="52" spans="2:20" ht="15">
      <c r="B52" s="10"/>
      <c r="J52" s="51" t="s">
        <v>751</v>
      </c>
      <c r="K52" s="41">
        <f>E38/E4</f>
        <v>0.1013207632956735</v>
      </c>
      <c r="L52" s="41">
        <f>F38/F4</f>
        <v>0.04825353471123921</v>
      </c>
      <c r="M52" s="41">
        <f>G38/G4</f>
        <v>0.03219378104160187</v>
      </c>
      <c r="P52" t="s">
        <v>751</v>
      </c>
      <c r="Q52">
        <v>126.68738953846155</v>
      </c>
      <c r="R52">
        <v>86.724</v>
      </c>
      <c r="S52">
        <v>20.323739076923076</v>
      </c>
      <c r="T52">
        <f>S52/R52</f>
        <v>0.23434965034965033</v>
      </c>
    </row>
    <row r="53" spans="2:20" ht="15">
      <c r="B53" s="10"/>
      <c r="F53" s="129">
        <f>1000000*(F47/(8760*3600))</f>
        <v>4.027143581938103</v>
      </c>
      <c r="G53" s="9" t="s">
        <v>818</v>
      </c>
      <c r="J53" s="51" t="s">
        <v>1263</v>
      </c>
      <c r="K53" s="41">
        <f>E47/E4</f>
        <v>0.08843639603356827</v>
      </c>
      <c r="L53" s="41">
        <f>F47/F4</f>
        <v>0.08995799615650404</v>
      </c>
      <c r="M53" s="41">
        <f>G47/G4</f>
        <v>0.05851038541953328</v>
      </c>
      <c r="P53" t="s">
        <v>1322</v>
      </c>
      <c r="Q53">
        <v>209.6602025</v>
      </c>
      <c r="R53">
        <v>140.14129325</v>
      </c>
      <c r="S53">
        <v>33.1042425</v>
      </c>
      <c r="T53">
        <f>S53/R53</f>
        <v>0.23622047244094488</v>
      </c>
    </row>
    <row r="54" spans="10:20" ht="15">
      <c r="J54" s="51" t="s">
        <v>1225</v>
      </c>
      <c r="K54" s="41">
        <f>E57/E4</f>
        <v>0</v>
      </c>
      <c r="L54" s="41">
        <f>F57/F4</f>
        <v>0</v>
      </c>
      <c r="M54" s="41">
        <f>G57/G4</f>
        <v>0</v>
      </c>
      <c r="P54" t="s">
        <v>1262</v>
      </c>
      <c r="Q54">
        <v>49.25373134328358</v>
      </c>
      <c r="R54">
        <v>33</v>
      </c>
      <c r="S54">
        <v>5.344473007712082</v>
      </c>
      <c r="T54">
        <f>S54/R54</f>
        <v>0.16195372750642673</v>
      </c>
    </row>
    <row r="55" spans="2:13" ht="15">
      <c r="B55" s="454" t="s">
        <v>1278</v>
      </c>
      <c r="C55" s="362"/>
      <c r="D55" s="362"/>
      <c r="E55" s="777" t="s">
        <v>749</v>
      </c>
      <c r="F55" s="777"/>
      <c r="G55" s="777"/>
      <c r="J55" s="51" t="s">
        <v>1551</v>
      </c>
      <c r="K55" s="41">
        <f>E68/E4</f>
        <v>0.17898826613948796</v>
      </c>
      <c r="L55" s="41">
        <f>F68/F4</f>
        <v>0.18249794592831642</v>
      </c>
      <c r="M55" s="41">
        <f>G68/G4</f>
        <v>0.11999932771871293</v>
      </c>
    </row>
    <row r="56" spans="2:13" ht="15">
      <c r="B56" s="454" t="s">
        <v>72</v>
      </c>
      <c r="C56" s="362"/>
      <c r="D56" s="362"/>
      <c r="E56" s="325" t="s">
        <v>632</v>
      </c>
      <c r="F56" s="325" t="s">
        <v>633</v>
      </c>
      <c r="G56" s="325" t="s">
        <v>634</v>
      </c>
      <c r="J56" s="51" t="s">
        <v>1550</v>
      </c>
      <c r="K56" s="41">
        <f>E76/E4</f>
        <v>0.012212984596762821</v>
      </c>
      <c r="L56" s="41">
        <f>F76/F4</f>
        <v>0.013939323259506597</v>
      </c>
      <c r="M56" s="41">
        <f>G76/G4</f>
        <v>0.008287948175293623</v>
      </c>
    </row>
    <row r="57" spans="2:13" ht="15">
      <c r="B57" s="454"/>
      <c r="C57" s="362"/>
      <c r="D57" s="471" t="s">
        <v>733</v>
      </c>
      <c r="E57" s="472">
        <v>0</v>
      </c>
      <c r="F57" s="472">
        <v>0</v>
      </c>
      <c r="G57" s="472">
        <v>0</v>
      </c>
      <c r="J57" s="51" t="s">
        <v>1226</v>
      </c>
      <c r="K57" s="41">
        <f>E85/E4</f>
        <v>0.055638920707242856</v>
      </c>
      <c r="L57" s="41">
        <f>F85/F4</f>
        <v>0.0778989424074157</v>
      </c>
      <c r="M57" s="41">
        <f>G85/G4</f>
        <v>0.10838893067771466</v>
      </c>
    </row>
    <row r="58" spans="2:13" ht="15">
      <c r="B58" s="10"/>
      <c r="J58" s="51" t="s">
        <v>644</v>
      </c>
      <c r="K58" s="41">
        <f>E94/E4</f>
        <v>0.04354275992207588</v>
      </c>
      <c r="L58" s="41">
        <f>F94/F4</f>
        <v>0.04638447121031593</v>
      </c>
      <c r="M58" s="41">
        <f>G94/G4</f>
        <v>0.04561316740166251</v>
      </c>
    </row>
    <row r="59" spans="3:13" ht="15">
      <c r="C59" s="313"/>
      <c r="D59" s="313"/>
      <c r="E59" s="68"/>
      <c r="J59" s="51" t="s">
        <v>1227</v>
      </c>
      <c r="K59" s="41">
        <f>E103/E4</f>
        <v>0.20522284754361753</v>
      </c>
      <c r="L59" s="41">
        <f>F103/F4</f>
        <v>0.2873241652301502</v>
      </c>
      <c r="M59" s="41">
        <f>G103/G4</f>
        <v>0.5159542913534242</v>
      </c>
    </row>
    <row r="60" spans="2:13" ht="15">
      <c r="B60" s="10" t="s">
        <v>1549</v>
      </c>
      <c r="C60" s="313"/>
      <c r="D60" s="466" t="str">
        <f>D10</f>
        <v>2013 steel production</v>
      </c>
      <c r="E60" s="757" t="s">
        <v>749</v>
      </c>
      <c r="F60" s="757"/>
      <c r="G60" s="757"/>
      <c r="J60" s="51" t="s">
        <v>1228</v>
      </c>
      <c r="K60" s="41">
        <f>E112/E4</f>
        <v>0.007402279375499101</v>
      </c>
      <c r="L60" s="41">
        <f>F112/F4</f>
        <v>0.010800471931917969</v>
      </c>
      <c r="M60" s="41">
        <f>G112/G4</f>
        <v>0.023386454897471827</v>
      </c>
    </row>
    <row r="61" spans="2:13" ht="15">
      <c r="B61" s="463" t="s">
        <v>578</v>
      </c>
      <c r="C61" s="313"/>
      <c r="D61" s="477">
        <f>D11</f>
        <v>3149345</v>
      </c>
      <c r="E61" s="12" t="s">
        <v>632</v>
      </c>
      <c r="F61" s="12" t="s">
        <v>633</v>
      </c>
      <c r="G61" s="12" t="s">
        <v>634</v>
      </c>
      <c r="K61" s="9"/>
      <c r="L61" s="9"/>
      <c r="M61" s="9"/>
    </row>
    <row r="62" spans="2:13" ht="15">
      <c r="B62" s="10"/>
      <c r="C62" s="441" t="s">
        <v>1544</v>
      </c>
      <c r="E62" s="478">
        <f>'Other area sources'!E4*'Diffuse emissions summary'!$D$61/1000000</f>
        <v>113.39146320171726</v>
      </c>
      <c r="F62" s="478">
        <f>'Other area sources'!F4*'Diffuse emissions summary'!$D$61/1000000</f>
        <v>75.97228034515055</v>
      </c>
      <c r="G62" s="478">
        <f>'Other area sources'!G4*'Diffuse emissions summary'!$D$61/1000000</f>
        <v>18.14263411227476</v>
      </c>
      <c r="K62" s="67">
        <f>SUM(K50:K61)</f>
        <v>1</v>
      </c>
      <c r="L62" s="67">
        <f>SUM(L50:L61)</f>
        <v>1.0000000000000002</v>
      </c>
      <c r="M62" s="67">
        <f>SUM(M50:M61)</f>
        <v>1</v>
      </c>
    </row>
    <row r="63" spans="2:7" ht="15">
      <c r="B63" s="10"/>
      <c r="C63" s="441" t="s">
        <v>1545</v>
      </c>
      <c r="E63" s="478">
        <f>'Other area sources'!E5*'Diffuse emissions summary'!$D$61/1000000</f>
        <v>96.13624054058637</v>
      </c>
      <c r="F63" s="478">
        <f>'Other area sources'!F5*'Diffuse emissions summary'!$D$61/1000000</f>
        <v>64.41128116219286</v>
      </c>
      <c r="G63" s="478">
        <f>'Other area sources'!G5*'Diffuse emissions summary'!$D$61/1000000</f>
        <v>15.38179848649382</v>
      </c>
    </row>
    <row r="64" spans="2:7" ht="15">
      <c r="B64" s="10"/>
      <c r="C64" s="441" t="s">
        <v>1546</v>
      </c>
      <c r="E64" s="478">
        <f>'Other area sources'!E6*'Diffuse emissions summary'!$D$61/1000000</f>
        <v>69.02089064452355</v>
      </c>
      <c r="F64" s="478">
        <f>'Other area sources'!F6*'Diffuse emissions summary'!$D$61/1000000</f>
        <v>46.24399673183077</v>
      </c>
      <c r="G64" s="478">
        <f>'Other area sources'!G6*'Diffuse emissions summary'!$D$61/1000000</f>
        <v>11.043342503123768</v>
      </c>
    </row>
    <row r="65" spans="2:7" ht="15">
      <c r="B65" s="10"/>
      <c r="C65" s="441" t="s">
        <v>1547</v>
      </c>
      <c r="E65" s="478">
        <f>'Other area sources'!E7*'Diffuse emissions summary'!$D$61/1000000</f>
        <v>52.998183887759154</v>
      </c>
      <c r="F65" s="478">
        <f>'Other area sources'!F7*'Diffuse emissions summary'!$D$61/1000000</f>
        <v>35.50878320479863</v>
      </c>
      <c r="G65" s="478">
        <f>'Other area sources'!G7*'Diffuse emissions summary'!$D$61/1000000</f>
        <v>8.479709422041465</v>
      </c>
    </row>
    <row r="66" spans="2:7" ht="15">
      <c r="B66" s="10"/>
      <c r="C66" s="441" t="s">
        <v>1548</v>
      </c>
      <c r="E66" s="478">
        <f>'Other area sources'!E8*'Diffuse emissions summary'!$D$61/1000000</f>
        <v>33.27792941789528</v>
      </c>
      <c r="F66" s="478">
        <f>'Other area sources'!F8*'Diffuse emissions summary'!$D$61/1000000</f>
        <v>22.296212709989838</v>
      </c>
      <c r="G66" s="478">
        <f>'Other area sources'!G8*'Diffuse emissions summary'!$D$61/1000000</f>
        <v>5.324468706863245</v>
      </c>
    </row>
    <row r="67" spans="2:7" ht="15">
      <c r="B67" s="10"/>
      <c r="C67" s="441" t="s">
        <v>607</v>
      </c>
      <c r="E67" s="478">
        <f>'Other area sources'!E9*'Diffuse emissions summary'!$D$61/1000000</f>
        <v>19.720254469863864</v>
      </c>
      <c r="F67" s="478">
        <f>'Other area sources'!F9*'Diffuse emissions summary'!$D$61/1000000</f>
        <v>13.21257049480879</v>
      </c>
      <c r="G67" s="478">
        <f>'Other area sources'!G9*'Diffuse emissions summary'!$D$61/1000000</f>
        <v>3.155240715178218</v>
      </c>
    </row>
    <row r="68" spans="2:7" ht="15">
      <c r="B68" s="10"/>
      <c r="D68" s="66" t="s">
        <v>733</v>
      </c>
      <c r="E68" s="474">
        <f>SUM(E62:E67)</f>
        <v>384.5449621623455</v>
      </c>
      <c r="F68" s="474">
        <f>SUM(F62:F67)</f>
        <v>257.64512464877146</v>
      </c>
      <c r="G68" s="474">
        <f>SUM(G62:G67)</f>
        <v>61.52719394597527</v>
      </c>
    </row>
    <row r="69" spans="2:7" ht="15">
      <c r="B69" s="10"/>
      <c r="D69" s="439"/>
      <c r="E69" s="440"/>
      <c r="F69" s="440"/>
      <c r="G69" s="440"/>
    </row>
    <row r="70" ht="15">
      <c r="B70" s="10" t="s">
        <v>105</v>
      </c>
    </row>
    <row r="71" spans="2:7" ht="15">
      <c r="B71" s="10"/>
      <c r="D71" s="466" t="str">
        <f>D24</f>
        <v>2013 iron production</v>
      </c>
      <c r="E71" s="757" t="s">
        <v>749</v>
      </c>
      <c r="F71" s="757"/>
      <c r="G71" s="757"/>
    </row>
    <row r="72" spans="2:7" ht="15">
      <c r="B72" s="10"/>
      <c r="D72" s="477">
        <f>D25</f>
        <v>2923402</v>
      </c>
      <c r="E72" s="12" t="s">
        <v>632</v>
      </c>
      <c r="F72" s="12" t="s">
        <v>633</v>
      </c>
      <c r="G72" s="12" t="s">
        <v>634</v>
      </c>
    </row>
    <row r="73" spans="2:7" ht="15">
      <c r="B73" s="10"/>
      <c r="D73" t="s">
        <v>610</v>
      </c>
      <c r="E73" s="464">
        <f>'Sinter Transfer'!E8*$D$72/1000000</f>
        <v>26.238824482446617</v>
      </c>
      <c r="F73" s="464">
        <f>'Sinter Transfer'!F8*$D$72/1000000</f>
        <v>19.679118361834966</v>
      </c>
      <c r="G73" s="464">
        <f>'Sinter Transfer'!G8*$D$72/1000000</f>
        <v>4.2494754303191185</v>
      </c>
    </row>
    <row r="74" spans="2:7" ht="15">
      <c r="B74" s="10"/>
      <c r="D74" t="s">
        <v>1032</v>
      </c>
      <c r="E74" s="464"/>
      <c r="F74" s="464"/>
      <c r="G74" s="464"/>
    </row>
    <row r="75" spans="2:7" ht="15">
      <c r="B75" s="10"/>
      <c r="D75" t="s">
        <v>1033</v>
      </c>
      <c r="E75" s="464"/>
      <c r="F75" s="464"/>
      <c r="G75" s="464"/>
    </row>
    <row r="76" spans="2:7" ht="15">
      <c r="B76" s="10"/>
      <c r="D76" s="66" t="s">
        <v>733</v>
      </c>
      <c r="E76" s="474">
        <f>SUM(E73:E75)</f>
        <v>26.238824482446617</v>
      </c>
      <c r="F76" s="474">
        <f>SUM(F73:F75)</f>
        <v>19.679118361834966</v>
      </c>
      <c r="G76" s="474">
        <f>SUM(G73:G75)</f>
        <v>4.2494754303191185</v>
      </c>
    </row>
    <row r="77" ht="15">
      <c r="B77" s="10"/>
    </row>
    <row r="78" spans="2:8" ht="15">
      <c r="B78" s="491" t="s">
        <v>795</v>
      </c>
      <c r="C78" s="491"/>
      <c r="D78" s="491"/>
      <c r="E78" s="491"/>
      <c r="F78" s="491"/>
      <c r="G78" s="491"/>
      <c r="H78" s="492"/>
    </row>
    <row r="79" ht="14.25"/>
    <row r="80" spans="2:7" ht="15">
      <c r="B80" s="480" t="s">
        <v>69</v>
      </c>
      <c r="C80" s="481"/>
      <c r="D80" s="466" t="s">
        <v>70</v>
      </c>
      <c r="E80" s="778" t="s">
        <v>749</v>
      </c>
      <c r="F80" s="778"/>
      <c r="G80" s="778"/>
    </row>
    <row r="81" spans="2:7" ht="15">
      <c r="B81" s="367" t="s">
        <v>91</v>
      </c>
      <c r="C81" s="367"/>
      <c r="D81" s="466"/>
      <c r="E81" s="368" t="s">
        <v>632</v>
      </c>
      <c r="F81" s="368" t="s">
        <v>633</v>
      </c>
      <c r="G81" s="368" t="s">
        <v>634</v>
      </c>
    </row>
    <row r="82" spans="2:7" ht="15">
      <c r="B82" s="367"/>
      <c r="C82" s="367" t="s">
        <v>597</v>
      </c>
      <c r="D82" s="477">
        <f>SUM(Production!I24:I26)</f>
        <v>1463217</v>
      </c>
      <c r="E82" s="482">
        <f>(Mills!E4*$D$82/1000000)</f>
        <v>119.53669991666668</v>
      </c>
      <c r="F82" s="482">
        <f>(Mills!F4*$D$82/1000000)</f>
        <v>109.97538972</v>
      </c>
      <c r="G82" s="482">
        <f>(Mills!G4*$D$82/1000000)</f>
        <v>55.574201007499994</v>
      </c>
    </row>
    <row r="83" spans="2:7" ht="15">
      <c r="B83" s="367"/>
      <c r="C83" s="527" t="s">
        <v>13</v>
      </c>
      <c r="D83" s="528">
        <f>Production!E28</f>
        <v>3051800.25</v>
      </c>
      <c r="E83" s="529">
        <f>(Mills!E5*$D$83/1000000)</f>
        <v>760.8599637920023</v>
      </c>
      <c r="F83" s="529">
        <f>(Mills!F5*$D$83/1000000)</f>
        <v>700.0015150050486</v>
      </c>
      <c r="G83" s="529">
        <f>(Mills!G5*$D$83/1000000)</f>
        <v>353.73391264618925</v>
      </c>
    </row>
    <row r="84" spans="2:7" ht="14.25">
      <c r="B84" s="367"/>
      <c r="C84" s="527" t="s">
        <v>14</v>
      </c>
      <c r="D84" s="527"/>
      <c r="E84" s="529">
        <f>Mills!E6</f>
        <v>0</v>
      </c>
      <c r="F84" s="529">
        <f>Mills!F6</f>
        <v>0</v>
      </c>
      <c r="G84" s="529">
        <f>Mills!G6</f>
        <v>0</v>
      </c>
    </row>
    <row r="85" spans="2:7" ht="14.25">
      <c r="B85" s="367"/>
      <c r="C85" s="367" t="s">
        <v>597</v>
      </c>
      <c r="D85" s="369" t="s">
        <v>733</v>
      </c>
      <c r="E85" s="483">
        <f>E82</f>
        <v>119.53669991666668</v>
      </c>
      <c r="F85" s="483">
        <f>F82</f>
        <v>109.97538972</v>
      </c>
      <c r="G85" s="483">
        <f>G82</f>
        <v>55.574201007499994</v>
      </c>
    </row>
    <row r="86" ht="14.25"/>
    <row r="87" ht="14.25"/>
    <row r="88" ht="14.25"/>
    <row r="89" spans="2:8" ht="15">
      <c r="B89" s="480" t="s">
        <v>74</v>
      </c>
      <c r="C89" s="481"/>
      <c r="D89" s="466" t="s">
        <v>1045</v>
      </c>
      <c r="E89" s="779" t="s">
        <v>749</v>
      </c>
      <c r="F89" s="779"/>
      <c r="G89" s="779"/>
      <c r="H89" s="58"/>
    </row>
    <row r="90" spans="2:7" ht="15">
      <c r="B90" s="367" t="s">
        <v>91</v>
      </c>
      <c r="C90" s="367"/>
      <c r="D90" s="466"/>
      <c r="E90" s="495" t="s">
        <v>632</v>
      </c>
      <c r="F90" s="495" t="s">
        <v>633</v>
      </c>
      <c r="G90" s="495" t="s">
        <v>634</v>
      </c>
    </row>
    <row r="91" spans="2:7" ht="15">
      <c r="B91" s="367"/>
      <c r="C91" s="367" t="s">
        <v>597</v>
      </c>
      <c r="D91" s="477">
        <f>D72</f>
        <v>2923402</v>
      </c>
      <c r="E91" s="482">
        <f>'BF casthouse'!N25*D91/1000000</f>
        <v>93.548864</v>
      </c>
      <c r="F91" s="482">
        <f>'BF casthouse'!N26*'Diffuse emissions summary'!D91/1000000</f>
        <v>65.4842048</v>
      </c>
      <c r="G91" s="482">
        <f>D91*'BF casthouse'!N27/1000000</f>
        <v>23.387216</v>
      </c>
    </row>
    <row r="92" spans="2:7" ht="15">
      <c r="B92" s="367"/>
      <c r="C92" s="527" t="s">
        <v>789</v>
      </c>
      <c r="D92" s="528"/>
      <c r="E92" s="529">
        <f>(Mills!E13*$D$83/1000000)</f>
        <v>0</v>
      </c>
      <c r="F92" s="529">
        <f>(Mills!F13*$D$83/1000000)</f>
        <v>0</v>
      </c>
      <c r="G92" s="529">
        <f>(Mills!G13*$D$83/1000000)</f>
        <v>0</v>
      </c>
    </row>
    <row r="93" spans="2:7" ht="14.25">
      <c r="B93" s="367"/>
      <c r="C93" s="527" t="s">
        <v>790</v>
      </c>
      <c r="D93" s="527"/>
      <c r="E93" s="529">
        <f>Mills!E14</f>
        <v>0</v>
      </c>
      <c r="F93" s="529">
        <f>Mills!F14</f>
        <v>0</v>
      </c>
      <c r="G93" s="529">
        <f>Mills!G14</f>
        <v>0</v>
      </c>
    </row>
    <row r="94" spans="2:7" ht="14.25">
      <c r="B94" s="367"/>
      <c r="C94" s="367" t="s">
        <v>597</v>
      </c>
      <c r="D94" s="499" t="s">
        <v>733</v>
      </c>
      <c r="E94" s="483">
        <f>E91</f>
        <v>93.548864</v>
      </c>
      <c r="F94" s="483">
        <f>F91</f>
        <v>65.4842048</v>
      </c>
      <c r="G94" s="483">
        <f>G91</f>
        <v>23.387216</v>
      </c>
    </row>
    <row r="95" ht="14.25"/>
    <row r="96" ht="14.25"/>
    <row r="97" ht="14.25"/>
    <row r="98" spans="2:7" ht="15">
      <c r="B98" s="480" t="s">
        <v>75</v>
      </c>
      <c r="C98" s="481"/>
      <c r="D98" s="466" t="s">
        <v>70</v>
      </c>
      <c r="E98" s="770" t="s">
        <v>749</v>
      </c>
      <c r="F98" s="771"/>
      <c r="G98" s="772"/>
    </row>
    <row r="99" spans="2:7" ht="14.25">
      <c r="B99" s="367" t="s">
        <v>91</v>
      </c>
      <c r="C99" s="367"/>
      <c r="E99" s="495" t="s">
        <v>632</v>
      </c>
      <c r="F99" s="495" t="s">
        <v>633</v>
      </c>
      <c r="G99" s="495" t="s">
        <v>634</v>
      </c>
    </row>
    <row r="100" spans="2:7" ht="15">
      <c r="B100" s="367"/>
      <c r="C100" s="367" t="s">
        <v>597</v>
      </c>
      <c r="D100" s="477">
        <f>Production!I21</f>
        <v>3149345</v>
      </c>
      <c r="E100" s="482">
        <f>'BOS roof'!A17*D100/1000000</f>
        <v>440.9083</v>
      </c>
      <c r="F100" s="482">
        <f>E100*'BOS roof'!H4</f>
        <v>405.63563600000003</v>
      </c>
      <c r="G100" s="482">
        <f>E100*'BOS roof'!H5</f>
        <v>264.54498</v>
      </c>
    </row>
    <row r="101" spans="2:7" ht="15">
      <c r="B101" s="367"/>
      <c r="C101" s="527" t="s">
        <v>598</v>
      </c>
      <c r="D101" s="528"/>
      <c r="E101" s="529">
        <f>'BOS roof'!D3*D101/1000000</f>
        <v>0</v>
      </c>
      <c r="F101" s="529"/>
      <c r="G101" s="529"/>
    </row>
    <row r="102" spans="2:7" ht="14.25">
      <c r="B102" s="367"/>
      <c r="C102" s="367"/>
      <c r="D102" s="498"/>
      <c r="E102" s="482"/>
      <c r="F102" s="482"/>
      <c r="G102" s="482"/>
    </row>
    <row r="103" spans="2:7" ht="14.25">
      <c r="B103" s="367"/>
      <c r="C103" s="367" t="s">
        <v>597</v>
      </c>
      <c r="D103" s="499" t="s">
        <v>733</v>
      </c>
      <c r="E103" s="483">
        <f>E100</f>
        <v>440.9083</v>
      </c>
      <c r="F103" s="483">
        <f>F100</f>
        <v>405.63563600000003</v>
      </c>
      <c r="G103" s="483">
        <f>G100</f>
        <v>264.54498</v>
      </c>
    </row>
    <row r="104" ht="14.25"/>
    <row r="105" ht="14.25"/>
    <row r="106" ht="14.25"/>
    <row r="107" spans="2:7" ht="15">
      <c r="B107" s="480" t="s">
        <v>76</v>
      </c>
      <c r="C107" s="481"/>
      <c r="D107" s="466" t="s">
        <v>1233</v>
      </c>
      <c r="E107" s="773" t="s">
        <v>749</v>
      </c>
      <c r="F107" s="774"/>
      <c r="G107" s="775"/>
    </row>
    <row r="108" spans="2:7" ht="15">
      <c r="B108" s="367" t="s">
        <v>91</v>
      </c>
      <c r="C108" s="367"/>
      <c r="D108" s="466"/>
      <c r="E108" s="495" t="s">
        <v>632</v>
      </c>
      <c r="F108" s="495" t="s">
        <v>633</v>
      </c>
      <c r="G108" s="495" t="s">
        <v>634</v>
      </c>
    </row>
    <row r="109" spans="2:7" ht="15">
      <c r="B109" s="367"/>
      <c r="C109" s="367" t="s">
        <v>1235</v>
      </c>
      <c r="D109" s="477">
        <f>Production!I16</f>
        <v>1040243</v>
      </c>
      <c r="E109" s="482">
        <f>'Coke DLCF &amp; TLCF'!G41*'Diffuse emissions summary'!$D$109/1000000</f>
        <v>15.903328769876396</v>
      </c>
      <c r="F109" s="482">
        <f>'Coke DLCF &amp; TLCF'!H41*'Diffuse emissions summary'!$D$109/1000000</f>
        <v>15.247782231245376</v>
      </c>
      <c r="G109" s="482">
        <f>'Coke DLCF &amp; TLCF'!I41*'Diffuse emissions summary'!$D$109/1000000</f>
        <v>11.990925062167385</v>
      </c>
    </row>
    <row r="110" spans="2:7" ht="15">
      <c r="B110" s="367"/>
      <c r="C110" s="527" t="s">
        <v>1234</v>
      </c>
      <c r="D110" s="528"/>
      <c r="E110" s="529">
        <f>(Mills!E31*$D$83/1000000)</f>
        <v>0</v>
      </c>
      <c r="F110" s="529">
        <f>(Mills!F31*$D$83/1000000)</f>
        <v>0</v>
      </c>
      <c r="G110" s="529">
        <f>(Mills!G31*$D$83/1000000)</f>
        <v>0</v>
      </c>
    </row>
    <row r="111" spans="2:7" ht="14.25">
      <c r="B111" s="367"/>
      <c r="C111" s="527"/>
      <c r="D111" s="527"/>
      <c r="E111" s="529">
        <f>Mills!E32</f>
        <v>0</v>
      </c>
      <c r="F111" s="529">
        <f>Mills!F32</f>
        <v>0</v>
      </c>
      <c r="G111" s="529">
        <f>Mills!G32</f>
        <v>0</v>
      </c>
    </row>
    <row r="112" spans="2:7" ht="14.25">
      <c r="B112" s="367"/>
      <c r="C112" s="367" t="s">
        <v>597</v>
      </c>
      <c r="D112" s="499" t="s">
        <v>733</v>
      </c>
      <c r="E112" s="483">
        <f>E109</f>
        <v>15.903328769876396</v>
      </c>
      <c r="F112" s="483">
        <f>F109</f>
        <v>15.247782231245376</v>
      </c>
      <c r="G112" s="483">
        <f>G109</f>
        <v>11.990925062167385</v>
      </c>
    </row>
  </sheetData>
  <sheetProtection/>
  <mergeCells count="14">
    <mergeCell ref="E2:G2"/>
    <mergeCell ref="E45:G45"/>
    <mergeCell ref="E55:G55"/>
    <mergeCell ref="E49:G49"/>
    <mergeCell ref="E80:G80"/>
    <mergeCell ref="E89:G89"/>
    <mergeCell ref="E60:G60"/>
    <mergeCell ref="E71:G71"/>
    <mergeCell ref="K48:M48"/>
    <mergeCell ref="E10:G10"/>
    <mergeCell ref="E24:G24"/>
    <mergeCell ref="E30:G30"/>
    <mergeCell ref="E98:G98"/>
    <mergeCell ref="E107:G107"/>
  </mergeCells>
  <printOptions/>
  <pageMargins left="0.75" right="0.75" top="1" bottom="1" header="0.5" footer="0.5"/>
  <pageSetup fitToHeight="1" fitToWidth="1" horizontalDpi="600" verticalDpi="600" orientation="portrait" paperSize="9" scale="59"/>
  <headerFooter alignWithMargins="0">
    <oddHeader>&amp;C&amp;Z&amp;F
&amp;A</oddHeader>
    <oddFooter>&amp;L&amp;D&amp;R93008.02</oddFooter>
  </headerFooter>
  <drawing r:id="rId3"/>
  <legacyDrawing r:id="rId2"/>
</worksheet>
</file>

<file path=xl/worksheets/sheet8.xml><?xml version="1.0" encoding="utf-8"?>
<worksheet xmlns="http://schemas.openxmlformats.org/spreadsheetml/2006/main" xmlns:r="http://schemas.openxmlformats.org/officeDocument/2006/relationships">
  <dimension ref="B1:K45"/>
  <sheetViews>
    <sheetView zoomScalePageLayoutView="0" workbookViewId="0" topLeftCell="A13">
      <selection activeCell="A1" sqref="A1:IV12"/>
    </sheetView>
  </sheetViews>
  <sheetFormatPr defaultColWidth="9.00390625" defaultRowHeight="14.25"/>
  <cols>
    <col min="2" max="2" width="18.00390625" style="0" customWidth="1"/>
    <col min="3" max="3" width="11.25390625" style="0" customWidth="1"/>
    <col min="4" max="6" width="12.625" style="0" customWidth="1"/>
    <col min="7" max="7" width="12.625" style="9" customWidth="1"/>
    <col min="8" max="8" width="12.625" style="0" customWidth="1"/>
    <col min="9" max="9" width="12.625" style="9" customWidth="1"/>
    <col min="10" max="11" width="12.625" style="0" customWidth="1"/>
  </cols>
  <sheetData>
    <row r="1" spans="2:7" ht="15" hidden="1" thickBot="1">
      <c r="B1" t="s">
        <v>794</v>
      </c>
      <c r="D1">
        <v>2007</v>
      </c>
      <c r="E1" s="9">
        <v>2007</v>
      </c>
      <c r="F1" s="9">
        <v>2013</v>
      </c>
      <c r="G1" s="9">
        <v>2007</v>
      </c>
    </row>
    <row r="2" spans="2:9" ht="16.5" hidden="1" thickBot="1" thickTop="1">
      <c r="B2" s="1" t="s">
        <v>595</v>
      </c>
      <c r="C2" s="2" t="s">
        <v>596</v>
      </c>
      <c r="D2" s="3" t="s">
        <v>597</v>
      </c>
      <c r="E2" s="458" t="s">
        <v>598</v>
      </c>
      <c r="F2" s="436" t="s">
        <v>597</v>
      </c>
      <c r="G2" s="9" t="s">
        <v>750</v>
      </c>
      <c r="I2" s="530" t="s">
        <v>982</v>
      </c>
    </row>
    <row r="3" spans="2:9" ht="58.5" hidden="1" thickBot="1">
      <c r="B3" s="4" t="s">
        <v>599</v>
      </c>
      <c r="C3" s="5" t="s">
        <v>600</v>
      </c>
      <c r="D3" s="6">
        <v>1403807</v>
      </c>
      <c r="E3" s="459">
        <v>944745</v>
      </c>
      <c r="F3" s="437">
        <v>1040243</v>
      </c>
      <c r="G3" s="18">
        <f>E3/D3</f>
        <v>0.6729878110025096</v>
      </c>
      <c r="I3" s="452">
        <v>918424</v>
      </c>
    </row>
    <row r="4" spans="2:9" ht="15.75" hidden="1" thickBot="1">
      <c r="B4" s="435"/>
      <c r="C4" s="5" t="s">
        <v>1538</v>
      </c>
      <c r="D4" s="6"/>
      <c r="E4" s="459"/>
      <c r="F4" s="437">
        <v>623014</v>
      </c>
      <c r="G4" s="18"/>
      <c r="I4" s="452"/>
    </row>
    <row r="5" spans="2:9" ht="15.75" hidden="1" thickBot="1">
      <c r="B5" s="435"/>
      <c r="C5" s="5" t="s">
        <v>281</v>
      </c>
      <c r="D5" s="6"/>
      <c r="E5" s="459"/>
      <c r="F5" s="437">
        <v>417229</v>
      </c>
      <c r="G5" s="18"/>
      <c r="I5" s="452"/>
    </row>
    <row r="6" spans="2:9" ht="58.5" hidden="1" thickBot="1">
      <c r="B6" s="780" t="s">
        <v>602</v>
      </c>
      <c r="C6" s="5" t="s">
        <v>603</v>
      </c>
      <c r="D6" s="6">
        <v>5004775</v>
      </c>
      <c r="E6" s="459">
        <v>4405515</v>
      </c>
      <c r="F6" s="437">
        <v>2928909</v>
      </c>
      <c r="G6" s="18">
        <f>E6/D6</f>
        <v>0.8802623494562692</v>
      </c>
      <c r="I6" s="531">
        <v>4040833</v>
      </c>
    </row>
    <row r="7" spans="2:9" ht="44.25" hidden="1" thickBot="1">
      <c r="B7" s="781"/>
      <c r="C7" s="5" t="s">
        <v>604</v>
      </c>
      <c r="D7" s="7" t="s">
        <v>601</v>
      </c>
      <c r="E7" s="460" t="s">
        <v>601</v>
      </c>
      <c r="F7" s="437"/>
      <c r="I7" s="531"/>
    </row>
    <row r="8" spans="2:9" ht="15.75" customHeight="1" hidden="1" thickBot="1">
      <c r="B8" s="4" t="s">
        <v>605</v>
      </c>
      <c r="C8" s="5" t="s">
        <v>606</v>
      </c>
      <c r="D8" s="6">
        <v>4000000</v>
      </c>
      <c r="E8" s="459">
        <v>3855281</v>
      </c>
      <c r="F8" s="437">
        <v>2923402</v>
      </c>
      <c r="G8" s="18">
        <f>E8/D8</f>
        <v>0.96382025</v>
      </c>
      <c r="I8" s="531">
        <v>3791967</v>
      </c>
    </row>
    <row r="9" spans="2:9" ht="58.5" hidden="1" thickBot="1">
      <c r="B9" s="4" t="s">
        <v>607</v>
      </c>
      <c r="C9" s="5" t="s">
        <v>608</v>
      </c>
      <c r="D9" s="6">
        <v>4000000</v>
      </c>
      <c r="E9" s="459">
        <v>4413899</v>
      </c>
      <c r="F9" s="437">
        <v>3149345</v>
      </c>
      <c r="G9" s="18">
        <f>E9/D9</f>
        <v>1.10347475</v>
      </c>
      <c r="I9" s="531">
        <v>4083756.11</v>
      </c>
    </row>
    <row r="10" spans="2:9" ht="44.25" hidden="1" thickBot="1">
      <c r="B10" s="446" t="s">
        <v>1034</v>
      </c>
      <c r="C10" s="5" t="s">
        <v>1035</v>
      </c>
      <c r="D10" s="6"/>
      <c r="E10" s="459"/>
      <c r="F10" s="437"/>
      <c r="I10" s="530"/>
    </row>
    <row r="11" spans="2:6" ht="15.75" hidden="1" thickBot="1">
      <c r="B11" s="4"/>
      <c r="C11" s="5"/>
      <c r="D11" s="6"/>
      <c r="E11" s="459"/>
      <c r="F11" s="437"/>
    </row>
    <row r="12" spans="2:6" ht="15.75" hidden="1" thickBot="1">
      <c r="B12" s="4"/>
      <c r="C12" s="5"/>
      <c r="D12" s="6"/>
      <c r="E12" s="8"/>
      <c r="F12" s="437"/>
    </row>
    <row r="13" ht="14.25"/>
    <row r="14" spans="2:10" ht="15.75" thickBot="1">
      <c r="B14" s="463" t="s">
        <v>597</v>
      </c>
      <c r="C14" s="510"/>
      <c r="D14" s="510"/>
      <c r="E14" s="510"/>
      <c r="F14" s="510"/>
      <c r="G14" s="511"/>
      <c r="H14" s="510"/>
      <c r="I14" s="511"/>
      <c r="J14" s="510"/>
    </row>
    <row r="15" spans="2:11" ht="14.25">
      <c r="B15" s="512" t="s">
        <v>1037</v>
      </c>
      <c r="C15" s="513">
        <v>2004</v>
      </c>
      <c r="D15" s="513">
        <v>2007</v>
      </c>
      <c r="E15" s="513">
        <v>2009</v>
      </c>
      <c r="F15" s="513">
        <v>2010</v>
      </c>
      <c r="G15" s="513">
        <v>2011</v>
      </c>
      <c r="H15" s="513">
        <v>2012</v>
      </c>
      <c r="I15" s="513">
        <v>2013</v>
      </c>
      <c r="J15" s="513">
        <v>2014</v>
      </c>
      <c r="K15" s="513">
        <v>2015</v>
      </c>
    </row>
    <row r="16" spans="2:11" ht="14.25">
      <c r="B16" s="524" t="s">
        <v>1537</v>
      </c>
      <c r="C16" s="514">
        <v>1357008</v>
      </c>
      <c r="D16" s="514">
        <v>1403807</v>
      </c>
      <c r="E16" s="514">
        <v>1041162.5830957545</v>
      </c>
      <c r="F16" s="515">
        <v>1170290.5</v>
      </c>
      <c r="G16" s="515">
        <v>1187709</v>
      </c>
      <c r="H16" s="515">
        <v>1062918</v>
      </c>
      <c r="I16" s="522">
        <v>1040243</v>
      </c>
      <c r="J16" s="516"/>
      <c r="K16" s="516"/>
    </row>
    <row r="17" spans="2:11" ht="14.25">
      <c r="B17" s="524" t="s">
        <v>281</v>
      </c>
      <c r="C17" s="514"/>
      <c r="D17" s="514"/>
      <c r="E17" s="514">
        <v>503949.8025628991</v>
      </c>
      <c r="F17" s="515">
        <v>566891.5</v>
      </c>
      <c r="G17" s="515">
        <v>570915</v>
      </c>
      <c r="H17" s="515">
        <v>463747</v>
      </c>
      <c r="I17" s="522">
        <v>417229</v>
      </c>
      <c r="J17" s="516"/>
      <c r="K17" s="516"/>
    </row>
    <row r="18" spans="2:11" ht="14.25">
      <c r="B18" s="524" t="s">
        <v>1538</v>
      </c>
      <c r="C18" s="514"/>
      <c r="D18" s="514"/>
      <c r="E18" s="514">
        <v>537212.7805328554</v>
      </c>
      <c r="F18" s="515">
        <v>603399</v>
      </c>
      <c r="G18" s="517">
        <v>616794</v>
      </c>
      <c r="H18" s="515">
        <v>599171</v>
      </c>
      <c r="I18" s="522">
        <v>623014</v>
      </c>
      <c r="J18" s="516"/>
      <c r="K18" s="516"/>
    </row>
    <row r="19" spans="2:11" ht="14.25">
      <c r="B19" s="524" t="s">
        <v>1539</v>
      </c>
      <c r="C19" s="514"/>
      <c r="D19" s="514">
        <v>5004775</v>
      </c>
      <c r="E19" s="514">
        <v>3116089</v>
      </c>
      <c r="F19" s="515">
        <v>3464529</v>
      </c>
      <c r="G19" s="515">
        <v>3811393</v>
      </c>
      <c r="H19" s="515">
        <v>3060264</v>
      </c>
      <c r="I19" s="522">
        <v>2928909</v>
      </c>
      <c r="J19" s="516"/>
      <c r="K19" s="516"/>
    </row>
    <row r="20" spans="2:11" ht="14.25">
      <c r="B20" s="524" t="s">
        <v>1540</v>
      </c>
      <c r="C20" s="514"/>
      <c r="D20" s="532">
        <v>4000000</v>
      </c>
      <c r="E20" s="514">
        <v>2359374</v>
      </c>
      <c r="F20" s="515">
        <v>3138183</v>
      </c>
      <c r="G20" s="517">
        <v>3251991</v>
      </c>
      <c r="H20" s="515">
        <v>2854957</v>
      </c>
      <c r="I20" s="522">
        <v>2923402</v>
      </c>
      <c r="J20" s="516"/>
      <c r="K20" s="516"/>
    </row>
    <row r="21" spans="2:11" ht="14.25">
      <c r="B21" s="524" t="s">
        <v>1541</v>
      </c>
      <c r="C21" s="514">
        <v>3813756</v>
      </c>
      <c r="D21" s="532">
        <v>4000000</v>
      </c>
      <c r="E21" s="514">
        <v>2634880</v>
      </c>
      <c r="F21" s="515">
        <v>3108872</v>
      </c>
      <c r="G21" s="515">
        <v>3396364</v>
      </c>
      <c r="H21" s="515">
        <v>3107854</v>
      </c>
      <c r="I21" s="522">
        <v>3149345</v>
      </c>
      <c r="J21" s="516"/>
      <c r="K21" s="516"/>
    </row>
    <row r="22" spans="2:11" ht="14.25">
      <c r="B22" s="524" t="s">
        <v>1542</v>
      </c>
      <c r="C22" s="514"/>
      <c r="D22" s="514"/>
      <c r="E22" s="514">
        <v>170702.1124</v>
      </c>
      <c r="F22" s="515">
        <v>234377</v>
      </c>
      <c r="G22" s="517">
        <v>262894</v>
      </c>
      <c r="H22" s="515">
        <v>257779</v>
      </c>
      <c r="I22" s="522">
        <v>204643</v>
      </c>
      <c r="J22" s="516"/>
      <c r="K22" s="516"/>
    </row>
    <row r="23" spans="2:11" ht="15" thickBot="1">
      <c r="B23" s="525" t="s">
        <v>1543</v>
      </c>
      <c r="C23" s="518"/>
      <c r="D23" s="518"/>
      <c r="E23" s="518">
        <v>492251.8876</v>
      </c>
      <c r="F23" s="519">
        <v>562340</v>
      </c>
      <c r="G23" s="520">
        <v>569401</v>
      </c>
      <c r="H23" s="519">
        <v>508387</v>
      </c>
      <c r="I23" s="523">
        <v>571346</v>
      </c>
      <c r="J23" s="521"/>
      <c r="K23" s="521"/>
    </row>
    <row r="24" spans="2:11" ht="14.25">
      <c r="B24" s="524" t="s">
        <v>1038</v>
      </c>
      <c r="C24" s="514"/>
      <c r="D24" s="514"/>
      <c r="E24" s="514"/>
      <c r="F24" s="515"/>
      <c r="G24" s="515"/>
      <c r="H24" s="515"/>
      <c r="I24" s="522">
        <v>385604</v>
      </c>
      <c r="J24" s="516"/>
      <c r="K24" s="516"/>
    </row>
    <row r="25" spans="2:11" ht="14.25">
      <c r="B25" s="524" t="s">
        <v>1039</v>
      </c>
      <c r="C25" s="514"/>
      <c r="D25" s="514"/>
      <c r="E25" s="514"/>
      <c r="F25" s="515"/>
      <c r="G25" s="517"/>
      <c r="H25" s="515"/>
      <c r="I25" s="522">
        <v>656330</v>
      </c>
      <c r="J25" s="516"/>
      <c r="K25" s="516"/>
    </row>
    <row r="26" spans="2:11" ht="15" thickBot="1">
      <c r="B26" s="525" t="s">
        <v>1040</v>
      </c>
      <c r="C26" s="518"/>
      <c r="D26" s="518"/>
      <c r="E26" s="518"/>
      <c r="F26" s="519"/>
      <c r="G26" s="520"/>
      <c r="H26" s="519"/>
      <c r="I26" s="523">
        <v>421283</v>
      </c>
      <c r="J26" s="521"/>
      <c r="K26" s="521"/>
    </row>
    <row r="27" spans="2:7" ht="14.25">
      <c r="B27" s="447"/>
      <c r="C27" s="448"/>
      <c r="D27" s="449"/>
      <c r="E27" s="450"/>
      <c r="F27" s="449"/>
      <c r="G27" s="449"/>
    </row>
    <row r="28" spans="2:7" ht="57">
      <c r="B28" s="362" t="s">
        <v>598</v>
      </c>
      <c r="C28" s="451" t="s">
        <v>1286</v>
      </c>
      <c r="D28" s="362"/>
      <c r="E28" s="452">
        <v>3051800.25</v>
      </c>
      <c r="F28" s="390"/>
      <c r="G28"/>
    </row>
    <row r="29" spans="2:6" ht="57">
      <c r="B29" s="362" t="s">
        <v>598</v>
      </c>
      <c r="C29" s="451" t="s">
        <v>1287</v>
      </c>
      <c r="D29" s="362"/>
      <c r="E29" s="452">
        <v>1085741.91</v>
      </c>
      <c r="F29" s="390"/>
    </row>
    <row r="30" spans="2:6" ht="14.25">
      <c r="B30" s="362"/>
      <c r="C30" s="362"/>
      <c r="D30" s="362"/>
      <c r="E30" s="362"/>
      <c r="F30" s="390"/>
    </row>
    <row r="31" spans="2:6" ht="42.75">
      <c r="B31" s="453" t="s">
        <v>1273</v>
      </c>
      <c r="C31" s="451" t="s">
        <v>1270</v>
      </c>
      <c r="D31" s="362"/>
      <c r="E31" s="452">
        <v>5682407</v>
      </c>
      <c r="F31" s="390"/>
    </row>
    <row r="32" spans="2:6" ht="14.25">
      <c r="B32" s="362"/>
      <c r="C32" s="362" t="s">
        <v>1271</v>
      </c>
      <c r="D32" s="362"/>
      <c r="E32" s="452">
        <v>2110386</v>
      </c>
      <c r="F32" s="390"/>
    </row>
    <row r="33" spans="2:6" ht="42.75">
      <c r="B33" s="362"/>
      <c r="C33" s="451" t="s">
        <v>1272</v>
      </c>
      <c r="D33" s="362"/>
      <c r="E33" s="452">
        <v>630273.66</v>
      </c>
      <c r="F33" s="390"/>
    </row>
    <row r="34" ht="14.25"/>
    <row r="35" spans="2:5" ht="14.25">
      <c r="B35" s="362"/>
      <c r="C35" s="362"/>
      <c r="D35" s="362"/>
      <c r="E35" s="452"/>
    </row>
    <row r="36" spans="2:5" ht="14.25">
      <c r="B36" s="362"/>
      <c r="C36" s="362"/>
      <c r="D36" s="362"/>
      <c r="E36" s="362"/>
    </row>
    <row r="37" spans="2:5" ht="15">
      <c r="B37" s="454" t="s">
        <v>825</v>
      </c>
      <c r="C37" s="362"/>
      <c r="D37" s="362"/>
      <c r="E37" s="362"/>
    </row>
    <row r="38" spans="2:5" ht="14.25">
      <c r="B38" s="362"/>
      <c r="C38" s="362"/>
      <c r="D38" s="362"/>
      <c r="E38" s="362"/>
    </row>
    <row r="39" spans="2:5" ht="57">
      <c r="B39" s="362"/>
      <c r="C39" s="455" t="s">
        <v>606</v>
      </c>
      <c r="D39" s="362"/>
      <c r="E39" s="362"/>
    </row>
    <row r="40" spans="2:5" ht="14.25">
      <c r="B40" s="456" t="s">
        <v>823</v>
      </c>
      <c r="C40" s="457">
        <f>7500*365</f>
        <v>2737500</v>
      </c>
      <c r="D40" s="362"/>
      <c r="E40" s="362"/>
    </row>
    <row r="41" spans="2:5" ht="14.25">
      <c r="B41" s="456" t="s">
        <v>824</v>
      </c>
      <c r="C41" s="457">
        <f>6500*365</f>
        <v>2372500</v>
      </c>
      <c r="D41" s="362"/>
      <c r="E41" s="362"/>
    </row>
    <row r="42" spans="2:5" ht="14.25">
      <c r="B42" s="362"/>
      <c r="C42" s="452"/>
      <c r="D42" s="362"/>
      <c r="E42" s="362"/>
    </row>
    <row r="43" spans="2:5" ht="14.25">
      <c r="B43" s="362"/>
      <c r="C43" s="452">
        <f>SUM(C40:C41)</f>
        <v>5110000</v>
      </c>
      <c r="D43" s="362"/>
      <c r="E43" s="362"/>
    </row>
    <row r="44" spans="2:5" ht="14.25">
      <c r="B44" s="362"/>
      <c r="C44" s="362"/>
      <c r="D44" s="362"/>
      <c r="E44" s="362"/>
    </row>
    <row r="45" spans="2:5" ht="14.25">
      <c r="B45" s="362"/>
      <c r="C45" s="362"/>
      <c r="D45" s="362"/>
      <c r="E45" s="362"/>
    </row>
    <row r="50" ht="14.25"/>
    <row r="51" ht="14.25"/>
    <row r="52" ht="14.25"/>
  </sheetData>
  <sheetProtection/>
  <mergeCells count="1">
    <mergeCell ref="B6:B7"/>
  </mergeCells>
  <printOptions/>
  <pageMargins left="0.75" right="0.75" top="1" bottom="1" header="0.5" footer="0.5"/>
  <pageSetup horizontalDpi="600" verticalDpi="600" orientation="portrait" paperSize="9"/>
  <legacyDrawing r:id="rId2"/>
</worksheet>
</file>

<file path=xl/worksheets/sheet9.xml><?xml version="1.0" encoding="utf-8"?>
<worksheet xmlns="http://schemas.openxmlformats.org/spreadsheetml/2006/main" xmlns:r="http://schemas.openxmlformats.org/officeDocument/2006/relationships">
  <dimension ref="A1:K17"/>
  <sheetViews>
    <sheetView zoomScalePageLayoutView="0" workbookViewId="0" topLeftCell="A1">
      <selection activeCell="G35" sqref="G35"/>
    </sheetView>
  </sheetViews>
  <sheetFormatPr defaultColWidth="9.00390625" defaultRowHeight="14.25"/>
  <cols>
    <col min="4" max="4" width="19.125" style="0" customWidth="1"/>
    <col min="7" max="7" width="40.375" style="0" customWidth="1"/>
    <col min="10" max="10" width="37.00390625" style="0" customWidth="1"/>
  </cols>
  <sheetData>
    <row r="1" spans="1:11" ht="15" thickBot="1">
      <c r="A1" s="784" t="s">
        <v>40</v>
      </c>
      <c r="B1" s="784" t="s">
        <v>41</v>
      </c>
      <c r="C1" s="784" t="s">
        <v>42</v>
      </c>
      <c r="D1" s="784" t="s">
        <v>43</v>
      </c>
      <c r="E1" s="782" t="s">
        <v>597</v>
      </c>
      <c r="F1" s="782"/>
      <c r="G1" s="782"/>
      <c r="H1" s="783" t="s">
        <v>44</v>
      </c>
      <c r="I1" s="783"/>
      <c r="J1" s="783"/>
      <c r="K1" s="784" t="s">
        <v>45</v>
      </c>
    </row>
    <row r="2" spans="1:11" ht="26.25" thickBot="1">
      <c r="A2" s="785"/>
      <c r="B2" s="785"/>
      <c r="C2" s="785"/>
      <c r="D2" s="785"/>
      <c r="E2" s="432" t="s">
        <v>46</v>
      </c>
      <c r="F2" s="432" t="s">
        <v>613</v>
      </c>
      <c r="G2" s="432" t="s">
        <v>1312</v>
      </c>
      <c r="H2" s="136" t="s">
        <v>46</v>
      </c>
      <c r="I2" s="136" t="s">
        <v>613</v>
      </c>
      <c r="J2" s="136" t="s">
        <v>1312</v>
      </c>
      <c r="K2" s="785"/>
    </row>
    <row r="3" spans="1:11" ht="22.5">
      <c r="A3" s="137" t="s">
        <v>47</v>
      </c>
      <c r="B3" s="138" t="s">
        <v>48</v>
      </c>
      <c r="C3" s="139"/>
      <c r="D3" s="140" t="s">
        <v>49</v>
      </c>
      <c r="E3" s="426">
        <v>1</v>
      </c>
      <c r="F3" s="426" t="s">
        <v>50</v>
      </c>
      <c r="G3" s="427" t="s">
        <v>51</v>
      </c>
      <c r="H3" s="141">
        <v>1</v>
      </c>
      <c r="I3" s="141" t="s">
        <v>50</v>
      </c>
      <c r="J3" s="142" t="s">
        <v>52</v>
      </c>
      <c r="K3" s="786"/>
    </row>
    <row r="4" spans="1:11" ht="14.25">
      <c r="A4" s="143"/>
      <c r="B4" s="144"/>
      <c r="C4" s="145"/>
      <c r="D4" s="146" t="s">
        <v>53</v>
      </c>
      <c r="E4" s="428">
        <v>0.9</v>
      </c>
      <c r="F4" s="428" t="s">
        <v>50</v>
      </c>
      <c r="G4" s="789" t="s">
        <v>54</v>
      </c>
      <c r="H4" s="147">
        <v>0.9</v>
      </c>
      <c r="I4" s="147" t="s">
        <v>50</v>
      </c>
      <c r="J4" s="790" t="s">
        <v>52</v>
      </c>
      <c r="K4" s="787"/>
    </row>
    <row r="5" spans="1:11" ht="14.25">
      <c r="A5" s="143"/>
      <c r="B5" s="144"/>
      <c r="C5" s="145"/>
      <c r="D5" s="146" t="s">
        <v>55</v>
      </c>
      <c r="E5" s="428">
        <v>0.82</v>
      </c>
      <c r="F5" s="428" t="s">
        <v>50</v>
      </c>
      <c r="G5" s="789"/>
      <c r="H5" s="147">
        <v>0.82</v>
      </c>
      <c r="I5" s="147" t="s">
        <v>50</v>
      </c>
      <c r="J5" s="790"/>
      <c r="K5" s="787"/>
    </row>
    <row r="6" spans="1:11" ht="14.25">
      <c r="A6" s="143"/>
      <c r="B6" s="144"/>
      <c r="C6" s="145"/>
      <c r="D6" s="146" t="s">
        <v>56</v>
      </c>
      <c r="E6" s="428">
        <v>0.9</v>
      </c>
      <c r="F6" s="428" t="s">
        <v>50</v>
      </c>
      <c r="G6" s="789"/>
      <c r="H6" s="147">
        <v>0.9</v>
      </c>
      <c r="I6" s="147" t="s">
        <v>50</v>
      </c>
      <c r="J6" s="790"/>
      <c r="K6" s="787"/>
    </row>
    <row r="7" spans="1:11" ht="24">
      <c r="A7" s="143"/>
      <c r="B7" s="144"/>
      <c r="C7" s="145"/>
      <c r="D7" s="146" t="s">
        <v>57</v>
      </c>
      <c r="E7" s="428">
        <v>0.95</v>
      </c>
      <c r="F7" s="428" t="s">
        <v>50</v>
      </c>
      <c r="G7" s="789"/>
      <c r="H7" s="147">
        <v>0.95</v>
      </c>
      <c r="I7" s="147" t="s">
        <v>50</v>
      </c>
      <c r="J7" s="790"/>
      <c r="K7" s="787"/>
    </row>
    <row r="8" spans="1:11" ht="24">
      <c r="A8" s="143"/>
      <c r="B8" s="144"/>
      <c r="C8" s="145"/>
      <c r="D8" s="146" t="s">
        <v>58</v>
      </c>
      <c r="E8" s="428">
        <v>0.1</v>
      </c>
      <c r="F8" s="428" t="s">
        <v>50</v>
      </c>
      <c r="G8" s="789"/>
      <c r="H8" s="147">
        <v>0.1</v>
      </c>
      <c r="I8" s="147" t="s">
        <v>50</v>
      </c>
      <c r="J8" s="790"/>
      <c r="K8" s="787"/>
    </row>
    <row r="9" spans="1:11" ht="14.25">
      <c r="A9" s="143"/>
      <c r="B9" s="144"/>
      <c r="C9" s="145"/>
      <c r="D9" s="146" t="s">
        <v>59</v>
      </c>
      <c r="E9" s="428">
        <v>0.1</v>
      </c>
      <c r="F9" s="428" t="s">
        <v>50</v>
      </c>
      <c r="G9" s="789"/>
      <c r="H9" s="147">
        <v>0.1</v>
      </c>
      <c r="I9" s="147" t="s">
        <v>50</v>
      </c>
      <c r="J9" s="790"/>
      <c r="K9" s="787"/>
    </row>
    <row r="10" spans="1:11" ht="45">
      <c r="A10" s="143"/>
      <c r="B10" s="144"/>
      <c r="C10" s="145"/>
      <c r="D10" s="146" t="s">
        <v>60</v>
      </c>
      <c r="E10" s="428">
        <v>0.96</v>
      </c>
      <c r="F10" s="428" t="s">
        <v>50</v>
      </c>
      <c r="G10" s="429" t="s">
        <v>61</v>
      </c>
      <c r="H10" s="147">
        <v>0.67</v>
      </c>
      <c r="I10" s="147" t="s">
        <v>50</v>
      </c>
      <c r="J10" s="148" t="s">
        <v>62</v>
      </c>
      <c r="K10" s="787"/>
    </row>
    <row r="11" spans="1:11" ht="14.25">
      <c r="A11" s="143"/>
      <c r="B11" s="144"/>
      <c r="C11" s="145"/>
      <c r="D11" s="146" t="s">
        <v>63</v>
      </c>
      <c r="E11" s="428">
        <v>0.46</v>
      </c>
      <c r="F11" s="428" t="s">
        <v>50</v>
      </c>
      <c r="G11" s="789" t="s">
        <v>92</v>
      </c>
      <c r="H11" s="147">
        <v>0.46</v>
      </c>
      <c r="I11" s="147" t="s">
        <v>50</v>
      </c>
      <c r="J11" s="790" t="s">
        <v>52</v>
      </c>
      <c r="K11" s="787"/>
    </row>
    <row r="12" spans="1:11" ht="24">
      <c r="A12" s="143"/>
      <c r="B12" s="144"/>
      <c r="C12" s="145"/>
      <c r="D12" s="146" t="s">
        <v>93</v>
      </c>
      <c r="E12" s="428">
        <v>0.84</v>
      </c>
      <c r="F12" s="428" t="s">
        <v>50</v>
      </c>
      <c r="G12" s="791"/>
      <c r="H12" s="147">
        <v>0.84</v>
      </c>
      <c r="I12" s="147" t="s">
        <v>50</v>
      </c>
      <c r="J12" s="790"/>
      <c r="K12" s="787"/>
    </row>
    <row r="13" spans="1:11" ht="24">
      <c r="A13" s="143"/>
      <c r="B13" s="144"/>
      <c r="C13" s="145"/>
      <c r="D13" s="146" t="s">
        <v>94</v>
      </c>
      <c r="E13" s="428">
        <v>0.86</v>
      </c>
      <c r="F13" s="428" t="s">
        <v>50</v>
      </c>
      <c r="G13" s="791"/>
      <c r="H13" s="147">
        <v>0.86</v>
      </c>
      <c r="I13" s="147" t="s">
        <v>50</v>
      </c>
      <c r="J13" s="790"/>
      <c r="K13" s="787"/>
    </row>
    <row r="14" spans="1:11" ht="14.25">
      <c r="A14" s="143"/>
      <c r="B14" s="144"/>
      <c r="C14" s="145"/>
      <c r="D14" s="146" t="s">
        <v>95</v>
      </c>
      <c r="E14" s="428">
        <v>0.86</v>
      </c>
      <c r="F14" s="428" t="s">
        <v>50</v>
      </c>
      <c r="G14" s="791"/>
      <c r="H14" s="147">
        <v>0.86</v>
      </c>
      <c r="I14" s="147" t="s">
        <v>50</v>
      </c>
      <c r="J14" s="790"/>
      <c r="K14" s="787"/>
    </row>
    <row r="15" spans="1:11" ht="24">
      <c r="A15" s="143"/>
      <c r="B15" s="144"/>
      <c r="C15" s="145"/>
      <c r="D15" s="146" t="s">
        <v>96</v>
      </c>
      <c r="E15" s="428">
        <v>0.86</v>
      </c>
      <c r="F15" s="428" t="s">
        <v>50</v>
      </c>
      <c r="G15" s="791"/>
      <c r="H15" s="147">
        <v>0.86</v>
      </c>
      <c r="I15" s="147" t="s">
        <v>50</v>
      </c>
      <c r="J15" s="790"/>
      <c r="K15" s="787"/>
    </row>
    <row r="16" spans="1:11" ht="45">
      <c r="A16" s="143"/>
      <c r="B16" s="144"/>
      <c r="C16" s="145"/>
      <c r="D16" s="146" t="s">
        <v>97</v>
      </c>
      <c r="E16" s="430" t="s">
        <v>614</v>
      </c>
      <c r="F16" s="430" t="s">
        <v>614</v>
      </c>
      <c r="G16" s="431" t="s">
        <v>1535</v>
      </c>
      <c r="H16" s="147">
        <v>0.85</v>
      </c>
      <c r="I16" s="147" t="s">
        <v>50</v>
      </c>
      <c r="J16" s="148"/>
      <c r="K16" s="787"/>
    </row>
    <row r="17" spans="1:11" ht="24.75" thickBot="1">
      <c r="A17" s="150"/>
      <c r="B17" s="151"/>
      <c r="C17" s="152"/>
      <c r="D17" s="153" t="s">
        <v>99</v>
      </c>
      <c r="E17" s="433">
        <v>220</v>
      </c>
      <c r="F17" s="433" t="s">
        <v>98</v>
      </c>
      <c r="G17" s="434" t="s">
        <v>1536</v>
      </c>
      <c r="H17" s="154">
        <v>0.66</v>
      </c>
      <c r="I17" s="154" t="s">
        <v>50</v>
      </c>
      <c r="J17" s="149"/>
      <c r="K17" s="788"/>
    </row>
  </sheetData>
  <sheetProtection/>
  <mergeCells count="12">
    <mergeCell ref="K1:K2"/>
    <mergeCell ref="K3:K17"/>
    <mergeCell ref="G4:G9"/>
    <mergeCell ref="J4:J9"/>
    <mergeCell ref="G11:G15"/>
    <mergeCell ref="J11:J15"/>
    <mergeCell ref="E1:G1"/>
    <mergeCell ref="H1:J1"/>
    <mergeCell ref="A1:A2"/>
    <mergeCell ref="B1:B2"/>
    <mergeCell ref="C1:C2"/>
    <mergeCell ref="D1:D2"/>
  </mergeCells>
  <printOptions/>
  <pageMargins left="0.75" right="0.75" top="1" bottom="1" header="0.5" footer="0.5"/>
  <pageSetup horizontalDpi="1200" verticalDpi="1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Corus RD&amp;T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Hodges</dc:creator>
  <cp:keywords/>
  <dc:description/>
  <cp:lastModifiedBy>Fiona Devine</cp:lastModifiedBy>
  <cp:lastPrinted>2015-12-22T10:10:29Z</cp:lastPrinted>
  <dcterms:created xsi:type="dcterms:W3CDTF">2011-05-12T16:47:49Z</dcterms:created>
  <dcterms:modified xsi:type="dcterms:W3CDTF">2015-12-22T10:11:21Z</dcterms:modified>
  <cp:category/>
  <cp:version/>
  <cp:contentType/>
  <cp:contentStatus/>
</cp:coreProperties>
</file>