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5416" windowWidth="19185" windowHeight="6345" tabRatio="994" activeTab="0"/>
  </bookViews>
  <sheets>
    <sheet name="July 2013" sheetId="1" r:id="rId1"/>
    <sheet name="June 2013 - Revised" sheetId="2" r:id="rId2"/>
    <sheet name="May 2013 - revised" sheetId="3" r:id="rId3"/>
    <sheet name="April 2013 - Revised" sheetId="4" r:id="rId4"/>
    <sheet name="March 2013 - Revised" sheetId="5" r:id="rId5"/>
    <sheet name="February 2013 - Revised" sheetId="6" r:id="rId6"/>
    <sheet name="January 2013" sheetId="7" r:id="rId7"/>
    <sheet name="December 2012" sheetId="8" r:id="rId8"/>
    <sheet name="November 2012 - Revised" sheetId="9" r:id="rId9"/>
    <sheet name="October 2012-revised" sheetId="10" r:id="rId10"/>
    <sheet name="September2012" sheetId="11" r:id="rId11"/>
    <sheet name="August 2012-revised" sheetId="12" r:id="rId12"/>
    <sheet name="July 2012 - revised" sheetId="13" r:id="rId13"/>
    <sheet name="August 2012" sheetId="14" r:id="rId14"/>
    <sheet name="July 2012" sheetId="15" r:id="rId15"/>
    <sheet name="June 2012" sheetId="16" r:id="rId16"/>
    <sheet name="May 2012" sheetId="17" r:id="rId17"/>
    <sheet name="April 2012" sheetId="18" r:id="rId18"/>
    <sheet name="March 2012" sheetId="19" r:id="rId19"/>
    <sheet name="February 2012" sheetId="20" r:id="rId20"/>
    <sheet name="January 2012" sheetId="21" r:id="rId21"/>
    <sheet name="December 2011" sheetId="22" r:id="rId22"/>
    <sheet name="November 2011" sheetId="23" r:id="rId23"/>
    <sheet name="October 2011" sheetId="24" r:id="rId24"/>
    <sheet name="September 2011" sheetId="25" r:id="rId25"/>
    <sheet name="August 2011" sheetId="26" r:id="rId26"/>
    <sheet name="July 2011" sheetId="27" r:id="rId27"/>
    <sheet name="June 2011" sheetId="28" r:id="rId28"/>
    <sheet name="May 2011" sheetId="29" r:id="rId29"/>
    <sheet name="April 2011" sheetId="30" r:id="rId30"/>
    <sheet name="31 March 10-11" sheetId="31" r:id="rId31"/>
  </sheets>
  <externalReferences>
    <externalReference r:id="rId34"/>
    <externalReference r:id="rId35"/>
  </externalReferences>
  <definedNames>
    <definedName name="List_of_organisations">#REF!</definedName>
    <definedName name="Main_Department">#REF!</definedName>
    <definedName name="Month">#REF!</definedName>
    <definedName name="Organisation_Type">#REF!</definedName>
    <definedName name="_xlnm.Print_Area" localSheetId="30">'31 March 10-11'!$A$4:$AO$24</definedName>
    <definedName name="Yes_No">#REF!</definedName>
  </definedNames>
  <calcPr fullCalcOnLoad="1"/>
</workbook>
</file>

<file path=xl/comments1.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List>
</comments>
</file>

<file path=xl/comments10.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List>
</comments>
</file>

<file path=xl/comments11.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List>
</comments>
</file>

<file path=xl/comments12.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List>
</comments>
</file>

<file path=xl/comments1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List>
</comments>
</file>

<file path=xl/comments18.xml><?xml version="1.0" encoding="utf-8"?>
<comments xmlns="http://schemas.openxmlformats.org/spreadsheetml/2006/main">
  <authors>
    <author>Authorised User</author>
  </authors>
  <commentList>
    <comment ref="R9" authorId="0">
      <text>
        <r>
          <rPr>
            <b/>
            <sz val="8"/>
            <rFont val="Tahoma"/>
            <family val="0"/>
          </rPr>
          <t>Authorised User:</t>
        </r>
        <r>
          <rPr>
            <sz val="8"/>
            <rFont val="Tahoma"/>
            <family val="0"/>
          </rPr>
          <t xml:space="preserve">
Huntress: Home Guard scanning staff</t>
        </r>
      </text>
    </comment>
  </commentList>
</comments>
</file>

<file path=xl/comments2.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List>
</comments>
</file>

<file path=xl/comments3.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List>
</comments>
</file>

<file path=xl/comments5.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List>
</comments>
</file>

<file path=xl/comments6.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List>
</comments>
</file>

<file path=xl/comments7.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List>
</comments>
</file>

<file path=xl/comments8.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List>
</comments>
</file>

<file path=xl/comments9.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List>
</comments>
</file>

<file path=xl/sharedStrings.xml><?xml version="1.0" encoding="utf-8"?>
<sst xmlns="http://schemas.openxmlformats.org/spreadsheetml/2006/main" count="4249" uniqueCount="157">
  <si>
    <r>
      <t xml:space="preserve">STAFFING NUMBERS VALIDATED
</t>
    </r>
    <r>
      <rPr>
        <sz val="10"/>
        <rFont val="Arial"/>
        <family val="2"/>
      </rPr>
      <t>The 35 trusts are independent bodies that are contracted to provide probation services to NOMS. They have their own grading structure which is not directly translatable to the Civil Service grades. All payroll probation staff have therefore been entered under the 'other' category.</t>
    </r>
    <r>
      <rPr>
        <b/>
        <sz val="10"/>
        <color indexed="10"/>
        <rFont val="Arial"/>
        <family val="2"/>
      </rPr>
      <t xml:space="preserve">
</t>
    </r>
    <r>
      <rPr>
        <sz val="10"/>
        <rFont val="Arial"/>
        <family val="2"/>
      </rPr>
      <t xml:space="preserve">A new system for collecting workforce information from the probation trusts was implemented in July 2012. The previous collection system (HR Data Warehouse) was decommissioned at the end of June 2012 and replaced by a series of HR returns to the NOMS Performance Hub. The new collection system enables improved reporting, due to clarification on the funding arrangements of staff seconded out of trusts. NOMS has therefore been able to provide accurate figures on the number of staff that are funded by the probation trusts from July 2012 onwards. These figures will therefore not correlate with figures provided prior to July 2012, as those figures would have included all funded and unfunded staff.
                                                                                                                                                                                                                                        </t>
    </r>
  </si>
  <si>
    <t>June pay costs previously understated. Amended August 2013</t>
  </si>
  <si>
    <t>Pay costs for May previously overstated. Amended August 2013.</t>
  </si>
  <si>
    <r>
      <t>STAFFING NUMBERS VALIDATED</t>
    </r>
    <r>
      <rPr>
        <b/>
        <sz val="9"/>
        <rFont val="Arial"/>
        <family val="2"/>
      </rPr>
      <t xml:space="preserve">
</t>
    </r>
    <r>
      <rPr>
        <sz val="9"/>
        <rFont val="Arial"/>
        <family val="2"/>
      </rPr>
      <t>The 35 trusts are independent bodies that are contracted to provide probation services to NOMS. They have their own grading structure which is not directly translatable to the Civil Service grades. All payroll probation staff have therefore been entered under the 'other' category.
A new system for collecting workforce information from the probation trusts was implemented in July 2012. The previous collection system (HR Data Warehouse) was decommissioned at the end of June 2012 and replaced by a series of HR returns to the NOMS Performance Hub. The new collection system enables improved reporting, due to clarification on the funding arrangements of staff seconded out of trusts. NOMS has therefore been able to provide accurate figures on the number of staff that are funded by the probation trusts from July 2012 onwards. These figures will therefore not correlate with figures provided prior to July 2012, as those figures would have included all funded and unfunded staff.</t>
    </r>
  </si>
  <si>
    <t>April Pay Costs previously understated. Amended August 2013</t>
  </si>
  <si>
    <t>Shows Band E additions from last year's campaign with security clearance.</t>
  </si>
  <si>
    <t>Legal Aid Agency (previously LSC - NDPB)</t>
  </si>
  <si>
    <t>Gradual fulfilment of last campaign to convert agency to payroll continues as security clearances complete.</t>
  </si>
  <si>
    <r>
      <t xml:space="preserve">STAFFING NUMBERS VALIDATED
</t>
    </r>
    <r>
      <rPr>
        <sz val="10"/>
        <rFont val="Arial"/>
        <family val="2"/>
      </rPr>
      <t>The 35 trusts are independent bodies that are contracted to provide probation services to NOMS. They have their own grading structure which is not directly translatable to the Civil Service grades. All payroll probation staff have therefore been entered under the 'other' category.</t>
    </r>
    <r>
      <rPr>
        <b/>
        <sz val="10"/>
        <color indexed="10"/>
        <rFont val="Arial"/>
        <family val="2"/>
      </rPr>
      <t xml:space="preserve">
</t>
    </r>
    <r>
      <rPr>
        <sz val="10"/>
        <rFont val="Arial"/>
        <family val="2"/>
      </rPr>
      <t>A new system for collecting workforce information from the probation trusts was implemented in July 2012. The previous collection system (HR Data Warehouse) was decommissioned at the end of June 2012 and replaced by a series of HR returns to the NOMS Performance Hub. The new collection system enables improved reporting, due to clarification on the funding arrangements of staff seconded out of trusts. NOMS has therefore been able to provide accurate figures on the number of staff that are funded by the probation trusts from July 2012 onwards. These figures will therefore not correlate with figures provided prior to July 2012, as those figures would have included all funded and unfunded staff.</t>
    </r>
  </si>
  <si>
    <t>Only CCL FTE avaialable. Headcount not collected</t>
  </si>
  <si>
    <t>Agency increased this month but planned to decrease on completion of vetting process and staff converting from Agency to FTC towards end of March.</t>
  </si>
  <si>
    <t>Only CCL FTE available. HC not collected.</t>
  </si>
  <si>
    <t>Payroll positions beginning to be filled and work ramping up on programme.</t>
  </si>
  <si>
    <t>Sir David Calvert-Smith took up the role of Chairman on the 1st October 2012 but is paid on our Members payroll and is not included in these figures.</t>
  </si>
  <si>
    <t xml:space="preserve">Main, parent or 
sponsoring department: </t>
  </si>
  <si>
    <t>Organisation 
type</t>
  </si>
  <si>
    <t>Headcount</t>
  </si>
  <si>
    <t>Interim managers</t>
  </si>
  <si>
    <t>Specialist Contractors</t>
  </si>
  <si>
    <t>Other, unknown, or unspecified</t>
  </si>
  <si>
    <t>Grade 6/7</t>
  </si>
  <si>
    <t>Full-time 
equivalent</t>
  </si>
  <si>
    <t>Payroll staff</t>
  </si>
  <si>
    <t>Total
Employees</t>
  </si>
  <si>
    <t>Total</t>
  </si>
  <si>
    <t>Payroll staff costs</t>
  </si>
  <si>
    <t>Organisation name</t>
  </si>
  <si>
    <t>Agency staff 
(clerical/admin)</t>
  </si>
  <si>
    <t>Consultants/consultancy</t>
  </si>
  <si>
    <t>Number of non-payroll staff (contingent labour and consultants/consultancy)</t>
  </si>
  <si>
    <t>Allowances</t>
  </si>
  <si>
    <t>Salary</t>
  </si>
  <si>
    <t>Non-consolidated performance payments</t>
  </si>
  <si>
    <t>Overtime</t>
  </si>
  <si>
    <t>Employer pension contributions</t>
  </si>
  <si>
    <t>Employer national insurance contributions</t>
  </si>
  <si>
    <t>Total non-payroll (CCL) staff costs</t>
  </si>
  <si>
    <t>Total paybill for payroll staff</t>
  </si>
  <si>
    <t>Grand Total paybill/staffing (payroll and non-payroll) costs</t>
  </si>
  <si>
    <t>Grand Total 
(workforce numbers)</t>
  </si>
  <si>
    <t>Total cost of contingent labour: agency (clerical and admin) staff, interim managers and specialist contractors</t>
  </si>
  <si>
    <t>Total cost of consultants/
consultancy</t>
  </si>
  <si>
    <t>Admin officers/admin assistants</t>
  </si>
  <si>
    <t>Executive Officers</t>
  </si>
  <si>
    <t>Higher Executive Officers/Senior Executive Officers</t>
  </si>
  <si>
    <t>Senior Civil Service</t>
  </si>
  <si>
    <t>Non-Payroll staff (contingent labour/consultancy - CCL) costs</t>
  </si>
  <si>
    <t>Comments and notes</t>
  </si>
  <si>
    <t>Ministry of Justice</t>
  </si>
  <si>
    <t>Ministerial Department</t>
  </si>
  <si>
    <t>HM Courts Service</t>
  </si>
  <si>
    <t>Executive Agency</t>
  </si>
  <si>
    <t>Land Registry</t>
  </si>
  <si>
    <t>Non-Ministerial Department</t>
  </si>
  <si>
    <t>£689,169.52  </t>
  </si>
  <si>
    <t>National Archives</t>
  </si>
  <si>
    <t>National Offender Management Service</t>
  </si>
  <si>
    <t>Scotland Office</t>
  </si>
  <si>
    <t>The Office of the Public Guardian</t>
  </si>
  <si>
    <t>Tribunals Service</t>
  </si>
  <si>
    <t>UK Supreme Court</t>
  </si>
  <si>
    <t>Wales Office</t>
  </si>
  <si>
    <t>Criminal Cases Review Commission</t>
  </si>
  <si>
    <t>Executive Non-Departmental Public Body</t>
  </si>
  <si>
    <t>This data does not include Commissioners and Non-Executive Directors as they are office holders and not employees.
The Commission employees are not Civil Servants and therefore Civil Service grades are not applied to their roles.</t>
  </si>
  <si>
    <t>Criminal Injuries Compensation Authority</t>
  </si>
  <si>
    <t>Information Commissioner's Office</t>
  </si>
  <si>
    <t>Judicial Appointments Commission</t>
  </si>
  <si>
    <t>Legal Services Board</t>
  </si>
  <si>
    <t>LSB staff are not civil servants, so do not enjoy civil service terms and conditions neither do they have a defined benefit pension provision</t>
  </si>
  <si>
    <t>Legal Services Commission</t>
  </si>
  <si>
    <t>Parole Board</t>
  </si>
  <si>
    <t>Probation Trusts x35</t>
  </si>
  <si>
    <t xml:space="preserve">
The 35 probation trusts are independent bodies that are contracted to provide probation services to NOMS. They have their own grading structure which is not directly translatable to the Civil Service grades. All payroll probation staff have therefore bee</t>
  </si>
  <si>
    <t>Youth Justice Board for England &amp; Wales</t>
  </si>
  <si>
    <t>MoJ Total</t>
  </si>
  <si>
    <t>HM Courts and Tribunals Service</t>
  </si>
  <si>
    <t>The increase in headcount is due to the official transfer of the Judicial Committee of the Privy Council to the UK Supreme Court wef. 1 April 2011.</t>
  </si>
  <si>
    <t>The 35 probation trusts are independent bodies that are contracted to provide probation services to NOMS. They have their own grading structure which is not directly translatable to the Civil Service grades. All payroll probation staff have therefore been</t>
  </si>
  <si>
    <t xml:space="preserve">
MoJ Total
</t>
  </si>
  <si>
    <t>Residential Properties Tribunal Service joined HMCTS on 1st July 2011.  Staff numbers are included however salaries for RPT are paid through DCLG payroll systems and therefore financial information is not currently available.
HMCTS are currently working t</t>
  </si>
  <si>
    <t>Transferred to BIS 18.07.11</t>
  </si>
  <si>
    <t>The salary costs for a SEO who joined UKSC on 27 June have not yet transferred from MoJ and therefore are not reflected in the total paybill for payroll staff for July.</t>
  </si>
  <si>
    <t xml:space="preserve">The full cost, year to date, of the Residential Property Tribunal (RPT) has been reflected in the August salary figures (£1.2m) as part of the transfer of costs from DCLG.  Future months will only reflect one month of costs for RPT.
</t>
  </si>
  <si>
    <t>It looks like most new starters missed Aug payroll, so Sept will reflect more than one month's pay.</t>
  </si>
  <si>
    <t>The salary costs for a SEO who joined UKSC on 23 August have not yet transferred from MoJ and therefore are not reflected in the total paybill for payroll staff for August.</t>
  </si>
  <si>
    <t>Nil</t>
  </si>
  <si>
    <t>Not able to provide breakdown of contingent workers. New system of data collection to capture the detail required is being developed. Where not known placed in Agency column.</t>
  </si>
  <si>
    <t xml:space="preserve">SEO headcount still not transferred. Pay in Leiu of Notice for member of staff leaving on VED scheme included. </t>
  </si>
  <si>
    <t>Probation trust staffing figures were extracted from the HR Data Warehouse. The 35 trusts are independent bodies that are contracted to provide probation services to NOMS. They have their own grading structure which is not directly translatable to the Civ</t>
  </si>
  <si>
    <t>(..)</t>
  </si>
  <si>
    <t>Probation trust staffing figures were extracted from the HR Data Warehouse. The 35 trusts are independent bodies that are contracted to provide probation services to NOMS. They have their own grading structure which is not directly translatable to the Civil Service structure.</t>
  </si>
  <si>
    <t xml:space="preserve">Key </t>
  </si>
  <si>
    <t>(..) Not available</t>
  </si>
  <si>
    <t>(.) Not applicable</t>
  </si>
  <si>
    <t>Pension adjustment for Judicial Assistants opting into Partnership Scheme</t>
  </si>
  <si>
    <t>Probation trust staffing figures were extracted from the HR Data Warehouse. The 35 trusts are independent bodies that are contracted to provide probation services to NOMS. They have their own grading structure which is not directly translatable to the Civil Service grades. All payroll probation staff have therefore been entered under the 'other' category. Avon and Somerset, Greater Manchester and Norfolk and Suffolk probation trusts were unable to submit data for December 2011 due to local technical/staffing issues; the most recent figures they submitted at that point in time (November 2011) have therefore been included within the overall staffing figures.</t>
  </si>
  <si>
    <t>Shown in HQ figures.</t>
  </si>
  <si>
    <t>Not able to provide breakdown of contingent workers. New system of data collection to capture the detail required is being rolled out. Where not known placed in Agency column.</t>
  </si>
  <si>
    <t xml:space="preserve">Probation trust staffing figures were extracted from the HR Data Warehouse, with the exception of Staffordshire &amp; West Midlands where some of their figures were provided manually. The 35 trusts are independent bodies that are contracted to provide probation services to NOMS. They have their own grading structure which is not directly translatable to the Civil Service grades. All payroll probation staff have therefore been entered under the 'other' category. However, Avon &amp; Somerset, Bedfordshire and Norfolk &amp; Suffolk probation trusts were unable to submit data for January 2012 due to local technical/staffing issues; the most recent figures they submitted at that point in time (November 2011 for Avon &amp; Somerset, and December 2011 for both Bedfordshire and Norfolk &amp; Suffolk) have therefore been included within the overall staffing figures. A number of probation areas merged on 1st April 2010 to become trusts; the old probation areas (Dyfed Powys, Gwent, North Wales and South Wales) that now comprise the 'Wales Probation Trust' have continued to submit data separately as they have yet to merge their HR systems. Dyfed Powys and North Wales were unable to submit data for January 2012 due to local technical/staffing issues and therefore the most recent figures they submitted have been included within the overall staffing figures (December 2011). Accuracy issues were identified in some of the data submitted for Staffordshire &amp; West Midlands; figures for December 2011 have therefore been included for them within the overall staffing figures. </t>
  </si>
  <si>
    <t>Archway closed down, significant FTE reduction of most expensive agency staff.</t>
  </si>
  <si>
    <t xml:space="preserve">ICT Support Officer salary not transferred across. Head count shows transfer but not salary cost. </t>
  </si>
  <si>
    <t>Probation trust staffing figures were extracted from the HR Data Warehouse, with the exception of Staffordshire &amp; West Midlands where some of their figures were provided manually. The 35 trusts are independent bodies that are contracted to provide probati</t>
  </si>
  <si>
    <t>Some amendments have been made to grade level allocation this month resulting in movement between grade levels.</t>
  </si>
  <si>
    <t>Remaining London departures substantially complete, and dual running completely ended. Consultant accrual proved too high.</t>
  </si>
  <si>
    <t>Includes additional pay for annual leave due to leavers plus salary adjustment for ICT Officer</t>
  </si>
  <si>
    <t xml:space="preserve">Probation trust staffing figures were extracted from the HR Data Warehouse, where all 35 trusts are independent bodies that are contracted to provide probation services to NOMS. They have their own grading structure which is not directly translatable to the Civil Service grades. All payroll probation staff have therefore been entered under the 'other' category. Please note, not all of the trusts were able to submit data for this month due to staffing/technical issues and therefore the most recent data they had submitted has been used. Those trusts that fall into this category include the following: Avon &amp; Somerset, Cambridgeshire, Gloucestershire, Surrey &amp; Sussex, and Thames Valley (February 2012 figures included, for all). Furthermore, accuracy issues were identified in the return made by Wales Probation Trust, and as a result this trust's February 2012 figures have also been used in this report.   </t>
  </si>
  <si>
    <t xml:space="preserve">April and May accurate in aggregate (subject to any Phoenix delays) but not individually due to year end accruals etc. </t>
  </si>
  <si>
    <r>
      <t>STAFFING NUMBERS UNVALIDATED</t>
    </r>
    <r>
      <rPr>
        <sz val="9"/>
        <color indexed="8"/>
        <rFont val="Arial"/>
        <family val="2"/>
      </rPr>
      <t xml:space="preserve">
Probation trust staffing figures were extracted from the HR Data Warehouse, where all 35 trusts are independent bodies that are contracted to provide probation services to NOMS. They have their own grading structure which is not directly translatable to the Civil Service grades. All payroll probation staff have therefore been entered under the 'other' category. Please note, not all of the trusts were able to submit data for this month due to staffing/technical issues and therefore the most recent data they had submitted has been used. The trusts that fall into this category are: Avon &amp; Somerset and Derbyshire (March 2012 figures included); Greater Manchester, Norfolk &amp; Suffolk and Northumbria (April 2012 figures included).    </t>
    </r>
  </si>
  <si>
    <t>Agency data not available by the deadline set</t>
  </si>
  <si>
    <t>Agency Headcount not collected only FTE available</t>
  </si>
  <si>
    <t>Agency figure includes adjustment for prior month, Agency FTE lower due to extra holidays in June. Qtr overall matches last year.</t>
  </si>
  <si>
    <r>
      <t>STAFFING NUMBERS UN-VALIDATED</t>
    </r>
    <r>
      <rPr>
        <sz val="9"/>
        <rFont val="Arial"/>
        <family val="2"/>
      </rPr>
      <t xml:space="preserve">
Probation trust staffing figures were extracted from the HR Data Warehouse, where all 35 trusts are independent bodies that are contracted to provide probation services to NOMS. They have their own grading structure which is not directly translatable to the Civil Service grades. All payroll probation staff have therefore been entered under the 'other' category. Please note, not all of the trusts were able to submit data for this month due to staffing/technical issues and therefore the most recent data they had submitted has been used. The trusts that fall into this category are: Avon &amp; Somerset and Derbyshire (March 2012 figures included); and West Yorkshire and Wales (May 2012 figures included).    </t>
    </r>
  </si>
  <si>
    <t>Campaign to move roles from agency to FTC has commenced.</t>
  </si>
  <si>
    <t>Probation Trusts data not available by the deadline set</t>
  </si>
  <si>
    <t>Non-Payroll staff (contingent labour/consultancy) costs</t>
  </si>
  <si>
    <t>AO/AA</t>
  </si>
  <si>
    <t>EO</t>
  </si>
  <si>
    <t>SEO/HEO</t>
  </si>
  <si>
    <t>SCS</t>
  </si>
  <si>
    <t>Total monthly cost of contingent labour: agency (clerical and admin) staff, interim managers and specialist contractors</t>
  </si>
  <si>
    <t>Total monthly cost of consultants/
consultancy</t>
  </si>
  <si>
    <t>Only Agency FTE available. Agency HC not collected.</t>
  </si>
  <si>
    <t>Campaign to move roles from agency to FTC is underway.</t>
  </si>
  <si>
    <t>Youth Justice Board for England and Wales</t>
  </si>
  <si>
    <t>Comments
(NB: These will be published alongside your row of information)</t>
  </si>
  <si>
    <r>
      <t xml:space="preserve">Comments
</t>
    </r>
    <r>
      <rPr>
        <b/>
        <sz val="12"/>
        <color indexed="8"/>
        <rFont val="Arial"/>
        <family val="2"/>
      </rPr>
      <t>(NB: These will be published alongside your row of information)</t>
    </r>
  </si>
  <si>
    <t>Agency figure includes adjustment for prior month, when extra 22 started, due to delayed invoices.</t>
  </si>
  <si>
    <r>
      <t>STAFFING NUMBERS UNVALIDATED</t>
    </r>
    <r>
      <rPr>
        <sz val="9"/>
        <color indexed="8"/>
        <rFont val="Arial"/>
        <family val="2"/>
      </rPr>
      <t xml:space="preserve">
The 35 trusts are independent bodies that are contracted to provide probation services to NOMS. They have their own grading structure which is not directly translatable to the Civil Service grades. All payroll probation staff have therefore been entered under the 'other' category.
A new system for collecting workforce information from the probation trusts was implemented in July 2012. The previous collection system (HR Data Warehouse) was decommissioned at the end of June 2012 and replaced by a series of HR returns to the NOMS Performance Hub. The new collection system enables improved reporting, due to clarification on the funding arrangements of staff seconded out of trusts. NOMS has therefore been able to provide accurate figures on the number of staff that are funded by the probation trusts from July 2012 onwards. These figures will therefore not correlate with figures provided for previous months, as those figures would have included all funded and unfunded staff.</t>
    </r>
  </si>
  <si>
    <r>
      <t xml:space="preserve">Comments
</t>
    </r>
    <r>
      <rPr>
        <b/>
        <sz val="9"/>
        <color indexed="8"/>
        <rFont val="Arial"/>
        <family val="2"/>
      </rPr>
      <t>(NB: These will be published alongside your row of information)</t>
    </r>
  </si>
  <si>
    <t>Agency data by FTE provided. By HC not collected.</t>
  </si>
  <si>
    <t>Agency data revised</t>
  </si>
  <si>
    <r>
      <t>STAFFING NUMBERS UNVALIDATED</t>
    </r>
    <r>
      <rPr>
        <sz val="9"/>
        <rFont val="Arial"/>
        <family val="2"/>
      </rPr>
      <t xml:space="preserve">
A new system for collecting workforce information from the probation trusts was implemented in July 2012. The previous collection system (HR Data Warehouse) was decommissioned at the end of June 2012 and replaced by a series </t>
    </r>
  </si>
  <si>
    <t>Only Agency &amp; Specialist Contractor FTE available. HC not collected.</t>
  </si>
  <si>
    <t>Significant turnover in month as other Civil Service campaigns attracted our FTCs.  Campaign commenced to fill 120 payroll positions.</t>
  </si>
  <si>
    <t xml:space="preserve"> Sir David Calvert-Smith took up the role of Chairman on the 1st October 2012.</t>
  </si>
  <si>
    <t>An Internal Audit (Nov 12) has resulted in chnages to the paybill costs having to be submitted.</t>
  </si>
  <si>
    <t xml:space="preserve">Paid £18.6k of compensations in October (not included in these figures). </t>
  </si>
  <si>
    <t>Any savings from workforce reductions from the LSB mean a reduced levy for the Approved Regulators who pay all of our costs. There are no savings paybill savings 'flowing from the workforce reductions taking place across central government' from the LSB that can be used or counted by Cabinet Office. This then raises the question of the legitamacy or value of the LSB taking part in this monthly, quarterly and annual exercise.</t>
  </si>
  <si>
    <t xml:space="preserve">This includes 61 capitalised contractors and the associated cost </t>
  </si>
  <si>
    <r>
      <t xml:space="preserve">STAFFING NUMBERS VALIDATED
</t>
    </r>
    <r>
      <rPr>
        <sz val="8"/>
        <rFont val="Arial"/>
        <family val="2"/>
      </rPr>
      <t>The 35 trusts are independent bodies that are contracted to provide probation services to NOMS. They have their own grading structure which is not directly translatable to the Civil Service grades. All payroll probation staff have therefore been entered under the 'other' category.</t>
    </r>
    <r>
      <rPr>
        <b/>
        <sz val="8"/>
        <color indexed="10"/>
        <rFont val="Arial"/>
        <family val="2"/>
      </rPr>
      <t xml:space="preserve">
</t>
    </r>
    <r>
      <rPr>
        <sz val="8"/>
        <rFont val="Arial"/>
        <family val="2"/>
      </rPr>
      <t>A new system for collecting workforce information from the probation trusts was implemented in July 2012. The previous collection system (HR Data Warehouse) was decommissioned at the end of June 2012 and replaced by a series of HR returns to the NOMS Performance Hub. The new collection system enables improved reporting, due to clarification on the funding arrangements of staff seconded out of trusts. NOMS has therefore been able to provide accurate figures on the number of staff that are funded by the probation trusts from July 2012 onwards. These figures will therefore not correlate with figures provided prior to July 2012, as those figures would have included all funded and unfunded staff.  It should be noted that there was a
significant reduction in staff at London Probation Trust this 
month as a result of staff transferring out due to the 
community payback competition (this relates to a fall in 
payroll staff of 225.18 fte/292 headcount and a fall in 
non-payroll staff of 107 fte &amp; headcount)</t>
    </r>
  </si>
  <si>
    <t>Probation trusts operate under a formal contract with NOMS and are only required to submit management accounts returns on an annual basis. NOMS carried out a joint review with probation trusts, with a view to streamlining our workforce data collections and ensuring that we only collect data where there is a clear business requirement either for management, accountability or statutory reporting. We expanded this review to consider the feasibility of gathering the full costing data requirement set out by the Cabinet Office but the review showed that the information is not readily available and would require significant additional resource to collect, collate and quality assure the information from 35 independent bodies each month. Estimates suggested this collection would have a minimum cost per annual of £125,000 plus initial development and start up costs; we therefore do not intend to pursue the collection of this data.</t>
  </si>
  <si>
    <r>
      <t>STAFFING NUMBERS VALIDATED</t>
    </r>
    <r>
      <rPr>
        <sz val="8"/>
        <rFont val="Arial"/>
        <family val="2"/>
      </rPr>
      <t xml:space="preserve">
The 35 trusts are independent bodies that are contracted to provide probation services to NOMS. They have their own grading structure which is not directly translatable to the Civil Service grades. All payroll probation staff have therefore been entered under the 'other' category.
A new system for collecting workforce information from the probation trusts was implemented in July 2012. The previous collection system (HR Data Warehouse) was decommissioned at the end of June 2012 and replaced by a series of HR returns to the NOMS Performance Hub. The new collection system enables improved reporting, due to clarification on the funding arrangements of staff seconded out of trusts. NOMS has therefore been able to provide accurate figures on the number of staff that are funded by the probation trusts from July 2012 onwards. These figures will therefore not correlate with figures provided prior to July 2012, as those figures would have included all funded and unfunded staff.</t>
    </r>
  </si>
  <si>
    <t>Agency lower due to fewer working days in December. Very little overtime so accrual adjustment reflected.</t>
  </si>
  <si>
    <t xml:space="preserve"> Sir David Calvert-Smith took up the role of Chairman on the 1st October 2012 but is paid on our Members payroll and is not included in these figures.</t>
  </si>
  <si>
    <r>
      <t xml:space="preserve">STAFFING NUMBERS UN-VALIDATED
</t>
    </r>
    <r>
      <rPr>
        <sz val="10"/>
        <rFont val="Arial"/>
        <family val="2"/>
      </rPr>
      <t>The 35 trusts are independent bodies that are contracted to provide probation services to NOMS. They have their own grading structure which is not directly translatable to the Civil Service grades. All payroll probation staff have therefore been entered under the 'other' category.</t>
    </r>
    <r>
      <rPr>
        <b/>
        <sz val="10"/>
        <color indexed="10"/>
        <rFont val="Arial"/>
        <family val="2"/>
      </rPr>
      <t xml:space="preserve">
</t>
    </r>
    <r>
      <rPr>
        <sz val="10"/>
        <rFont val="Arial"/>
        <family val="2"/>
      </rPr>
      <t>A new system for collecting workforce information from the probation trusts was implemented in July 2012. The previous collection system (HR Data Warehouse) was decommissioned at the end of June 2012 and replaced by a series of HR returns to the NOMS Performance Hub. The new collection system enables improved reporting, due to clarification on the funding arrangements of staff seconded out of trusts. NOMS has therefore been able to provide accurate figures on the number of staff that are funded by the probation trusts from July 2012 onwards. These figures will therefore not correlate with figures provided prior to July 2012, as those figures would have included all funded and unfunded staff.</t>
    </r>
  </si>
  <si>
    <t xml:space="preserve">(..) </t>
  </si>
  <si>
    <r>
      <t>STAFFING NUMBERS VALIDATED</t>
    </r>
    <r>
      <rPr>
        <sz val="10"/>
        <color indexed="8"/>
        <rFont val="Arial"/>
        <family val="2"/>
      </rPr>
      <t xml:space="preserve">
Probation trust staffing figures were extracted from the HR Data Warehouse, where all 35 trusts are independent bodies that are contracted to provide probation services to NOMS. They have their own grading structure which is not directly translatable to the Civil Service grades. All payroll probation staff have therefore been entered under the 'other' category. Please note, not all of the trusts were able to submit data for this month due to staffing/technical issues and therefore the most recent data they had submitted has been used. The trusts that fall into this category are: Avon &amp; Somerset and Derbyshire (March 2012 figures included for both).    </t>
    </r>
  </si>
  <si>
    <t>Delays to recruitment and increase workload lead to hike in agency. 2 consultants engaged in Feb, but accrual only as invoices not yet received.</t>
  </si>
  <si>
    <r>
      <t xml:space="preserve">STAFFING NUMBERS VALIDATED
</t>
    </r>
    <r>
      <rPr>
        <sz val="9"/>
        <rFont val="Arial"/>
        <family val="2"/>
      </rPr>
      <t>The 35 trusts are independent bodies that are contracted to provide probation services to NOMS. They have their own grading structure which is not directly translatable to the Civil Service grades. All payroll probation staff have therefore been entered under the 'other' category.
A new system for collecting workforce information from the probation trusts was implemented in July 2012. The previous collection system (HR Data Warehouse) was decommissioned at the end of June 2012 and replaced by a series of HR returns to the NOMS Performance Hub. The new collection system enables improved reporting, due to clarification on the funding arrangements of staff seconded out of trusts. NOMS has therefore been able to provide accurate figures on the number of staff that are funded by the probation trusts from July 2012 onwards. These figures will therefore not correlate with figures provided prior to July 2012, as those figures would have included all funded and unfunded staff.</t>
    </r>
  </si>
  <si>
    <r>
      <t>STAFFING NUMBERS VALIDATED</t>
    </r>
    <r>
      <rPr>
        <sz val="9"/>
        <color indexed="8"/>
        <rFont val="Arial"/>
        <family val="2"/>
      </rPr>
      <t xml:space="preserve">
The 35 trusts are independent bodies that are contracted to provide probation services to NOMS. They have their own grading structure which is not directly translatable to the Civil Service grades. All payroll probation staff have therefore been entered under the 'other' category.
A new system for collecting workforce information from the probation trusts was implemented in July 2012. The previous collection system (HR Data Warehouse) was decommissioned at the end of June 2012 and replaced by a series of HR returns to the NOMS Performance Hub. The new collection system enables improved reporting, due to clarification on the funding arrangements of staff seconded out of trusts. NOMS has therefore been able to provide accurate figures on the number of staff that are funded by the probation trusts from July 2012 onwards. These figures will therefore not correlate with figures provided prior to July 2012, as those figures would have included all funded and unfunded staff.
</t>
    </r>
  </si>
  <si>
    <t>Some agency to FTC conversions completed. Includes A-01 specialist</t>
  </si>
  <si>
    <t>CCL staff only collected as FTE. Headcount not available.</t>
  </si>
  <si>
    <t>The Legal Aid Agency (formerly LSC)</t>
  </si>
  <si>
    <t>Payroll rose by 10 FTEs (£50k higher) but one-off salary adjustmts in May mean June looks lower.</t>
  </si>
  <si>
    <t>19 payroll addition are mainly agency conversion (16 reduced).</t>
  </si>
  <si>
    <r>
      <t>STAFFING NUMBERS UN-VALIDATED</t>
    </r>
    <r>
      <rPr>
        <sz val="9"/>
        <rFont val="Arial"/>
        <family val="2"/>
      </rPr>
      <t xml:space="preserve">
The 35 trusts are independent bodies that are contracted to provide probation services to NOMS. They have their own grading structure which is not directly translatable to the Civil Service grades. All payroll probation staff have therefore been entered under the 'other' category.
A new system for collecting workforce information from the probation trusts was implemented in July 2012. The previous collection system (HR Data Warehouse) was decommissioned at the end of June 2012 and replaced by a series of HR returns to the NOMS Performance Hub. The new collection system enables improved reporting, due to clarification on the funding arrangements of staff seconded out of trusts. NOMS has therefore been able to provide accurate figures on the number of staff that are funded by the probation trusts from July 2012 onwards. These figures will therefore not correlate with figures provided prior to July 2012, as those figures would have included all funded and unfunded staff.
Please note, not all of the trusts were able to submit data for this month due to staffing issues and therefore the 
most recent data they had submitted has been used. 
The trusts that fall in this category are Avon &amp; Somerset 
and South Yorkshire 
(June 2013 figures included for both)                                                                                                                                                                                                                                        </t>
    </r>
  </si>
</sst>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quot;£&quot;#,##0.0"/>
    <numFmt numFmtId="188" formatCode="&quot;£&quot;#,##0"/>
    <numFmt numFmtId="189" formatCode="0.0"/>
    <numFmt numFmtId="190" formatCode="0.000000"/>
    <numFmt numFmtId="191" formatCode="0.00000"/>
    <numFmt numFmtId="192" formatCode="0.0000"/>
    <numFmt numFmtId="193" formatCode="0.000"/>
  </numFmts>
  <fonts count="45">
    <font>
      <sz val="12"/>
      <color indexed="8"/>
      <name val="Arial"/>
      <family val="2"/>
    </font>
    <font>
      <sz val="10"/>
      <name val="Arial"/>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2"/>
      <name val="Arial"/>
      <family val="2"/>
    </font>
    <font>
      <sz val="8"/>
      <name val="Arial"/>
      <family val="2"/>
    </font>
    <font>
      <sz val="10"/>
      <color indexed="8"/>
      <name val="Arial"/>
      <family val="2"/>
    </font>
    <font>
      <b/>
      <sz val="8"/>
      <name val="Tahoma"/>
      <family val="0"/>
    </font>
    <font>
      <sz val="8"/>
      <name val="Tahoma"/>
      <family val="0"/>
    </font>
    <font>
      <b/>
      <sz val="9"/>
      <color indexed="10"/>
      <name val="Arial"/>
      <family val="2"/>
    </font>
    <font>
      <sz val="9"/>
      <color indexed="8"/>
      <name val="Arial"/>
      <family val="2"/>
    </font>
    <font>
      <sz val="9"/>
      <name val="Arial"/>
      <family val="2"/>
    </font>
    <font>
      <sz val="10"/>
      <name val="Tahoma"/>
      <family val="2"/>
    </font>
    <font>
      <b/>
      <sz val="10"/>
      <name val="Tahoma"/>
      <family val="2"/>
    </font>
    <font>
      <sz val="11"/>
      <name val="Tahoma"/>
      <family val="2"/>
    </font>
    <font>
      <b/>
      <u val="single"/>
      <sz val="11"/>
      <name val="Tahoma"/>
      <family val="2"/>
    </font>
    <font>
      <b/>
      <sz val="9"/>
      <color indexed="8"/>
      <name val="Arial"/>
      <family val="2"/>
    </font>
    <font>
      <sz val="9"/>
      <color indexed="10"/>
      <name val="Arial"/>
      <family val="2"/>
    </font>
    <font>
      <b/>
      <sz val="8"/>
      <color indexed="10"/>
      <name val="Arial"/>
      <family val="2"/>
    </font>
    <font>
      <b/>
      <sz val="10"/>
      <color indexed="10"/>
      <name val="Arial"/>
      <family val="2"/>
    </font>
    <font>
      <b/>
      <sz val="9"/>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18"/>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style="thin"/>
      <bottom/>
    </border>
    <border>
      <left style="thin"/>
      <right/>
      <top style="thin"/>
      <bottom>
        <color indexed="63"/>
      </bottom>
    </border>
    <border>
      <left style="thin"/>
      <right style="thin"/>
      <top style="thin"/>
      <bottom>
        <color indexed="63"/>
      </bottom>
    </border>
    <border>
      <left style="medium"/>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style="thin"/>
      <right style="medium"/>
      <top style="thin"/>
      <bottom>
        <color indexed="63"/>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right/>
      <top style="thin"/>
      <bottom style="thin"/>
    </border>
    <border>
      <left/>
      <right style="thin"/>
      <top style="thin"/>
      <bottom style="thin"/>
    </border>
    <border>
      <left style="thin"/>
      <right style="thin"/>
      <top/>
      <bottom/>
    </border>
    <border>
      <left style="thin"/>
      <right style="thin"/>
      <top/>
      <bottom>
        <color indexed="63"/>
      </bottom>
    </border>
  </borders>
  <cellStyleXfs count="13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164" fontId="1" fillId="0" borderId="0" applyFont="0" applyFill="0" applyBorder="0" applyAlignment="0" applyProtection="0"/>
    <xf numFmtId="0" fontId="10" fillId="3" borderId="0" applyNumberFormat="0" applyBorder="0" applyAlignment="0" applyProtection="0"/>
    <xf numFmtId="0" fontId="11" fillId="20" borderId="1" applyNumberFormat="0" applyAlignment="0" applyProtection="0"/>
    <xf numFmtId="165" fontId="6" fillId="21" borderId="0" applyNumberFormat="0">
      <alignment/>
      <protection locked="0"/>
    </xf>
    <xf numFmtId="0" fontId="12"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4" fontId="1"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1" fillId="0" borderId="0" applyNumberFormat="0" applyFont="0" applyFill="0" applyBorder="0" applyProtection="0">
      <alignment/>
    </xf>
    <xf numFmtId="0" fontId="1" fillId="0" borderId="0" applyNumberFormat="0" applyFont="0" applyFill="0" applyBorder="0" applyProtection="0">
      <alignment/>
    </xf>
    <xf numFmtId="0" fontId="1" fillId="0" borderId="0" applyNumberFormat="0" applyFont="0" applyFill="0" applyBorder="0" applyProtection="0">
      <alignment vertical="top"/>
    </xf>
    <xf numFmtId="20" fontId="1" fillId="0" borderId="0" applyFont="0" applyFill="0" applyBorder="0" applyAlignment="0" applyProtection="0"/>
    <xf numFmtId="169" fontId="1" fillId="0" borderId="0" applyFont="0" applyFill="0" applyBorder="0" applyAlignment="0" applyProtection="0"/>
    <xf numFmtId="0" fontId="20" fillId="0" borderId="6" applyNumberFormat="0" applyFill="0" applyAlignment="0" applyProtection="0"/>
    <xf numFmtId="0" fontId="21" fillId="23" borderId="0" applyNumberFormat="0" applyBorder="0" applyAlignment="0" applyProtection="0"/>
    <xf numFmtId="0" fontId="1" fillId="0" borderId="0" applyNumberFormat="0" applyFill="0" applyBorder="0" applyAlignment="0" applyProtection="0"/>
    <xf numFmtId="0" fontId="3" fillId="0" borderId="0">
      <alignment/>
      <protection/>
    </xf>
    <xf numFmtId="0" fontId="3" fillId="0" borderId="0">
      <alignment/>
      <protection/>
    </xf>
    <xf numFmtId="0" fontId="0" fillId="0" borderId="0">
      <alignment/>
      <protection/>
    </xf>
    <xf numFmtId="0" fontId="3" fillId="0" borderId="0">
      <alignment/>
      <protection/>
    </xf>
    <xf numFmtId="0" fontId="22" fillId="0" borderId="0">
      <alignment/>
      <protection/>
    </xf>
    <xf numFmtId="0" fontId="1"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24" borderId="7" applyNumberFormat="0" applyFont="0" applyAlignment="0" applyProtection="0"/>
    <xf numFmtId="0" fontId="23" fillId="20" borderId="8" applyNumberFormat="0" applyAlignment="0" applyProtection="0"/>
    <xf numFmtId="40" fontId="8" fillId="25" borderId="0">
      <alignment horizontal="right"/>
      <protection/>
    </xf>
    <xf numFmtId="9" fontId="0"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7" fontId="1" fillId="0" borderId="0" applyFont="0" applyFill="0" applyBorder="0" applyAlignment="0" applyProtection="0"/>
    <xf numFmtId="0" fontId="24" fillId="0" borderId="0" applyNumberFormat="0" applyFill="0" applyBorder="0" applyAlignment="0" applyProtection="0"/>
    <xf numFmtId="178" fontId="1" fillId="0" borderId="0" applyFont="0" applyFill="0" applyBorder="0" applyAlignment="0" applyProtection="0"/>
    <xf numFmtId="0" fontId="25" fillId="0" borderId="9" applyNumberFormat="0" applyFill="0" applyAlignment="0" applyProtection="0"/>
    <xf numFmtId="179" fontId="1" fillId="0" borderId="0" applyFont="0" applyFill="0" applyBorder="0" applyAlignment="0" applyProtection="0"/>
    <xf numFmtId="180" fontId="1"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0" fontId="26" fillId="0" borderId="0" applyNumberFormat="0" applyFill="0" applyBorder="0" applyAlignment="0" applyProtection="0"/>
  </cellStyleXfs>
  <cellXfs count="421">
    <xf numFmtId="0" fontId="0" fillId="0" borderId="0" xfId="0" applyAlignment="1">
      <alignment/>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0" xfId="0" applyFont="1" applyFill="1" applyBorder="1" applyAlignment="1" applyProtection="1">
      <alignment vertical="center" wrapText="1"/>
      <protection locked="0"/>
    </xf>
    <xf numFmtId="3"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xf>
    <xf numFmtId="0" fontId="0" fillId="0" borderId="10" xfId="0" applyFont="1" applyFill="1" applyBorder="1" applyAlignment="1" applyProtection="1">
      <alignment vertical="center"/>
      <protection locked="0"/>
    </xf>
    <xf numFmtId="0" fontId="25" fillId="0" borderId="11" xfId="0" applyFont="1" applyFill="1" applyBorder="1" applyAlignment="1" applyProtection="1">
      <alignment horizontal="center" wrapText="1"/>
      <protection/>
    </xf>
    <xf numFmtId="0" fontId="25" fillId="0" borderId="12" xfId="0" applyFont="1" applyFill="1" applyBorder="1" applyAlignment="1" applyProtection="1">
      <alignment horizontal="center" wrapText="1"/>
      <protection/>
    </xf>
    <xf numFmtId="0" fontId="0" fillId="0" borderId="10" xfId="0" applyFont="1" applyFill="1" applyBorder="1" applyAlignment="1" applyProtection="1">
      <alignment horizontal="right" wrapText="1"/>
      <protection locked="0"/>
    </xf>
    <xf numFmtId="3" fontId="0" fillId="0" borderId="10" xfId="0" applyNumberFormat="1" applyFont="1" applyFill="1" applyBorder="1" applyAlignment="1" applyProtection="1">
      <alignment horizontal="right"/>
      <protection/>
    </xf>
    <xf numFmtId="0" fontId="0" fillId="0" borderId="10" xfId="0" applyFill="1" applyBorder="1" applyAlignment="1" applyProtection="1">
      <alignment horizontal="right"/>
      <protection/>
    </xf>
    <xf numFmtId="0" fontId="0" fillId="0" borderId="0" xfId="0" applyFont="1" applyFill="1" applyAlignment="1" applyProtection="1">
      <alignment/>
      <protection locked="0"/>
    </xf>
    <xf numFmtId="0" fontId="27" fillId="0" borderId="12" xfId="0" applyFont="1" applyFill="1" applyBorder="1" applyAlignment="1" applyProtection="1">
      <alignment horizontal="center" wrapText="1"/>
      <protection/>
    </xf>
    <xf numFmtId="0" fontId="27" fillId="0" borderId="12" xfId="0" applyFont="1" applyFill="1" applyBorder="1" applyAlignment="1" applyProtection="1">
      <alignment horizontal="center"/>
      <protection/>
    </xf>
    <xf numFmtId="0" fontId="0" fillId="0" borderId="10" xfId="0" applyFill="1" applyBorder="1" applyAlignment="1" applyProtection="1">
      <alignment vertical="center" wrapText="1"/>
      <protection locked="0"/>
    </xf>
    <xf numFmtId="188" fontId="0" fillId="0" borderId="10" xfId="0" applyNumberFormat="1" applyFill="1" applyBorder="1" applyAlignment="1" applyProtection="1">
      <alignment horizontal="right" vertical="center"/>
      <protection locked="0"/>
    </xf>
    <xf numFmtId="188" fontId="0" fillId="0" borderId="10" xfId="0" applyNumberFormat="1" applyFont="1" applyFill="1" applyBorder="1" applyAlignment="1" applyProtection="1">
      <alignment horizontal="right" vertical="center"/>
      <protection locked="0"/>
    </xf>
    <xf numFmtId="188" fontId="0" fillId="0" borderId="10" xfId="0" applyNumberFormat="1" applyFont="1" applyFill="1" applyBorder="1" applyAlignment="1" applyProtection="1">
      <alignment horizontal="right" vertical="center"/>
      <protection/>
    </xf>
    <xf numFmtId="188" fontId="0" fillId="0" borderId="10" xfId="0" applyNumberFormat="1" applyFill="1" applyBorder="1" applyAlignment="1" applyProtection="1">
      <alignment horizontal="right" vertical="center"/>
      <protection/>
    </xf>
    <xf numFmtId="0" fontId="0" fillId="0" borderId="10" xfId="0" applyFill="1" applyBorder="1" applyAlignment="1" applyProtection="1">
      <alignment horizontal="center" vertical="center" wrapText="1"/>
      <protection locked="0"/>
    </xf>
    <xf numFmtId="0" fontId="0" fillId="0" borderId="0" xfId="0" applyFill="1" applyAlignment="1" applyProtection="1">
      <alignment vertical="center"/>
      <protection locked="0"/>
    </xf>
    <xf numFmtId="1" fontId="0" fillId="0" borderId="10" xfId="0" applyNumberFormat="1" applyFont="1" applyFill="1" applyBorder="1" applyAlignment="1" applyProtection="1">
      <alignment horizontal="right" wrapText="1"/>
      <protection locked="0"/>
    </xf>
    <xf numFmtId="0" fontId="0" fillId="0" borderId="0" xfId="0" applyAlignment="1">
      <alignment/>
    </xf>
    <xf numFmtId="189" fontId="0" fillId="0" borderId="10" xfId="0" applyNumberFormat="1" applyFont="1" applyFill="1" applyBorder="1" applyAlignment="1" applyProtection="1">
      <alignment horizontal="right" wrapText="1"/>
      <protection locked="0"/>
    </xf>
    <xf numFmtId="2" fontId="0" fillId="0" borderId="10" xfId="0" applyNumberFormat="1" applyFont="1" applyFill="1" applyBorder="1" applyAlignment="1" applyProtection="1">
      <alignment horizontal="right" wrapText="1"/>
      <protection locked="0"/>
    </xf>
    <xf numFmtId="0" fontId="0" fillId="0" borderId="10" xfId="0" applyFont="1" applyFill="1" applyBorder="1" applyAlignment="1" applyProtection="1">
      <alignment horizontal="right" vertical="center" wrapText="1"/>
      <protection locked="0"/>
    </xf>
    <xf numFmtId="0" fontId="0" fillId="0" borderId="10" xfId="0" applyFill="1" applyBorder="1" applyAlignment="1" applyProtection="1">
      <alignment horizontal="right" vertical="center"/>
      <protection/>
    </xf>
    <xf numFmtId="189" fontId="0" fillId="0" borderId="10" xfId="0" applyNumberFormat="1" applyFont="1" applyFill="1" applyBorder="1" applyAlignment="1" applyProtection="1">
      <alignment horizontal="right" vertical="center" wrapText="1"/>
      <protection locked="0"/>
    </xf>
    <xf numFmtId="0" fontId="0" fillId="0" borderId="10" xfId="0" applyFill="1" applyBorder="1" applyAlignment="1" applyProtection="1">
      <alignment horizontal="right" vertical="center" wrapText="1"/>
      <protection locked="0"/>
    </xf>
    <xf numFmtId="2" fontId="0" fillId="0" borderId="10" xfId="0" applyNumberFormat="1" applyFont="1" applyFill="1" applyBorder="1" applyAlignment="1" applyProtection="1">
      <alignment horizontal="right" vertical="center" wrapText="1"/>
      <protection locked="0"/>
    </xf>
    <xf numFmtId="0" fontId="25" fillId="0" borderId="10" xfId="0" applyFont="1" applyFill="1" applyBorder="1" applyAlignment="1" applyProtection="1">
      <alignment horizontal="center" wrapText="1"/>
      <protection/>
    </xf>
    <xf numFmtId="0" fontId="0" fillId="0" borderId="0" xfId="0" applyFont="1" applyFill="1" applyBorder="1" applyAlignment="1" applyProtection="1">
      <alignment vertical="center"/>
      <protection locked="0"/>
    </xf>
    <xf numFmtId="0" fontId="25" fillId="0" borderId="13" xfId="0" applyFont="1" applyFill="1" applyBorder="1" applyAlignment="1" applyProtection="1">
      <alignment horizontal="center" wrapText="1"/>
      <protection/>
    </xf>
    <xf numFmtId="0" fontId="25" fillId="0" borderId="14" xfId="0" applyFont="1" applyFill="1" applyBorder="1" applyAlignment="1" applyProtection="1">
      <alignment horizontal="center" wrapText="1"/>
      <protection/>
    </xf>
    <xf numFmtId="0" fontId="27" fillId="0" borderId="14" xfId="0" applyFont="1" applyFill="1" applyBorder="1" applyAlignment="1" applyProtection="1">
      <alignment horizontal="center"/>
      <protection/>
    </xf>
    <xf numFmtId="0" fontId="27" fillId="0" borderId="14" xfId="0" applyFont="1" applyFill="1" applyBorder="1" applyAlignment="1" applyProtection="1">
      <alignment horizontal="center" wrapText="1"/>
      <protection/>
    </xf>
    <xf numFmtId="0" fontId="0" fillId="0" borderId="10" xfId="0" applyFont="1" applyFill="1" applyBorder="1" applyAlignment="1" applyProtection="1">
      <alignment vertical="center"/>
      <protection locked="0"/>
    </xf>
    <xf numFmtId="0" fontId="0" fillId="0" borderId="10" xfId="0" applyFont="1" applyFill="1" applyBorder="1" applyAlignment="1" applyProtection="1">
      <alignment horizontal="center" vertical="center"/>
      <protection locked="0"/>
    </xf>
    <xf numFmtId="2" fontId="0" fillId="0" borderId="10" xfId="0" applyNumberFormat="1" applyFont="1" applyFill="1" applyBorder="1" applyAlignment="1" applyProtection="1">
      <alignment horizontal="center" vertical="center"/>
      <protection locked="0"/>
    </xf>
    <xf numFmtId="3" fontId="0" fillId="0" borderId="10" xfId="0" applyNumberFormat="1" applyFont="1" applyFill="1" applyBorder="1" applyAlignment="1" applyProtection="1">
      <alignment horizontal="center" vertical="center"/>
      <protection/>
    </xf>
    <xf numFmtId="4" fontId="0" fillId="0" borderId="10" xfId="0" applyNumberFormat="1" applyFont="1" applyFill="1" applyBorder="1" applyAlignment="1" applyProtection="1">
      <alignment horizontal="center" vertical="center"/>
      <protection/>
    </xf>
    <xf numFmtId="1" fontId="0" fillId="0" borderId="10" xfId="0" applyNumberFormat="1"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xf>
    <xf numFmtId="2" fontId="0" fillId="0" borderId="10" xfId="0" applyNumberFormat="1" applyFont="1" applyFill="1" applyBorder="1" applyAlignment="1" applyProtection="1">
      <alignment horizontal="center" vertical="center"/>
      <protection/>
    </xf>
    <xf numFmtId="186" fontId="0" fillId="0" borderId="10" xfId="0" applyNumberFormat="1" applyFont="1" applyFill="1" applyBorder="1" applyAlignment="1" applyProtection="1">
      <alignment horizontal="center" vertical="center"/>
      <protection locked="0"/>
    </xf>
    <xf numFmtId="186" fontId="2" fillId="0" borderId="10" xfId="0" applyNumberFormat="1" applyFont="1" applyFill="1" applyBorder="1" applyAlignment="1" applyProtection="1">
      <alignment horizontal="center" vertical="center"/>
      <protection locked="0"/>
    </xf>
    <xf numFmtId="186" fontId="0" fillId="0" borderId="10" xfId="0" applyNumberFormat="1" applyFont="1" applyFill="1" applyBorder="1" applyAlignment="1" applyProtection="1">
      <alignment horizontal="center" vertical="center"/>
      <protection locked="0"/>
    </xf>
    <xf numFmtId="186" fontId="0" fillId="0" borderId="10" xfId="0" applyNumberFormat="1"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locked="0"/>
    </xf>
    <xf numFmtId="0" fontId="0" fillId="0" borderId="10" xfId="0" applyFont="1" applyFill="1" applyBorder="1" applyAlignment="1" applyProtection="1">
      <alignment vertical="center"/>
      <protection locked="0"/>
    </xf>
    <xf numFmtId="2" fontId="0" fillId="0" borderId="10" xfId="0" applyNumberFormat="1" applyFont="1" applyFill="1" applyBorder="1" applyAlignment="1" applyProtection="1">
      <alignment horizontal="center" vertical="center"/>
      <protection locked="0"/>
    </xf>
    <xf numFmtId="3" fontId="0" fillId="0" borderId="10" xfId="0" applyNumberFormat="1" applyFont="1" applyFill="1" applyBorder="1" applyAlignment="1" applyProtection="1">
      <alignment horizontal="center" vertical="center"/>
      <protection/>
    </xf>
    <xf numFmtId="4" fontId="0" fillId="0" borderId="10" xfId="0" applyNumberFormat="1"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locked="0"/>
    </xf>
    <xf numFmtId="1" fontId="0" fillId="0" borderId="10" xfId="0" applyNumberFormat="1"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xf>
    <xf numFmtId="2" fontId="0" fillId="0" borderId="10" xfId="0" applyNumberFormat="1" applyFont="1" applyFill="1" applyBorder="1" applyAlignment="1" applyProtection="1">
      <alignment horizontal="center" vertical="center"/>
      <protection/>
    </xf>
    <xf numFmtId="7" fontId="2" fillId="0" borderId="10" xfId="71" applyNumberFormat="1" applyFont="1" applyFill="1" applyBorder="1" applyAlignment="1">
      <alignment horizontal="center" vertical="center"/>
    </xf>
    <xf numFmtId="0" fontId="2" fillId="0" borderId="10" xfId="71" applyNumberFormat="1" applyFont="1" applyFill="1" applyBorder="1" applyAlignment="1">
      <alignment horizontal="center" vertical="center"/>
    </xf>
    <xf numFmtId="0" fontId="2" fillId="0" borderId="10" xfId="110" applyFont="1" applyFill="1" applyBorder="1" applyAlignment="1">
      <alignment horizontal="center" vertical="center"/>
      <protection/>
    </xf>
    <xf numFmtId="189" fontId="2" fillId="0" borderId="10" xfId="110" applyNumberFormat="1" applyFont="1" applyFill="1" applyBorder="1" applyAlignment="1">
      <alignment horizontal="center" vertical="center"/>
      <protection/>
    </xf>
    <xf numFmtId="186" fontId="2" fillId="0" borderId="10" xfId="110" applyNumberFormat="1" applyFont="1" applyFill="1" applyBorder="1" applyAlignment="1">
      <alignment horizontal="center" vertical="center"/>
      <protection/>
    </xf>
    <xf numFmtId="0" fontId="0" fillId="0" borderId="10" xfId="0" applyNumberFormat="1" applyFont="1" applyFill="1" applyBorder="1" applyAlignment="1" applyProtection="1">
      <alignment horizontal="center" vertical="center"/>
      <protection locked="0"/>
    </xf>
    <xf numFmtId="0" fontId="2" fillId="0" borderId="10" xfId="110" applyNumberFormat="1" applyFont="1" applyFill="1" applyBorder="1" applyAlignment="1">
      <alignment horizontal="center" vertical="center"/>
      <protection/>
    </xf>
    <xf numFmtId="0" fontId="2" fillId="0" borderId="10" xfId="110" applyFont="1" applyFill="1" applyBorder="1" applyAlignment="1">
      <alignment horizontal="center" vertical="center"/>
      <protection/>
    </xf>
    <xf numFmtId="186" fontId="2" fillId="0" borderId="10" xfId="110" applyNumberFormat="1" applyFont="1" applyFill="1" applyBorder="1" applyAlignment="1">
      <alignment horizontal="center" vertical="center"/>
      <protection/>
    </xf>
    <xf numFmtId="0" fontId="2" fillId="0" borderId="10" xfId="110" applyNumberFormat="1" applyFont="1" applyFill="1" applyBorder="1" applyAlignment="1">
      <alignment horizontal="center" vertical="center"/>
      <protection/>
    </xf>
    <xf numFmtId="1" fontId="2" fillId="0" borderId="10" xfId="110" applyNumberFormat="1" applyFont="1" applyFill="1" applyBorder="1" applyAlignment="1">
      <alignment horizontal="center" vertical="center"/>
      <protection/>
    </xf>
    <xf numFmtId="8" fontId="2" fillId="0" borderId="10" xfId="110" applyNumberFormat="1" applyFont="1" applyFill="1" applyBorder="1" applyAlignment="1">
      <alignment horizontal="center" vertical="center"/>
      <protection/>
    </xf>
    <xf numFmtId="2" fontId="2" fillId="0" borderId="10" xfId="110" applyNumberFormat="1" applyFont="1" applyFill="1" applyBorder="1" applyAlignment="1">
      <alignment horizontal="center" vertical="center"/>
      <protection/>
    </xf>
    <xf numFmtId="0" fontId="0" fillId="0" borderId="10" xfId="0" applyNumberFormat="1" applyFont="1" applyFill="1" applyBorder="1" applyAlignment="1" applyProtection="1">
      <alignment horizontal="center" vertical="center"/>
      <protection locked="0"/>
    </xf>
    <xf numFmtId="186" fontId="2" fillId="0" borderId="10" xfId="62" applyNumberFormat="1" applyFont="1" applyFill="1" applyBorder="1" applyAlignment="1">
      <alignment horizontal="center" vertical="center"/>
    </xf>
    <xf numFmtId="0" fontId="2" fillId="0" borderId="10" xfId="62" applyNumberFormat="1" applyFont="1" applyFill="1" applyBorder="1" applyAlignment="1">
      <alignment horizontal="center" vertical="center"/>
    </xf>
    <xf numFmtId="186" fontId="0" fillId="0" borderId="10" xfId="0" applyNumberFormat="1" applyFont="1" applyFill="1" applyBorder="1" applyAlignment="1" applyProtection="1">
      <alignment horizontal="center" vertical="center"/>
      <protection locked="0"/>
    </xf>
    <xf numFmtId="186" fontId="0" fillId="0" borderId="10" xfId="0" applyNumberFormat="1" applyFont="1" applyFill="1" applyBorder="1" applyAlignment="1" applyProtection="1">
      <alignment horizontal="center" vertical="center"/>
      <protection locked="0"/>
    </xf>
    <xf numFmtId="0" fontId="0" fillId="0" borderId="10" xfId="0" applyNumberFormat="1" applyFont="1" applyFill="1" applyBorder="1" applyAlignment="1" applyProtection="1">
      <alignment horizontal="center" vertical="center"/>
      <protection locked="0"/>
    </xf>
    <xf numFmtId="0" fontId="0" fillId="0" borderId="10" xfId="0" applyFont="1" applyFill="1" applyBorder="1" applyAlignment="1" applyProtection="1">
      <alignment horizontal="left" vertical="center" wrapText="1"/>
      <protection locked="0"/>
    </xf>
    <xf numFmtId="0" fontId="2" fillId="0" borderId="10" xfId="110" applyFont="1" applyFill="1" applyBorder="1" applyAlignment="1">
      <alignment horizontal="left" vertical="center" wrapText="1"/>
      <protection/>
    </xf>
    <xf numFmtId="186" fontId="0" fillId="0" borderId="10" xfId="0" applyNumberFormat="1" applyFont="1" applyFill="1" applyBorder="1" applyAlignment="1" applyProtection="1">
      <alignment horizontal="left" vertical="center" wrapText="1"/>
      <protection locked="0"/>
    </xf>
    <xf numFmtId="3" fontId="2" fillId="0" borderId="10" xfId="0" applyNumberFormat="1" applyFont="1" applyFill="1" applyBorder="1" applyAlignment="1" applyProtection="1">
      <alignment horizontal="center" vertical="center"/>
      <protection/>
    </xf>
    <xf numFmtId="2" fontId="2" fillId="0" borderId="10" xfId="110" applyNumberFormat="1" applyFont="1" applyFill="1" applyBorder="1" applyAlignment="1">
      <alignment horizontal="center" vertical="center"/>
      <protection/>
    </xf>
    <xf numFmtId="1" fontId="2" fillId="0" borderId="10" xfId="110" applyNumberFormat="1" applyFont="1" applyFill="1" applyBorder="1" applyAlignment="1">
      <alignment horizontal="center" vertical="center"/>
      <protection/>
    </xf>
    <xf numFmtId="6" fontId="2" fillId="0" borderId="10" xfId="110" applyNumberFormat="1" applyFont="1" applyFill="1" applyBorder="1" applyAlignment="1">
      <alignment horizontal="center" vertical="center"/>
      <protection/>
    </xf>
    <xf numFmtId="0" fontId="0" fillId="0" borderId="10" xfId="0" applyFont="1" applyFill="1" applyBorder="1" applyAlignment="1" applyProtection="1">
      <alignment horizontal="center" vertical="center" wrapText="1"/>
      <protection locked="0"/>
    </xf>
    <xf numFmtId="0" fontId="27" fillId="0" borderId="10" xfId="0" applyFont="1" applyFill="1" applyBorder="1" applyAlignment="1" applyProtection="1">
      <alignment horizontal="center" wrapText="1"/>
      <protection/>
    </xf>
    <xf numFmtId="0" fontId="27" fillId="0" borderId="10" xfId="0" applyFont="1" applyFill="1" applyBorder="1" applyAlignment="1" applyProtection="1">
      <alignment horizontal="center"/>
      <protection/>
    </xf>
    <xf numFmtId="0" fontId="0" fillId="0" borderId="10" xfId="0"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1" fontId="0" fillId="0" borderId="10" xfId="0" applyNumberFormat="1" applyFont="1" applyFill="1" applyBorder="1" applyAlignment="1" applyProtection="1">
      <alignment horizontal="center" vertical="center" wrapText="1"/>
      <protection locked="0"/>
    </xf>
    <xf numFmtId="186" fontId="0" fillId="0" borderId="10" xfId="0" applyNumberFormat="1" applyFont="1" applyFill="1" applyBorder="1" applyAlignment="1" applyProtection="1">
      <alignment horizontal="center" vertical="center"/>
      <protection/>
    </xf>
    <xf numFmtId="0" fontId="29" fillId="0" borderId="10" xfId="0" applyFont="1" applyFill="1" applyBorder="1" applyAlignment="1" applyProtection="1">
      <alignment horizontal="center" vertical="center"/>
      <protection locked="0"/>
    </xf>
    <xf numFmtId="2" fontId="2" fillId="0" borderId="10" xfId="0" applyNumberFormat="1"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wrapText="1"/>
      <protection locked="0"/>
    </xf>
    <xf numFmtId="0" fontId="2" fillId="0" borderId="10" xfId="110" applyFont="1" applyFill="1" applyBorder="1" applyAlignment="1">
      <alignment horizontal="center" vertical="center"/>
      <protection/>
    </xf>
    <xf numFmtId="186" fontId="0" fillId="0" borderId="10" xfId="0" applyNumberFormat="1" applyFont="1" applyFill="1" applyBorder="1" applyAlignment="1" applyProtection="1">
      <alignment horizontal="center" vertical="center"/>
      <protection locked="0"/>
    </xf>
    <xf numFmtId="0" fontId="29" fillId="0" borderId="10" xfId="0" applyFont="1" applyFill="1" applyBorder="1" applyAlignment="1" applyProtection="1">
      <alignment horizontal="center" vertical="center" wrapText="1"/>
      <protection locked="0"/>
    </xf>
    <xf numFmtId="1" fontId="0" fillId="0" borderId="10" xfId="0" applyNumberFormat="1" applyFont="1" applyFill="1" applyBorder="1" applyAlignment="1" applyProtection="1">
      <alignment horizontal="center" vertical="center"/>
      <protection/>
    </xf>
    <xf numFmtId="0" fontId="1" fillId="0" borderId="10" xfId="110" applyFont="1" applyFill="1" applyBorder="1" applyAlignment="1">
      <alignment horizontal="center" vertical="center" wrapText="1"/>
      <protection/>
    </xf>
    <xf numFmtId="186" fontId="29" fillId="0" borderId="10" xfId="0" applyNumberFormat="1" applyFont="1" applyFill="1" applyBorder="1" applyAlignment="1" applyProtection="1">
      <alignment horizontal="center" vertical="center" wrapText="1"/>
      <protection locked="0"/>
    </xf>
    <xf numFmtId="186" fontId="0" fillId="0" borderId="10" xfId="0" applyNumberFormat="1" applyFont="1" applyBorder="1" applyAlignment="1" applyProtection="1">
      <alignment horizontal="center" vertical="center"/>
      <protection locked="0"/>
    </xf>
    <xf numFmtId="186" fontId="0" fillId="0" borderId="15" xfId="0" applyNumberFormat="1" applyFont="1" applyFill="1" applyBorder="1" applyAlignment="1" applyProtection="1">
      <alignment horizontal="center" vertical="center"/>
      <protection locked="0"/>
    </xf>
    <xf numFmtId="2" fontId="0" fillId="0" borderId="10" xfId="0" applyNumberFormat="1" applyFont="1" applyFill="1" applyBorder="1" applyAlignment="1" applyProtection="1">
      <alignment horizontal="center" vertical="center" wrapText="1"/>
      <protection locked="0"/>
    </xf>
    <xf numFmtId="0" fontId="2" fillId="0" borderId="15" xfId="110" applyFont="1" applyFill="1" applyBorder="1" applyAlignment="1">
      <alignment horizontal="center" vertical="center"/>
      <protection/>
    </xf>
    <xf numFmtId="2" fontId="2" fillId="0" borderId="10" xfId="110" applyNumberFormat="1" applyFont="1" applyFill="1" applyBorder="1" applyAlignment="1">
      <alignment horizontal="center" vertical="center"/>
      <protection/>
    </xf>
    <xf numFmtId="186" fontId="0" fillId="0" borderId="15" xfId="0" applyNumberFormat="1" applyFont="1" applyFill="1" applyBorder="1" applyAlignment="1" applyProtection="1">
      <alignment horizontal="center" vertical="center"/>
      <protection locked="0"/>
    </xf>
    <xf numFmtId="186" fontId="2" fillId="0" borderId="15" xfId="110" applyNumberFormat="1" applyFont="1" applyFill="1" applyBorder="1" applyAlignment="1" applyProtection="1">
      <alignment horizontal="center" vertical="center"/>
      <protection/>
    </xf>
    <xf numFmtId="186" fontId="2" fillId="0" borderId="16" xfId="110" applyNumberFormat="1" applyFont="1" applyFill="1" applyBorder="1" applyAlignment="1" applyProtection="1">
      <alignment horizontal="center" vertical="center"/>
      <protection/>
    </xf>
    <xf numFmtId="0" fontId="1" fillId="0" borderId="15" xfId="110" applyFont="1" applyFill="1" applyBorder="1" applyAlignment="1">
      <alignment horizontal="center" vertical="center" wrapText="1"/>
      <protection/>
    </xf>
    <xf numFmtId="0" fontId="2" fillId="0" borderId="15" xfId="110" applyFont="1" applyFill="1" applyBorder="1" applyAlignment="1">
      <alignment horizontal="center" vertical="center"/>
      <protection/>
    </xf>
    <xf numFmtId="2" fontId="2" fillId="0" borderId="10" xfId="110" applyNumberFormat="1" applyFont="1" applyFill="1" applyBorder="1" applyAlignment="1">
      <alignment horizontal="center" vertical="center"/>
      <protection/>
    </xf>
    <xf numFmtId="0" fontId="2" fillId="0" borderId="15" xfId="110" applyFont="1" applyFill="1" applyBorder="1" applyAlignment="1">
      <alignment horizontal="center" vertical="center"/>
      <protection/>
    </xf>
    <xf numFmtId="0" fontId="0" fillId="0" borderId="15"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 fillId="0" borderId="15" xfId="110" applyFont="1" applyFill="1" applyBorder="1" applyAlignment="1">
      <alignment horizontal="center" vertical="center"/>
      <protection/>
    </xf>
    <xf numFmtId="0" fontId="0" fillId="0" borderId="0" xfId="0" applyFill="1" applyAlignment="1">
      <alignment/>
    </xf>
    <xf numFmtId="1" fontId="2" fillId="0" borderId="10" xfId="0" applyNumberFormat="1" applyFont="1" applyFill="1" applyBorder="1" applyAlignment="1" applyProtection="1">
      <alignment horizontal="center" vertical="center"/>
      <protection/>
    </xf>
    <xf numFmtId="7" fontId="2" fillId="0" borderId="15" xfId="71" applyNumberFormat="1" applyFont="1" applyFill="1" applyBorder="1" applyAlignment="1">
      <alignment horizontal="center" vertical="center"/>
    </xf>
    <xf numFmtId="0" fontId="0" fillId="0" borderId="17" xfId="0" applyFont="1" applyFill="1" applyBorder="1" applyAlignment="1" applyProtection="1">
      <alignment horizontal="center" vertical="center" wrapText="1"/>
      <protection locked="0"/>
    </xf>
    <xf numFmtId="4" fontId="0" fillId="0" borderId="17" xfId="0" applyNumberFormat="1" applyFont="1" applyFill="1" applyBorder="1" applyAlignment="1" applyProtection="1">
      <alignment horizontal="center" vertical="center"/>
      <protection/>
    </xf>
    <xf numFmtId="186" fontId="0" fillId="0" borderId="17" xfId="0" applyNumberFormat="1" applyFont="1" applyFill="1" applyBorder="1" applyAlignment="1" applyProtection="1">
      <alignment horizontal="center" vertical="center"/>
      <protection/>
    </xf>
    <xf numFmtId="0" fontId="32" fillId="0" borderId="10" xfId="0" applyFont="1" applyFill="1" applyBorder="1" applyAlignment="1" applyProtection="1">
      <alignment horizontal="center" vertical="center" wrapText="1"/>
      <protection locked="0"/>
    </xf>
    <xf numFmtId="3" fontId="2" fillId="0" borderId="10" xfId="110" applyNumberFormat="1" applyFont="1" applyFill="1" applyBorder="1" applyAlignment="1">
      <alignment horizontal="center" vertical="center"/>
      <protection/>
    </xf>
    <xf numFmtId="4" fontId="2" fillId="0" borderId="10" xfId="110" applyNumberFormat="1" applyFont="1" applyFill="1" applyBorder="1" applyAlignment="1">
      <alignment horizontal="center" vertical="center"/>
      <protection/>
    </xf>
    <xf numFmtId="0" fontId="34" fillId="0" borderId="15" xfId="110" applyFont="1" applyFill="1" applyBorder="1" applyAlignment="1">
      <alignment horizontal="center" vertical="center" wrapText="1"/>
      <protection/>
    </xf>
    <xf numFmtId="0" fontId="34" fillId="0" borderId="15" xfId="110" applyFont="1" applyFill="1" applyBorder="1" applyAlignment="1">
      <alignment horizontal="center" vertical="center" wrapText="1"/>
      <protection/>
    </xf>
    <xf numFmtId="0" fontId="32" fillId="0" borderId="15" xfId="110" applyFont="1" applyFill="1" applyBorder="1" applyAlignment="1">
      <alignment horizontal="center" vertical="center" wrapText="1"/>
      <protection/>
    </xf>
    <xf numFmtId="0" fontId="33" fillId="0" borderId="10"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2" fontId="2" fillId="0" borderId="10" xfId="0" applyNumberFormat="1" applyFont="1" applyFill="1" applyBorder="1" applyAlignment="1" applyProtection="1">
      <alignment horizontal="center" vertical="center" wrapText="1"/>
      <protection locked="0"/>
    </xf>
    <xf numFmtId="4" fontId="2" fillId="0" borderId="10" xfId="110" applyNumberFormat="1" applyFont="1" applyFill="1" applyBorder="1" applyAlignment="1">
      <alignment horizontal="center" vertical="center"/>
      <protection/>
    </xf>
    <xf numFmtId="0" fontId="2" fillId="0" borderId="10" xfId="0" applyFont="1" applyFill="1" applyBorder="1" applyAlignment="1" applyProtection="1">
      <alignment horizontal="center" vertical="center" wrapText="1"/>
      <protection locked="0"/>
    </xf>
    <xf numFmtId="2" fontId="2" fillId="0" borderId="10" xfId="0" applyNumberFormat="1" applyFont="1" applyFill="1" applyBorder="1" applyAlignment="1" applyProtection="1">
      <alignment horizontal="center" vertical="center" wrapText="1"/>
      <protection locked="0"/>
    </xf>
    <xf numFmtId="1" fontId="2" fillId="0" borderId="10" xfId="0" applyNumberFormat="1" applyFont="1" applyFill="1" applyBorder="1" applyAlignment="1" applyProtection="1">
      <alignment horizontal="center" vertical="center" wrapText="1"/>
      <protection locked="0"/>
    </xf>
    <xf numFmtId="0" fontId="2" fillId="0" borderId="10" xfId="110" applyFont="1" applyFill="1" applyBorder="1" applyAlignment="1">
      <alignment horizontal="center" vertical="center"/>
      <protection/>
    </xf>
    <xf numFmtId="2" fontId="2" fillId="0" borderId="10" xfId="107" applyNumberFormat="1" applyFont="1" applyFill="1" applyBorder="1" applyAlignment="1" applyProtection="1">
      <alignment horizontal="center" vertical="center"/>
      <protection locked="0"/>
    </xf>
    <xf numFmtId="0" fontId="0" fillId="0" borderId="0" xfId="0" applyFont="1" applyFill="1" applyBorder="1" applyAlignment="1" applyProtection="1">
      <alignment vertical="center" wrapText="1"/>
      <protection locked="0"/>
    </xf>
    <xf numFmtId="0" fontId="0" fillId="0" borderId="0" xfId="0" applyFont="1" applyFill="1" applyBorder="1" applyAlignment="1" applyProtection="1">
      <alignment horizontal="right" wrapText="1"/>
      <protection locked="0"/>
    </xf>
    <xf numFmtId="3" fontId="0" fillId="0" borderId="0" xfId="0" applyNumberFormat="1" applyFont="1" applyFill="1" applyBorder="1" applyAlignment="1" applyProtection="1">
      <alignment horizontal="right"/>
      <protection/>
    </xf>
    <xf numFmtId="0" fontId="0" fillId="0" borderId="0" xfId="0" applyFill="1" applyBorder="1" applyAlignment="1" applyProtection="1">
      <alignment horizontal="right"/>
      <protection/>
    </xf>
    <xf numFmtId="3" fontId="0" fillId="0" borderId="0" xfId="0" applyNumberFormat="1" applyFont="1" applyFill="1" applyBorder="1" applyAlignment="1" applyProtection="1">
      <alignment horizontal="right" vertical="center"/>
      <protection/>
    </xf>
    <xf numFmtId="186" fontId="0" fillId="0" borderId="0" xfId="0" applyNumberFormat="1" applyFont="1" applyFill="1" applyBorder="1" applyAlignment="1" applyProtection="1">
      <alignment horizontal="right" vertical="center"/>
      <protection locked="0"/>
    </xf>
    <xf numFmtId="186" fontId="0" fillId="0" borderId="0" xfId="0" applyNumberFormat="1" applyFont="1" applyFill="1" applyBorder="1" applyAlignment="1" applyProtection="1">
      <alignment horizontal="right" vertical="center"/>
      <protection/>
    </xf>
    <xf numFmtId="186" fontId="0" fillId="0" borderId="0" xfId="0" applyNumberFormat="1" applyFill="1" applyBorder="1" applyAlignment="1" applyProtection="1">
      <alignment horizontal="right" vertical="center"/>
      <protection locked="0"/>
    </xf>
    <xf numFmtId="186" fontId="0" fillId="0" borderId="0" xfId="0" applyNumberFormat="1" applyFill="1" applyBorder="1" applyAlignment="1" applyProtection="1">
      <alignment horizontal="right" vertical="center"/>
      <protection/>
    </xf>
    <xf numFmtId="0" fontId="0" fillId="0" borderId="0" xfId="0" applyFont="1" applyFill="1" applyBorder="1" applyAlignment="1" applyProtection="1">
      <alignment vertical="center"/>
      <protection locked="0"/>
    </xf>
    <xf numFmtId="0" fontId="34" fillId="0" borderId="10" xfId="110" applyFont="1" applyFill="1" applyBorder="1" applyAlignment="1">
      <alignment horizontal="center" vertical="center" wrapText="1"/>
      <protection/>
    </xf>
    <xf numFmtId="186" fontId="2" fillId="0" borderId="10" xfId="110" applyNumberFormat="1" applyFont="1" applyFill="1" applyBorder="1" applyAlignment="1">
      <alignment horizontal="center" vertical="center"/>
      <protection/>
    </xf>
    <xf numFmtId="0" fontId="1" fillId="0" borderId="10" xfId="110" applyFill="1" applyBorder="1" applyAlignment="1">
      <alignment horizontal="center" vertical="center" wrapText="1"/>
      <protection/>
    </xf>
    <xf numFmtId="1" fontId="2" fillId="0" borderId="10" xfId="107" applyNumberFormat="1" applyFont="1" applyFill="1" applyBorder="1" applyAlignment="1" applyProtection="1">
      <alignment horizontal="center" vertical="center"/>
      <protection locked="0"/>
    </xf>
    <xf numFmtId="0" fontId="34" fillId="0" borderId="10" xfId="110" applyFont="1" applyFill="1" applyBorder="1" applyAlignment="1">
      <alignment horizontal="center" vertical="center" wrapText="1"/>
      <protection/>
    </xf>
    <xf numFmtId="0" fontId="25" fillId="0" borderId="11"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locked="0"/>
    </xf>
    <xf numFmtId="1" fontId="0" fillId="0" borderId="10" xfId="0" applyNumberForma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1" fontId="0" fillId="0" borderId="10" xfId="0" applyNumberFormat="1" applyFont="1" applyFill="1" applyBorder="1" applyAlignment="1" applyProtection="1">
      <alignment horizontal="center" vertical="center" wrapText="1"/>
      <protection locked="0"/>
    </xf>
    <xf numFmtId="4" fontId="0" fillId="0" borderId="10" xfId="0" applyNumberFormat="1" applyFont="1" applyFill="1" applyBorder="1" applyAlignment="1" applyProtection="1">
      <alignment horizontal="center" vertical="center" wrapText="1"/>
      <protection locked="0"/>
    </xf>
    <xf numFmtId="3" fontId="0" fillId="0" borderId="10" xfId="0" applyNumberFormat="1" applyFont="1" applyFill="1" applyBorder="1" applyAlignment="1" applyProtection="1">
      <alignment horizontal="center" vertical="center"/>
      <protection/>
    </xf>
    <xf numFmtId="4" fontId="0" fillId="0" borderId="10" xfId="0" applyNumberFormat="1" applyFont="1"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186" fontId="0" fillId="0" borderId="10" xfId="0" applyNumberFormat="1" applyFill="1" applyBorder="1" applyAlignment="1" applyProtection="1">
      <alignment horizontal="center" vertical="center"/>
      <protection locked="0"/>
    </xf>
    <xf numFmtId="186" fontId="0" fillId="0" borderId="10" xfId="0" applyNumberFormat="1" applyFont="1" applyFill="1" applyBorder="1" applyAlignment="1" applyProtection="1">
      <alignment horizontal="center" vertical="center"/>
      <protection locked="0"/>
    </xf>
    <xf numFmtId="186" fontId="0" fillId="0" borderId="10" xfId="0" applyNumberFormat="1" applyFont="1" applyFill="1" applyBorder="1" applyAlignment="1" applyProtection="1">
      <alignment horizontal="center" vertical="center"/>
      <protection/>
    </xf>
    <xf numFmtId="186" fontId="0" fillId="0" borderId="10" xfId="0" applyNumberFormat="1" applyFill="1" applyBorder="1" applyAlignment="1" applyProtection="1">
      <alignment horizontal="center" vertical="center"/>
      <protection/>
    </xf>
    <xf numFmtId="0" fontId="33" fillId="0" borderId="10" xfId="0" applyFont="1" applyFill="1" applyBorder="1" applyAlignment="1" applyProtection="1">
      <alignment vertical="center" wrapText="1"/>
      <protection locked="0"/>
    </xf>
    <xf numFmtId="4" fontId="0" fillId="0" borderId="10" xfId="0" applyNumberFormat="1" applyFill="1" applyBorder="1" applyAlignment="1" applyProtection="1">
      <alignment horizontal="center" vertical="center"/>
      <protection/>
    </xf>
    <xf numFmtId="0" fontId="0" fillId="0" borderId="17" xfId="0" applyFill="1" applyBorder="1" applyAlignment="1" applyProtection="1">
      <alignment horizontal="center" vertical="center" wrapText="1"/>
      <protection locked="0"/>
    </xf>
    <xf numFmtId="0" fontId="25" fillId="0" borderId="12" xfId="0" applyFont="1" applyFill="1" applyBorder="1" applyAlignment="1" applyProtection="1">
      <alignment horizontal="center" vertical="center" wrapText="1"/>
      <protection/>
    </xf>
    <xf numFmtId="0" fontId="27" fillId="0" borderId="12" xfId="0" applyFont="1" applyFill="1" applyBorder="1" applyAlignment="1" applyProtection="1">
      <alignment horizontal="center" vertical="center" wrapText="1"/>
      <protection/>
    </xf>
    <xf numFmtId="0" fontId="27" fillId="0" borderId="12" xfId="0" applyFont="1" applyFill="1" applyBorder="1" applyAlignment="1" applyProtection="1">
      <alignment horizontal="center" vertical="center"/>
      <protection/>
    </xf>
    <xf numFmtId="0" fontId="0" fillId="0" borderId="12" xfId="0" applyFill="1" applyBorder="1" applyAlignment="1" applyProtection="1">
      <alignment horizontal="center" vertical="center" wrapText="1"/>
      <protection/>
    </xf>
    <xf numFmtId="0" fontId="0" fillId="0" borderId="11" xfId="0"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protection/>
    </xf>
    <xf numFmtId="0" fontId="0" fillId="22" borderId="12" xfId="0" applyFill="1" applyBorder="1" applyAlignment="1" applyProtection="1">
      <alignment horizontal="center" vertical="center" wrapText="1"/>
      <protection/>
    </xf>
    <xf numFmtId="0" fontId="0" fillId="22" borderId="11" xfId="0" applyFill="1" applyBorder="1" applyAlignment="1" applyProtection="1">
      <alignment horizontal="center" vertical="center" wrapText="1"/>
      <protection/>
    </xf>
    <xf numFmtId="0" fontId="2" fillId="22" borderId="12" xfId="0" applyFont="1" applyFill="1" applyBorder="1" applyAlignment="1" applyProtection="1">
      <alignment horizontal="center" vertical="center" wrapText="1"/>
      <protection/>
    </xf>
    <xf numFmtId="0" fontId="2" fillId="22" borderId="12" xfId="0" applyFont="1" applyFill="1" applyBorder="1" applyAlignment="1" applyProtection="1">
      <alignment horizontal="center" vertical="center"/>
      <protection/>
    </xf>
    <xf numFmtId="0" fontId="0" fillId="0" borderId="10" xfId="0"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1" fontId="0" fillId="0" borderId="10" xfId="0" applyNumberFormat="1" applyBorder="1" applyAlignment="1" applyProtection="1">
      <alignment horizontal="center" vertical="center" wrapText="1"/>
      <protection locked="0"/>
    </xf>
    <xf numFmtId="2" fontId="0" fillId="0" borderId="10" xfId="0" applyNumberFormat="1" applyFont="1" applyBorder="1" applyAlignment="1" applyProtection="1">
      <alignment horizontal="center" vertical="center" wrapText="1"/>
      <protection locked="0"/>
    </xf>
    <xf numFmtId="1" fontId="0" fillId="0" borderId="10" xfId="0" applyNumberFormat="1" applyFont="1" applyBorder="1" applyAlignment="1" applyProtection="1">
      <alignment horizontal="center" vertical="center" wrapText="1"/>
      <protection locked="0"/>
    </xf>
    <xf numFmtId="4" fontId="0" fillId="0" borderId="10" xfId="0" applyNumberFormat="1" applyFont="1" applyBorder="1" applyAlignment="1" applyProtection="1">
      <alignment horizontal="center" vertical="center" wrapText="1"/>
      <protection locked="0"/>
    </xf>
    <xf numFmtId="3" fontId="0" fillId="20" borderId="10" xfId="0" applyNumberFormat="1" applyFont="1" applyFill="1" applyBorder="1" applyAlignment="1" applyProtection="1">
      <alignment horizontal="center" vertical="center"/>
      <protection/>
    </xf>
    <xf numFmtId="4" fontId="0" fillId="20" borderId="10" xfId="0" applyNumberFormat="1" applyFont="1" applyFill="1" applyBorder="1" applyAlignment="1" applyProtection="1">
      <alignment horizontal="center" vertical="center"/>
      <protection/>
    </xf>
    <xf numFmtId="0" fontId="0" fillId="20" borderId="10" xfId="0" applyFill="1" applyBorder="1" applyAlignment="1" applyProtection="1">
      <alignment horizontal="center" vertical="center"/>
      <protection/>
    </xf>
    <xf numFmtId="3" fontId="0" fillId="22" borderId="10" xfId="0" applyNumberFormat="1" applyFont="1" applyFill="1" applyBorder="1" applyAlignment="1" applyProtection="1">
      <alignment horizontal="center" vertical="center"/>
      <protection/>
    </xf>
    <xf numFmtId="4" fontId="0" fillId="22" borderId="10" xfId="0" applyNumberFormat="1" applyFont="1" applyFill="1" applyBorder="1" applyAlignment="1" applyProtection="1">
      <alignment horizontal="center" vertical="center"/>
      <protection/>
    </xf>
    <xf numFmtId="186" fontId="0" fillId="0" borderId="10" xfId="0" applyNumberFormat="1" applyBorder="1" applyAlignment="1" applyProtection="1">
      <alignment horizontal="center" vertical="center"/>
      <protection locked="0"/>
    </xf>
    <xf numFmtId="186" fontId="0" fillId="0" borderId="10" xfId="0" applyNumberFormat="1" applyFont="1" applyBorder="1" applyAlignment="1" applyProtection="1">
      <alignment horizontal="center" vertical="center"/>
      <protection locked="0"/>
    </xf>
    <xf numFmtId="186" fontId="0" fillId="22" borderId="10" xfId="0" applyNumberFormat="1" applyFont="1" applyFill="1" applyBorder="1" applyAlignment="1" applyProtection="1">
      <alignment horizontal="center" vertical="center"/>
      <protection/>
    </xf>
    <xf numFmtId="186" fontId="0" fillId="25" borderId="10" xfId="0" applyNumberFormat="1" applyFill="1" applyBorder="1" applyAlignment="1" applyProtection="1">
      <alignment horizontal="center" vertical="center"/>
      <protection locked="0"/>
    </xf>
    <xf numFmtId="186" fontId="0" fillId="22" borderId="10" xfId="0" applyNumberFormat="1" applyFill="1" applyBorder="1" applyAlignment="1" applyProtection="1">
      <alignment horizontal="center" vertical="center"/>
      <protection/>
    </xf>
    <xf numFmtId="0" fontId="33" fillId="25" borderId="10" xfId="0" applyFont="1" applyFill="1" applyBorder="1" applyAlignment="1" applyProtection="1">
      <alignment vertical="center" wrapText="1"/>
      <protection locked="0"/>
    </xf>
    <xf numFmtId="4" fontId="0" fillId="20" borderId="10" xfId="0" applyNumberFormat="1" applyFill="1" applyBorder="1" applyAlignment="1" applyProtection="1">
      <alignment horizontal="center" vertical="center"/>
      <protection/>
    </xf>
    <xf numFmtId="0" fontId="33" fillId="25" borderId="10" xfId="0" applyFont="1" applyFill="1" applyBorder="1" applyAlignment="1" applyProtection="1">
      <alignment horizontal="center" vertical="center" wrapText="1"/>
      <protection locked="0"/>
    </xf>
    <xf numFmtId="0" fontId="0" fillId="17" borderId="10" xfId="0" applyFont="1" applyFill="1" applyBorder="1" applyAlignment="1" applyProtection="1">
      <alignment horizontal="center" vertical="center" wrapText="1"/>
      <protection locked="0"/>
    </xf>
    <xf numFmtId="0" fontId="0" fillId="17" borderId="10" xfId="0" applyFill="1" applyBorder="1" applyAlignment="1" applyProtection="1">
      <alignment horizontal="center" vertical="center" wrapText="1"/>
      <protection locked="0"/>
    </xf>
    <xf numFmtId="2" fontId="0" fillId="20" borderId="10" xfId="0" applyNumberFormat="1" applyFill="1" applyBorder="1" applyAlignment="1" applyProtection="1">
      <alignment horizontal="center" vertical="center"/>
      <protection/>
    </xf>
    <xf numFmtId="0" fontId="32" fillId="25" borderId="10" xfId="0" applyFont="1" applyFill="1"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22" borderId="11" xfId="0" applyFont="1" applyFill="1" applyBorder="1" applyAlignment="1" applyProtection="1">
      <alignment horizontal="center" vertical="center" wrapText="1"/>
      <protection/>
    </xf>
    <xf numFmtId="0" fontId="0" fillId="22" borderId="12" xfId="0" applyFont="1" applyFill="1" applyBorder="1" applyAlignment="1" applyProtection="1">
      <alignment horizontal="center" vertical="center" wrapText="1"/>
      <protection/>
    </xf>
    <xf numFmtId="0" fontId="0" fillId="22" borderId="14" xfId="0" applyFont="1" applyFill="1" applyBorder="1" applyAlignment="1" applyProtection="1">
      <alignment horizontal="center" vertical="center" wrapText="1"/>
      <protection/>
    </xf>
    <xf numFmtId="1" fontId="2" fillId="0" borderId="10" xfId="0" applyNumberFormat="1" applyFont="1" applyBorder="1" applyAlignment="1" applyProtection="1">
      <alignment horizontal="center" vertical="center" wrapText="1"/>
      <protection locked="0"/>
    </xf>
    <xf numFmtId="2" fontId="2" fillId="0" borderId="10" xfId="0" applyNumberFormat="1"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3" fontId="0" fillId="20" borderId="10" xfId="0" applyNumberFormat="1" applyFont="1" applyFill="1" applyBorder="1" applyAlignment="1" applyProtection="1">
      <alignment horizontal="center" vertical="center"/>
      <protection/>
    </xf>
    <xf numFmtId="4" fontId="0" fillId="20" borderId="10" xfId="0" applyNumberFormat="1" applyFont="1" applyFill="1" applyBorder="1" applyAlignment="1" applyProtection="1">
      <alignment horizontal="center" vertical="center"/>
      <protection/>
    </xf>
    <xf numFmtId="1" fontId="0" fillId="20" borderId="10" xfId="0" applyNumberFormat="1" applyFont="1" applyFill="1" applyBorder="1" applyAlignment="1" applyProtection="1">
      <alignment horizontal="center" vertical="center"/>
      <protection/>
    </xf>
    <xf numFmtId="2" fontId="0" fillId="20" borderId="10" xfId="0" applyNumberFormat="1" applyFont="1" applyFill="1" applyBorder="1" applyAlignment="1" applyProtection="1">
      <alignment horizontal="center" vertical="center"/>
      <protection/>
    </xf>
    <xf numFmtId="3" fontId="0" fillId="22" borderId="10" xfId="0" applyNumberFormat="1" applyFont="1" applyFill="1" applyBorder="1" applyAlignment="1" applyProtection="1">
      <alignment horizontal="center" vertical="center"/>
      <protection/>
    </xf>
    <xf numFmtId="4" fontId="0" fillId="22" borderId="10" xfId="0" applyNumberFormat="1" applyFont="1" applyFill="1" applyBorder="1" applyAlignment="1" applyProtection="1">
      <alignment horizontal="center" vertical="center"/>
      <protection/>
    </xf>
    <xf numFmtId="186" fontId="0" fillId="22" borderId="10" xfId="0" applyNumberFormat="1" applyFont="1" applyFill="1" applyBorder="1" applyAlignment="1" applyProtection="1">
      <alignment horizontal="center" vertical="center"/>
      <protection/>
    </xf>
    <xf numFmtId="0" fontId="33" fillId="25" borderId="10" xfId="0" applyFont="1" applyFill="1" applyBorder="1" applyAlignment="1" applyProtection="1">
      <alignment horizontal="center" vertical="center"/>
      <protection locked="0"/>
    </xf>
    <xf numFmtId="4" fontId="2" fillId="0" borderId="10" xfId="0" applyNumberFormat="1" applyFont="1" applyFill="1" applyBorder="1" applyAlignment="1" applyProtection="1">
      <alignment horizontal="center" vertical="center" wrapText="1"/>
      <protection locked="0"/>
    </xf>
    <xf numFmtId="1" fontId="2" fillId="20" borderId="10" xfId="0" applyNumberFormat="1" applyFont="1" applyFill="1" applyBorder="1" applyAlignment="1" applyProtection="1">
      <alignment horizontal="center" vertical="center"/>
      <protection/>
    </xf>
    <xf numFmtId="2" fontId="2" fillId="20" borderId="10" xfId="0" applyNumberFormat="1" applyFont="1" applyFill="1" applyBorder="1" applyAlignment="1" applyProtection="1">
      <alignment horizontal="center" vertical="center"/>
      <protection/>
    </xf>
    <xf numFmtId="7" fontId="2" fillId="0" borderId="15" xfId="71" applyNumberFormat="1" applyFont="1" applyBorder="1" applyAlignment="1">
      <alignment horizontal="center" vertical="center"/>
    </xf>
    <xf numFmtId="0" fontId="40" fillId="25" borderId="10" xfId="0" applyFont="1" applyFill="1" applyBorder="1" applyAlignment="1" applyProtection="1">
      <alignment horizontal="center" vertical="center" wrapText="1"/>
      <protection locked="0"/>
    </xf>
    <xf numFmtId="0" fontId="2" fillId="0" borderId="10" xfId="110" applyFont="1" applyBorder="1" applyAlignment="1">
      <alignment horizontal="center" vertical="center"/>
      <protection/>
    </xf>
    <xf numFmtId="2" fontId="2" fillId="0" borderId="10" xfId="110" applyNumberFormat="1" applyFont="1" applyBorder="1" applyAlignment="1">
      <alignment horizontal="center" vertical="center"/>
      <protection/>
    </xf>
    <xf numFmtId="4" fontId="2" fillId="0" borderId="10" xfId="110" applyNumberFormat="1" applyFont="1" applyBorder="1" applyAlignment="1">
      <alignment horizontal="center" vertical="center"/>
      <protection/>
    </xf>
    <xf numFmtId="0" fontId="0" fillId="20" borderId="10" xfId="0" applyFont="1" applyFill="1" applyBorder="1" applyAlignment="1" applyProtection="1">
      <alignment horizontal="center" vertical="center"/>
      <protection/>
    </xf>
    <xf numFmtId="0" fontId="2" fillId="0" borderId="15" xfId="110" applyFont="1" applyBorder="1" applyAlignment="1">
      <alignment horizontal="center" vertical="center"/>
      <protection/>
    </xf>
    <xf numFmtId="0" fontId="34" fillId="0" borderId="15" xfId="110" applyFont="1" applyBorder="1" applyAlignment="1">
      <alignment horizontal="center" vertical="center" wrapText="1"/>
      <protection/>
    </xf>
    <xf numFmtId="0" fontId="2" fillId="0" borderId="10" xfId="110" applyFont="1" applyBorder="1" applyAlignment="1">
      <alignment horizontal="center" vertical="center"/>
      <protection/>
    </xf>
    <xf numFmtId="4" fontId="0" fillId="20" borderId="17" xfId="0" applyNumberFormat="1" applyFont="1" applyFill="1" applyBorder="1" applyAlignment="1" applyProtection="1">
      <alignment horizontal="center" vertical="center"/>
      <protection/>
    </xf>
    <xf numFmtId="4" fontId="0" fillId="22" borderId="17" xfId="0" applyNumberFormat="1" applyFont="1" applyFill="1" applyBorder="1" applyAlignment="1" applyProtection="1">
      <alignment horizontal="center" vertical="center"/>
      <protection/>
    </xf>
    <xf numFmtId="186" fontId="2" fillId="0" borderId="15" xfId="110" applyNumberFormat="1" applyFont="1" applyBorder="1" applyAlignment="1">
      <alignment horizontal="center" vertical="center"/>
      <protection/>
    </xf>
    <xf numFmtId="186" fontId="0" fillId="22" borderId="17" xfId="0" applyNumberFormat="1" applyFont="1" applyFill="1" applyBorder="1" applyAlignment="1" applyProtection="1">
      <alignment horizontal="center" vertical="center"/>
      <protection/>
    </xf>
    <xf numFmtId="0" fontId="1" fillId="0" borderId="15" xfId="110" applyFill="1" applyBorder="1" applyAlignment="1">
      <alignment horizontal="center" vertical="center" wrapText="1"/>
      <protection/>
    </xf>
    <xf numFmtId="1" fontId="2" fillId="25" borderId="18" xfId="107" applyNumberFormat="1" applyFont="1" applyFill="1" applyBorder="1" applyAlignment="1" applyProtection="1">
      <alignment horizontal="center" vertical="center"/>
      <protection locked="0"/>
    </xf>
    <xf numFmtId="2" fontId="2" fillId="25" borderId="10" xfId="107" applyNumberFormat="1" applyFont="1" applyFill="1" applyBorder="1" applyAlignment="1" applyProtection="1">
      <alignment horizontal="center" vertical="center"/>
      <protection locked="0"/>
    </xf>
    <xf numFmtId="186" fontId="0" fillId="25" borderId="10" xfId="0" applyNumberFormat="1" applyFont="1" applyFill="1" applyBorder="1" applyAlignment="1" applyProtection="1">
      <alignment horizontal="center" vertical="center"/>
      <protection locked="0"/>
    </xf>
    <xf numFmtId="0" fontId="40" fillId="0" borderId="10" xfId="0" applyFont="1" applyFill="1" applyBorder="1" applyAlignment="1" applyProtection="1">
      <alignment horizontal="center" vertical="center"/>
      <protection locked="0"/>
    </xf>
    <xf numFmtId="0" fontId="2" fillId="0" borderId="10" xfId="110" applyFont="1" applyBorder="1" applyAlignment="1">
      <alignment horizontal="center" vertical="center"/>
      <protection/>
    </xf>
    <xf numFmtId="2" fontId="2" fillId="0" borderId="10" xfId="110" applyNumberFormat="1" applyFont="1" applyBorder="1" applyAlignment="1">
      <alignment horizontal="center" vertical="center"/>
      <protection/>
    </xf>
    <xf numFmtId="0" fontId="2" fillId="0" borderId="15" xfId="110" applyFont="1" applyBorder="1" applyAlignment="1">
      <alignment horizontal="center" vertical="center"/>
      <protection/>
    </xf>
    <xf numFmtId="4" fontId="2" fillId="0" borderId="10" xfId="110" applyNumberFormat="1" applyFont="1" applyBorder="1" applyAlignment="1">
      <alignment horizontal="center" vertical="center"/>
      <protection/>
    </xf>
    <xf numFmtId="8" fontId="2" fillId="0" borderId="15" xfId="110" applyNumberFormat="1" applyFont="1" applyBorder="1" applyAlignment="1">
      <alignment horizontal="center" vertical="center"/>
      <protection/>
    </xf>
    <xf numFmtId="0" fontId="33" fillId="25" borderId="10" xfId="0" applyFont="1" applyFill="1" applyBorder="1" applyAlignment="1" applyProtection="1">
      <alignment horizontal="left" vertical="center" wrapText="1"/>
      <protection locked="0"/>
    </xf>
    <xf numFmtId="0" fontId="41" fillId="0" borderId="15" xfId="110" applyFont="1" applyBorder="1" applyAlignment="1">
      <alignment horizontal="left" vertical="center" wrapText="1"/>
      <protection/>
    </xf>
    <xf numFmtId="186" fontId="26" fillId="25" borderId="10" xfId="0" applyNumberFormat="1" applyFont="1" applyFill="1" applyBorder="1" applyAlignment="1" applyProtection="1">
      <alignment horizontal="center" vertical="center"/>
      <protection locked="0"/>
    </xf>
    <xf numFmtId="0" fontId="41" fillId="0" borderId="15" xfId="110" applyFont="1" applyBorder="1" applyAlignment="1">
      <alignment horizontal="center" vertical="center" wrapText="1"/>
      <protection/>
    </xf>
    <xf numFmtId="0" fontId="40" fillId="0" borderId="10" xfId="0" applyFont="1" applyFill="1" applyBorder="1" applyAlignment="1" applyProtection="1">
      <alignment horizontal="center" vertical="center" wrapText="1"/>
      <protection locked="0"/>
    </xf>
    <xf numFmtId="186" fontId="26" fillId="0" borderId="10" xfId="0" applyNumberFormat="1" applyFont="1" applyBorder="1" applyAlignment="1" applyProtection="1">
      <alignment horizontal="center" vertical="center"/>
      <protection locked="0"/>
    </xf>
    <xf numFmtId="0" fontId="42" fillId="0" borderId="15" xfId="110" applyFont="1" applyBorder="1" applyAlignment="1">
      <alignment horizontal="center" vertical="center" wrapText="1"/>
      <protection/>
    </xf>
    <xf numFmtId="0" fontId="1" fillId="0" borderId="19" xfId="110" applyFont="1" applyBorder="1" applyAlignment="1">
      <alignment horizontal="center" vertical="center" wrapText="1"/>
      <protection/>
    </xf>
    <xf numFmtId="0" fontId="0" fillId="0" borderId="10" xfId="0" applyFont="1" applyBorder="1" applyAlignment="1" applyProtection="1">
      <alignment horizontal="center" vertical="center" wrapText="1"/>
      <protection locked="0"/>
    </xf>
    <xf numFmtId="2" fontId="0" fillId="0" borderId="10" xfId="0" applyNumberFormat="1" applyFont="1" applyBorder="1" applyAlignment="1" applyProtection="1">
      <alignment horizontal="center" vertical="center" wrapText="1"/>
      <protection locked="0"/>
    </xf>
    <xf numFmtId="1" fontId="0" fillId="0" borderId="10" xfId="0" applyNumberFormat="1" applyFont="1" applyBorder="1" applyAlignment="1" applyProtection="1">
      <alignment horizontal="center" vertical="center" wrapText="1"/>
      <protection locked="0"/>
    </xf>
    <xf numFmtId="186" fontId="2" fillId="0" borderId="10" xfId="0" applyNumberFormat="1" applyFont="1" applyBorder="1" applyAlignment="1" applyProtection="1">
      <alignment horizontal="center" vertical="center"/>
      <protection locked="0"/>
    </xf>
    <xf numFmtId="0" fontId="29" fillId="25" borderId="10" xfId="0" applyFont="1" applyFill="1" applyBorder="1" applyAlignment="1" applyProtection="1">
      <alignment horizontal="center" vertical="center"/>
      <protection locked="0"/>
    </xf>
    <xf numFmtId="0" fontId="29" fillId="25" borderId="10" xfId="0" applyFont="1" applyFill="1" applyBorder="1" applyAlignment="1" applyProtection="1">
      <alignment horizontal="center" vertical="center" wrapText="1"/>
      <protection locked="0"/>
    </xf>
    <xf numFmtId="0" fontId="2" fillId="20" borderId="10" xfId="0" applyFont="1" applyFill="1" applyBorder="1" applyAlignment="1" applyProtection="1">
      <alignment horizontal="center" vertical="center"/>
      <protection/>
    </xf>
    <xf numFmtId="3" fontId="0" fillId="22" borderId="17" xfId="0" applyNumberFormat="1" applyFont="1" applyFill="1" applyBorder="1" applyAlignment="1" applyProtection="1">
      <alignment horizontal="center" vertical="center"/>
      <protection/>
    </xf>
    <xf numFmtId="0" fontId="26" fillId="0" borderId="10" xfId="0" applyFont="1" applyBorder="1" applyAlignment="1" applyProtection="1">
      <alignment horizontal="center" vertical="center" wrapText="1"/>
      <protection locked="0"/>
    </xf>
    <xf numFmtId="0" fontId="42" fillId="25" borderId="1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4" fontId="0" fillId="20" borderId="14" xfId="0" applyNumberFormat="1" applyFont="1" applyFill="1" applyBorder="1" applyAlignment="1" applyProtection="1">
      <alignment horizontal="center" vertical="center"/>
      <protection/>
    </xf>
    <xf numFmtId="2" fontId="0" fillId="0" borderId="14" xfId="0" applyNumberFormat="1" applyFont="1" applyFill="1" applyBorder="1" applyAlignment="1" applyProtection="1">
      <alignment horizontal="center" vertical="center" wrapText="1"/>
      <protection locked="0"/>
    </xf>
    <xf numFmtId="3" fontId="0" fillId="20" borderId="14" xfId="0" applyNumberFormat="1" applyFont="1" applyFill="1" applyBorder="1" applyAlignment="1" applyProtection="1">
      <alignment horizontal="center" vertical="center"/>
      <protection/>
    </xf>
    <xf numFmtId="4" fontId="0" fillId="22" borderId="14" xfId="0" applyNumberFormat="1" applyFont="1" applyFill="1" applyBorder="1" applyAlignment="1" applyProtection="1">
      <alignment horizontal="center" vertical="center"/>
      <protection/>
    </xf>
    <xf numFmtId="0" fontId="0" fillId="20" borderId="14" xfId="0" applyFill="1" applyBorder="1" applyAlignment="1" applyProtection="1">
      <alignment horizontal="center" vertical="center"/>
      <protection/>
    </xf>
    <xf numFmtId="2" fontId="0" fillId="20" borderId="14" xfId="0" applyNumberFormat="1" applyFill="1" applyBorder="1" applyAlignment="1" applyProtection="1">
      <alignment horizontal="center" vertical="center"/>
      <protection/>
    </xf>
    <xf numFmtId="3" fontId="0" fillId="22" borderId="14" xfId="0" applyNumberFormat="1" applyFont="1" applyFill="1" applyBorder="1" applyAlignment="1" applyProtection="1">
      <alignment horizontal="center" vertical="center"/>
      <protection/>
    </xf>
    <xf numFmtId="0" fontId="34" fillId="25" borderId="10" xfId="0" applyFont="1" applyFill="1" applyBorder="1" applyAlignment="1" applyProtection="1">
      <alignment horizontal="center" vertical="center" wrapText="1"/>
      <protection locked="0"/>
    </xf>
    <xf numFmtId="186" fontId="0" fillId="22" borderId="14" xfId="0" applyNumberFormat="1" applyFill="1" applyBorder="1" applyAlignment="1" applyProtection="1">
      <alignment horizontal="center" vertical="center"/>
      <protection/>
    </xf>
    <xf numFmtId="186" fontId="0" fillId="22" borderId="14" xfId="0" applyNumberFormat="1" applyFont="1" applyFill="1" applyBorder="1" applyAlignment="1" applyProtection="1">
      <alignment horizontal="center" vertical="center"/>
      <protection/>
    </xf>
    <xf numFmtId="0" fontId="26" fillId="0" borderId="10" xfId="0" applyFont="1" applyFill="1" applyBorder="1" applyAlignment="1" applyProtection="1">
      <alignment horizontal="center" vertical="center" wrapText="1"/>
      <protection locked="0"/>
    </xf>
    <xf numFmtId="186" fontId="2" fillId="25" borderId="10" xfId="0" applyNumberFormat="1" applyFont="1" applyFill="1" applyBorder="1" applyAlignment="1" applyProtection="1">
      <alignment horizontal="center" vertical="center"/>
      <protection locked="0"/>
    </xf>
    <xf numFmtId="186" fontId="0" fillId="22" borderId="18" xfId="0" applyNumberFormat="1" applyFill="1" applyBorder="1" applyAlignment="1" applyProtection="1">
      <alignment horizontal="center" vertical="center"/>
      <protection/>
    </xf>
    <xf numFmtId="0" fontId="42" fillId="0" borderId="10" xfId="110" applyFont="1" applyBorder="1" applyAlignment="1">
      <alignment horizontal="center" vertical="center" wrapText="1"/>
      <protection/>
    </xf>
    <xf numFmtId="0" fontId="0" fillId="22" borderId="20" xfId="0" applyFill="1" applyBorder="1" applyAlignment="1" applyProtection="1">
      <alignment horizontal="center" vertical="center" wrapText="1"/>
      <protection/>
    </xf>
    <xf numFmtId="0" fontId="0" fillId="22" borderId="21" xfId="0" applyFill="1" applyBorder="1" applyAlignment="1" applyProtection="1">
      <alignment horizontal="center" vertical="center"/>
      <protection/>
    </xf>
    <xf numFmtId="0" fontId="0" fillId="22" borderId="22" xfId="0" applyFill="1" applyBorder="1" applyAlignment="1" applyProtection="1">
      <alignment horizontal="center" vertical="center"/>
      <protection/>
    </xf>
    <xf numFmtId="0" fontId="0" fillId="22" borderId="23" xfId="0" applyFill="1" applyBorder="1" applyAlignment="1" applyProtection="1">
      <alignment horizontal="center" vertical="center"/>
      <protection/>
    </xf>
    <xf numFmtId="0" fontId="0" fillId="22" borderId="10" xfId="0" applyFill="1" applyBorder="1" applyAlignment="1" applyProtection="1">
      <alignment horizontal="center" vertical="center"/>
      <protection/>
    </xf>
    <xf numFmtId="0" fontId="0" fillId="22" borderId="10" xfId="0" applyFont="1" applyFill="1" applyBorder="1" applyAlignment="1" applyProtection="1">
      <alignment horizontal="center" vertical="center"/>
      <protection/>
    </xf>
    <xf numFmtId="0" fontId="2" fillId="22" borderId="24" xfId="0" applyFont="1" applyFill="1" applyBorder="1" applyAlignment="1" applyProtection="1">
      <alignment horizontal="center" vertical="center" wrapText="1"/>
      <protection/>
    </xf>
    <xf numFmtId="0" fontId="2" fillId="22" borderId="25" xfId="0" applyFont="1" applyFill="1" applyBorder="1" applyAlignment="1" applyProtection="1">
      <alignment horizontal="center" vertical="center" wrapText="1"/>
      <protection/>
    </xf>
    <xf numFmtId="0" fontId="0" fillId="22" borderId="11" xfId="0" applyFill="1" applyBorder="1" applyAlignment="1" applyProtection="1">
      <alignment horizontal="center" vertical="center"/>
      <protection/>
    </xf>
    <xf numFmtId="0" fontId="0" fillId="22" borderId="26" xfId="0" applyFill="1" applyBorder="1" applyAlignment="1" applyProtection="1">
      <alignment horizontal="center" vertical="center"/>
      <protection/>
    </xf>
    <xf numFmtId="0" fontId="0" fillId="22" borderId="27" xfId="0" applyFill="1" applyBorder="1" applyAlignment="1" applyProtection="1">
      <alignment horizontal="center" vertical="center"/>
      <protection/>
    </xf>
    <xf numFmtId="0" fontId="2" fillId="22" borderId="21" xfId="0" applyFont="1" applyFill="1" applyBorder="1" applyAlignment="1" applyProtection="1">
      <alignment horizontal="center" vertical="center" wrapText="1"/>
      <protection/>
    </xf>
    <xf numFmtId="0" fontId="2" fillId="22" borderId="23" xfId="0" applyFont="1" applyFill="1" applyBorder="1" applyAlignment="1" applyProtection="1">
      <alignment horizontal="center" vertical="center" wrapText="1"/>
      <protection/>
    </xf>
    <xf numFmtId="188" fontId="0" fillId="0" borderId="10" xfId="0" applyNumberFormat="1" applyBorder="1" applyAlignment="1" applyProtection="1">
      <alignment horizontal="center" vertical="center"/>
      <protection locked="0"/>
    </xf>
    <xf numFmtId="188" fontId="0" fillId="0" borderId="10" xfId="0" applyNumberFormat="1" applyFont="1" applyBorder="1" applyAlignment="1" applyProtection="1">
      <alignment horizontal="center" vertical="center"/>
      <protection locked="0"/>
    </xf>
    <xf numFmtId="188" fontId="0" fillId="22" borderId="10" xfId="0" applyNumberFormat="1" applyFont="1" applyFill="1" applyBorder="1" applyAlignment="1" applyProtection="1">
      <alignment horizontal="center" vertical="center"/>
      <protection/>
    </xf>
    <xf numFmtId="188" fontId="0" fillId="25" borderId="10" xfId="0" applyNumberFormat="1" applyFill="1" applyBorder="1" applyAlignment="1" applyProtection="1">
      <alignment horizontal="center" vertical="center"/>
      <protection locked="0"/>
    </xf>
    <xf numFmtId="188" fontId="0" fillId="22" borderId="10" xfId="0" applyNumberFormat="1" applyFill="1" applyBorder="1" applyAlignment="1" applyProtection="1">
      <alignment horizontal="center" vertical="center"/>
      <protection/>
    </xf>
    <xf numFmtId="0" fontId="0" fillId="22" borderId="12" xfId="0" applyFont="1" applyFill="1" applyBorder="1" applyAlignment="1" applyProtection="1">
      <alignment horizontal="center" vertical="center" wrapText="1"/>
      <protection/>
    </xf>
    <xf numFmtId="0" fontId="0" fillId="22" borderId="11" xfId="0" applyFill="1" applyBorder="1" applyAlignment="1" applyProtection="1">
      <alignment horizontal="center" vertical="center" wrapText="1"/>
      <protection/>
    </xf>
    <xf numFmtId="0" fontId="0" fillId="22" borderId="26" xfId="0" applyFill="1" applyBorder="1" applyAlignment="1" applyProtection="1">
      <alignment horizontal="center" vertical="center" wrapText="1"/>
      <protection/>
    </xf>
    <xf numFmtId="0" fontId="0" fillId="22" borderId="27" xfId="0" applyFill="1" applyBorder="1" applyAlignment="1" applyProtection="1">
      <alignment horizontal="center" vertical="center" wrapText="1"/>
      <protection/>
    </xf>
    <xf numFmtId="188" fontId="0" fillId="25" borderId="10" xfId="0" applyNumberFormat="1" applyFont="1" applyFill="1" applyBorder="1" applyAlignment="1" applyProtection="1">
      <alignment horizontal="center" vertical="center"/>
      <protection locked="0"/>
    </xf>
    <xf numFmtId="0" fontId="32" fillId="25" borderId="10" xfId="0" applyFont="1" applyFill="1" applyBorder="1" applyAlignment="1" applyProtection="1">
      <alignment horizontal="left" vertical="center" wrapText="1"/>
      <protection locked="0"/>
    </xf>
    <xf numFmtId="0" fontId="0" fillId="0" borderId="11"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2" fillId="0" borderId="21"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0" fillId="0" borderId="21"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0" fillId="0" borderId="23" xfId="0" applyFill="1" applyBorder="1" applyAlignment="1" applyProtection="1">
      <alignment horizontal="center" vertical="center"/>
      <protection/>
    </xf>
    <xf numFmtId="0" fontId="0" fillId="0" borderId="12" xfId="0" applyFill="1" applyBorder="1" applyAlignment="1" applyProtection="1">
      <alignment horizontal="center" vertical="center" wrapText="1"/>
      <protection/>
    </xf>
    <xf numFmtId="0" fontId="0" fillId="0" borderId="20" xfId="0" applyFill="1" applyBorder="1" applyAlignment="1" applyProtection="1">
      <alignment horizontal="center" vertical="center" wrapText="1"/>
      <protection/>
    </xf>
    <xf numFmtId="0" fontId="0" fillId="0" borderId="11" xfId="0" applyFill="1" applyBorder="1" applyAlignment="1" applyProtection="1">
      <alignment horizontal="center" vertical="center" wrapText="1"/>
      <protection/>
    </xf>
    <xf numFmtId="0" fontId="0" fillId="0" borderId="27" xfId="0" applyFill="1" applyBorder="1" applyAlignment="1" applyProtection="1">
      <alignment horizontal="center" vertical="center" wrapText="1"/>
      <protection/>
    </xf>
    <xf numFmtId="0" fontId="0" fillId="0" borderId="10" xfId="0"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0" fillId="0" borderId="28" xfId="0" applyFill="1" applyBorder="1" applyAlignment="1" applyProtection="1">
      <alignment horizontal="center" vertical="center" wrapText="1"/>
      <protection/>
    </xf>
    <xf numFmtId="0" fontId="0" fillId="0" borderId="10" xfId="0"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24" xfId="0" applyFill="1" applyBorder="1" applyAlignment="1" applyProtection="1">
      <alignment horizontal="center" vertical="center" wrapText="1"/>
      <protection/>
    </xf>
    <xf numFmtId="0" fontId="0" fillId="0" borderId="25" xfId="0" applyFill="1" applyBorder="1" applyAlignment="1" applyProtection="1">
      <alignment horizontal="center" vertical="center" wrapText="1"/>
      <protection/>
    </xf>
    <xf numFmtId="0" fontId="0" fillId="0" borderId="28" xfId="0" applyFill="1" applyBorder="1" applyAlignment="1" applyProtection="1">
      <alignment horizontal="center"/>
      <protection/>
    </xf>
    <xf numFmtId="0" fontId="0" fillId="0" borderId="20" xfId="0" applyFill="1" applyBorder="1" applyAlignment="1" applyProtection="1">
      <alignment horizontal="center"/>
      <protection/>
    </xf>
    <xf numFmtId="0" fontId="0" fillId="0" borderId="12" xfId="0" applyFont="1" applyFill="1" applyBorder="1" applyAlignment="1" applyProtection="1">
      <alignment horizontal="center" vertical="center" wrapText="1"/>
      <protection/>
    </xf>
    <xf numFmtId="0" fontId="0" fillId="0" borderId="26" xfId="0" applyFill="1" applyBorder="1" applyAlignment="1" applyProtection="1">
      <alignment horizontal="center" vertical="center" wrapText="1"/>
      <protection/>
    </xf>
    <xf numFmtId="0" fontId="0" fillId="22" borderId="12" xfId="0" applyFill="1" applyBorder="1" applyAlignment="1" applyProtection="1">
      <alignment horizontal="center" vertical="center" wrapText="1"/>
      <protection/>
    </xf>
    <xf numFmtId="0" fontId="0" fillId="22" borderId="28" xfId="0" applyFill="1" applyBorder="1" applyAlignment="1" applyProtection="1">
      <alignment horizontal="center"/>
      <protection/>
    </xf>
    <xf numFmtId="0" fontId="0" fillId="22" borderId="20" xfId="0" applyFill="1" applyBorder="1" applyAlignment="1" applyProtection="1">
      <alignment horizontal="center"/>
      <protection/>
    </xf>
    <xf numFmtId="0" fontId="2" fillId="22" borderId="12" xfId="0" applyFont="1" applyFill="1" applyBorder="1" applyAlignment="1" applyProtection="1">
      <alignment horizontal="center" vertical="center" wrapText="1"/>
      <protection/>
    </xf>
    <xf numFmtId="0" fontId="2" fillId="22" borderId="28" xfId="0" applyFont="1" applyFill="1" applyBorder="1" applyAlignment="1" applyProtection="1">
      <alignment horizontal="center" vertical="center" wrapText="1"/>
      <protection/>
    </xf>
    <xf numFmtId="0" fontId="2" fillId="22" borderId="20" xfId="0" applyFont="1" applyFill="1" applyBorder="1" applyAlignment="1" applyProtection="1">
      <alignment horizontal="center" vertical="center" wrapText="1"/>
      <protection/>
    </xf>
    <xf numFmtId="0" fontId="0" fillId="22" borderId="28" xfId="0" applyFill="1" applyBorder="1" applyAlignment="1" applyProtection="1">
      <alignment horizontal="center" vertical="center" wrapText="1"/>
      <protection/>
    </xf>
    <xf numFmtId="0" fontId="0" fillId="22" borderId="24" xfId="0" applyFill="1" applyBorder="1" applyAlignment="1" applyProtection="1">
      <alignment horizontal="center" vertical="center" wrapText="1"/>
      <protection/>
    </xf>
    <xf numFmtId="0" fontId="0" fillId="22" borderId="25" xfId="0" applyFill="1" applyBorder="1" applyAlignment="1" applyProtection="1">
      <alignment horizontal="center" vertical="center" wrapText="1"/>
      <protection/>
    </xf>
    <xf numFmtId="0" fontId="0" fillId="22" borderId="10" xfId="0" applyFill="1" applyBorder="1" applyAlignment="1" applyProtection="1">
      <alignment horizontal="center" vertical="center" wrapText="1"/>
      <protection/>
    </xf>
    <xf numFmtId="0" fontId="0" fillId="22" borderId="12" xfId="0" applyFont="1" applyFill="1" applyBorder="1" applyAlignment="1" applyProtection="1">
      <alignment horizontal="center" vertical="center" wrapText="1"/>
      <protection/>
    </xf>
    <xf numFmtId="0" fontId="0" fillId="22" borderId="20" xfId="0" applyFont="1" applyFill="1" applyBorder="1" applyAlignment="1" applyProtection="1">
      <alignment horizontal="center" vertical="center" wrapText="1"/>
      <protection/>
    </xf>
    <xf numFmtId="0" fontId="0" fillId="22" borderId="10" xfId="0" applyFont="1" applyFill="1" applyBorder="1" applyAlignment="1" applyProtection="1">
      <alignment horizontal="center" vertical="center" wrapText="1"/>
      <protection/>
    </xf>
    <xf numFmtId="0" fontId="0" fillId="22" borderId="10" xfId="0" applyFont="1" applyFill="1" applyBorder="1" applyAlignment="1" applyProtection="1">
      <alignment horizontal="center" vertical="center"/>
      <protection/>
    </xf>
    <xf numFmtId="0" fontId="33" fillId="22" borderId="12" xfId="0" applyFont="1" applyFill="1" applyBorder="1" applyAlignment="1" applyProtection="1">
      <alignment horizontal="center" vertical="center" wrapText="1"/>
      <protection/>
    </xf>
    <xf numFmtId="0" fontId="33" fillId="22" borderId="28" xfId="0" applyFont="1" applyFill="1" applyBorder="1" applyAlignment="1" applyProtection="1">
      <alignment horizontal="center" vertical="center" wrapText="1"/>
      <protection/>
    </xf>
    <xf numFmtId="0" fontId="33" fillId="22" borderId="20" xfId="0" applyFont="1" applyFill="1" applyBorder="1" applyAlignment="1" applyProtection="1">
      <alignment horizontal="center" vertical="center" wrapText="1"/>
      <protection/>
    </xf>
    <xf numFmtId="0" fontId="0" fillId="22" borderId="24" xfId="0" applyFont="1" applyFill="1" applyBorder="1" applyAlignment="1" applyProtection="1">
      <alignment horizontal="center" vertical="center" wrapText="1"/>
      <protection/>
    </xf>
    <xf numFmtId="0" fontId="0" fillId="22" borderId="25" xfId="0" applyFont="1" applyFill="1" applyBorder="1" applyAlignment="1" applyProtection="1">
      <alignment horizontal="center" vertical="center" wrapText="1"/>
      <protection/>
    </xf>
    <xf numFmtId="0" fontId="0" fillId="22" borderId="11" xfId="0" applyFont="1" applyFill="1" applyBorder="1" applyAlignment="1" applyProtection="1">
      <alignment horizontal="center" vertical="center" wrapText="1"/>
      <protection/>
    </xf>
    <xf numFmtId="0" fontId="0" fillId="22" borderId="27" xfId="0" applyFont="1" applyFill="1" applyBorder="1" applyAlignment="1" applyProtection="1">
      <alignment horizontal="center" vertical="center" wrapText="1"/>
      <protection/>
    </xf>
    <xf numFmtId="0" fontId="0" fillId="22" borderId="26" xfId="0" applyFont="1" applyFill="1" applyBorder="1" applyAlignment="1" applyProtection="1">
      <alignment horizontal="center" vertical="center" wrapText="1"/>
      <protection/>
    </xf>
    <xf numFmtId="0" fontId="0" fillId="22" borderId="11" xfId="0" applyFont="1" applyFill="1" applyBorder="1" applyAlignment="1" applyProtection="1">
      <alignment horizontal="center" vertical="center"/>
      <protection/>
    </xf>
    <xf numFmtId="0" fontId="0" fillId="22" borderId="26" xfId="0" applyFont="1" applyFill="1" applyBorder="1" applyAlignment="1" applyProtection="1">
      <alignment horizontal="center" vertical="center"/>
      <protection/>
    </xf>
    <xf numFmtId="0" fontId="0" fillId="22" borderId="27" xfId="0" applyFont="1" applyFill="1" applyBorder="1" applyAlignment="1" applyProtection="1">
      <alignment horizontal="center" vertical="center"/>
      <protection/>
    </xf>
    <xf numFmtId="0" fontId="0" fillId="22" borderId="21" xfId="0" applyFont="1" applyFill="1" applyBorder="1" applyAlignment="1" applyProtection="1">
      <alignment horizontal="center" vertical="center"/>
      <protection/>
    </xf>
    <xf numFmtId="0" fontId="0" fillId="22" borderId="22" xfId="0" applyFont="1" applyFill="1" applyBorder="1" applyAlignment="1" applyProtection="1">
      <alignment horizontal="center" vertical="center"/>
      <protection/>
    </xf>
    <xf numFmtId="0" fontId="0" fillId="22" borderId="23" xfId="0" applyFont="1" applyFill="1" applyBorder="1" applyAlignment="1" applyProtection="1">
      <alignment horizontal="center" vertical="center"/>
      <protection/>
    </xf>
    <xf numFmtId="0" fontId="25" fillId="0" borderId="12" xfId="0" applyFont="1" applyFill="1" applyBorder="1" applyAlignment="1" applyProtection="1">
      <alignment horizontal="center" vertical="center" wrapText="1"/>
      <protection/>
    </xf>
    <xf numFmtId="0" fontId="25" fillId="0" borderId="28" xfId="0" applyFont="1" applyFill="1" applyBorder="1" applyAlignment="1" applyProtection="1">
      <alignment horizontal="center"/>
      <protection/>
    </xf>
    <xf numFmtId="0" fontId="25" fillId="0" borderId="20" xfId="0" applyFont="1" applyFill="1" applyBorder="1" applyAlignment="1" applyProtection="1">
      <alignment horizontal="center"/>
      <protection/>
    </xf>
    <xf numFmtId="0" fontId="25" fillId="0" borderId="11" xfId="0" applyFont="1" applyFill="1" applyBorder="1" applyAlignment="1" applyProtection="1">
      <alignment horizontal="center" vertical="center" wrapText="1"/>
      <protection/>
    </xf>
    <xf numFmtId="0" fontId="25" fillId="0" borderId="26" xfId="0" applyFont="1" applyFill="1" applyBorder="1" applyAlignment="1" applyProtection="1">
      <alignment horizontal="center" vertical="center" wrapText="1"/>
      <protection/>
    </xf>
    <xf numFmtId="0" fontId="25" fillId="0" borderId="27" xfId="0" applyFont="1" applyFill="1" applyBorder="1" applyAlignment="1" applyProtection="1">
      <alignment horizontal="center" vertical="center" wrapText="1"/>
      <protection/>
    </xf>
    <xf numFmtId="0" fontId="25" fillId="0" borderId="11" xfId="0" applyFont="1" applyFill="1" applyBorder="1" applyAlignment="1" applyProtection="1">
      <alignment horizontal="center" vertical="center"/>
      <protection/>
    </xf>
    <xf numFmtId="0" fontId="25" fillId="0" borderId="26" xfId="0" applyFont="1" applyFill="1" applyBorder="1" applyAlignment="1" applyProtection="1">
      <alignment horizontal="center" vertical="center"/>
      <protection/>
    </xf>
    <xf numFmtId="0" fontId="25" fillId="0" borderId="27" xfId="0" applyFont="1" applyFill="1" applyBorder="1" applyAlignment="1" applyProtection="1">
      <alignment horizontal="center" vertical="center"/>
      <protection/>
    </xf>
    <xf numFmtId="0" fontId="27" fillId="0" borderId="21" xfId="0" applyFont="1" applyFill="1" applyBorder="1" applyAlignment="1" applyProtection="1">
      <alignment horizontal="center" vertical="center" wrapText="1"/>
      <protection/>
    </xf>
    <xf numFmtId="0" fontId="27" fillId="0" borderId="23" xfId="0" applyFont="1" applyFill="1" applyBorder="1" applyAlignment="1" applyProtection="1">
      <alignment horizontal="center" vertical="center" wrapText="1"/>
      <protection/>
    </xf>
    <xf numFmtId="0" fontId="27" fillId="0" borderId="24" xfId="0" applyFont="1" applyFill="1" applyBorder="1" applyAlignment="1" applyProtection="1">
      <alignment horizontal="center" vertical="center" wrapText="1"/>
      <protection/>
    </xf>
    <xf numFmtId="0" fontId="27" fillId="0" borderId="25" xfId="0" applyFont="1" applyFill="1" applyBorder="1" applyAlignment="1" applyProtection="1">
      <alignment horizontal="center" vertical="center" wrapText="1"/>
      <protection/>
    </xf>
    <xf numFmtId="0" fontId="25" fillId="0" borderId="21" xfId="0" applyFont="1" applyFill="1" applyBorder="1" applyAlignment="1" applyProtection="1">
      <alignment horizontal="center" vertical="center"/>
      <protection/>
    </xf>
    <xf numFmtId="0" fontId="25" fillId="0" borderId="22" xfId="0" applyFont="1" applyFill="1" applyBorder="1" applyAlignment="1" applyProtection="1">
      <alignment horizontal="center" vertical="center"/>
      <protection/>
    </xf>
    <xf numFmtId="0" fontId="25" fillId="0" borderId="23" xfId="0" applyFont="1" applyFill="1" applyBorder="1" applyAlignment="1" applyProtection="1">
      <alignment horizontal="center" vertical="center"/>
      <protection/>
    </xf>
    <xf numFmtId="0" fontId="25" fillId="0" borderId="10" xfId="0" applyFont="1" applyFill="1" applyBorder="1" applyAlignment="1" applyProtection="1">
      <alignment horizontal="center" vertical="center"/>
      <protection/>
    </xf>
    <xf numFmtId="0" fontId="25" fillId="0" borderId="20" xfId="0" applyFont="1" applyFill="1" applyBorder="1" applyAlignment="1" applyProtection="1">
      <alignment horizontal="center" vertical="center" wrapText="1"/>
      <protection/>
    </xf>
    <xf numFmtId="0" fontId="27" fillId="0" borderId="12" xfId="0" applyFont="1" applyFill="1" applyBorder="1" applyAlignment="1" applyProtection="1">
      <alignment horizontal="center" vertical="center" wrapText="1"/>
      <protection/>
    </xf>
    <xf numFmtId="0" fontId="27" fillId="0" borderId="28" xfId="0" applyFont="1" applyFill="1" applyBorder="1" applyAlignment="1" applyProtection="1">
      <alignment horizontal="center" vertical="center" wrapText="1"/>
      <protection/>
    </xf>
    <xf numFmtId="0" fontId="27" fillId="0" borderId="20" xfId="0" applyFont="1" applyFill="1" applyBorder="1" applyAlignment="1" applyProtection="1">
      <alignment horizontal="center" vertical="center" wrapText="1"/>
      <protection/>
    </xf>
    <xf numFmtId="0" fontId="25" fillId="0" borderId="28" xfId="0" applyFont="1" applyFill="1" applyBorder="1" applyAlignment="1" applyProtection="1">
      <alignment horizontal="center" vertical="center" wrapText="1"/>
      <protection/>
    </xf>
    <xf numFmtId="0" fontId="25" fillId="0" borderId="24" xfId="0" applyFont="1" applyFill="1" applyBorder="1" applyAlignment="1" applyProtection="1">
      <alignment horizontal="center" vertical="center" wrapText="1"/>
      <protection/>
    </xf>
    <xf numFmtId="0" fontId="25" fillId="0" borderId="25" xfId="0" applyFont="1" applyFill="1" applyBorder="1" applyAlignment="1" applyProtection="1">
      <alignment horizontal="center" vertical="center" wrapText="1"/>
      <protection/>
    </xf>
    <xf numFmtId="0" fontId="25" fillId="0" borderId="10" xfId="0" applyFont="1" applyFill="1" applyBorder="1" applyAlignment="1" applyProtection="1">
      <alignment horizontal="center" vertical="center" wrapText="1"/>
      <protection/>
    </xf>
    <xf numFmtId="0" fontId="25" fillId="0" borderId="10" xfId="0" applyFont="1" applyFill="1" applyBorder="1" applyAlignment="1" applyProtection="1">
      <alignment horizontal="center" wrapText="1"/>
      <protection/>
    </xf>
    <xf numFmtId="0" fontId="27" fillId="0" borderId="10" xfId="0" applyFont="1" applyFill="1" applyBorder="1" applyAlignment="1" applyProtection="1">
      <alignment horizontal="center" wrapText="1"/>
      <protection/>
    </xf>
    <xf numFmtId="0" fontId="25" fillId="0" borderId="10" xfId="0" applyFont="1" applyFill="1" applyBorder="1" applyAlignment="1" applyProtection="1">
      <alignment horizontal="center"/>
      <protection/>
    </xf>
    <xf numFmtId="0" fontId="25" fillId="0" borderId="10" xfId="0" applyFont="1" applyFill="1" applyBorder="1" applyAlignment="1" applyProtection="1">
      <alignment/>
      <protection/>
    </xf>
    <xf numFmtId="0" fontId="25" fillId="0" borderId="12" xfId="0" applyFont="1" applyFill="1" applyBorder="1" applyAlignment="1" applyProtection="1">
      <alignment horizontal="center" wrapText="1"/>
      <protection/>
    </xf>
    <xf numFmtId="0" fontId="25" fillId="0" borderId="28" xfId="0" applyFont="1" applyFill="1" applyBorder="1" applyAlignment="1" applyProtection="1">
      <alignment/>
      <protection/>
    </xf>
    <xf numFmtId="0" fontId="25" fillId="0" borderId="20" xfId="0" applyFont="1" applyFill="1" applyBorder="1" applyAlignment="1" applyProtection="1">
      <alignment/>
      <protection/>
    </xf>
    <xf numFmtId="0" fontId="25" fillId="0" borderId="11" xfId="0" applyFont="1" applyFill="1" applyBorder="1" applyAlignment="1" applyProtection="1">
      <alignment horizontal="center" wrapText="1"/>
      <protection/>
    </xf>
    <xf numFmtId="0" fontId="25" fillId="0" borderId="26" xfId="0" applyFont="1" applyFill="1" applyBorder="1" applyAlignment="1" applyProtection="1">
      <alignment horizontal="center" wrapText="1"/>
      <protection/>
    </xf>
    <xf numFmtId="0" fontId="25" fillId="0" borderId="27" xfId="0" applyFont="1" applyFill="1" applyBorder="1" applyAlignment="1" applyProtection="1">
      <alignment horizontal="center" wrapText="1"/>
      <protection/>
    </xf>
    <xf numFmtId="0" fontId="25" fillId="0" borderId="11" xfId="0" applyFont="1" applyFill="1" applyBorder="1" applyAlignment="1" applyProtection="1">
      <alignment horizontal="center"/>
      <protection/>
    </xf>
    <xf numFmtId="0" fontId="25" fillId="0" borderId="26" xfId="0" applyFont="1" applyFill="1" applyBorder="1" applyAlignment="1" applyProtection="1">
      <alignment horizontal="center"/>
      <protection/>
    </xf>
    <xf numFmtId="0" fontId="25" fillId="0" borderId="27" xfId="0" applyFont="1" applyFill="1" applyBorder="1" applyAlignment="1" applyProtection="1">
      <alignment horizontal="center"/>
      <protection/>
    </xf>
    <xf numFmtId="0" fontId="27" fillId="0" borderId="21" xfId="0" applyFont="1" applyFill="1" applyBorder="1" applyAlignment="1" applyProtection="1">
      <alignment horizontal="center" wrapText="1"/>
      <protection/>
    </xf>
    <xf numFmtId="0" fontId="27" fillId="0" borderId="23" xfId="0" applyFont="1" applyFill="1" applyBorder="1" applyAlignment="1" applyProtection="1">
      <alignment horizontal="center" wrapText="1"/>
      <protection/>
    </xf>
    <xf numFmtId="0" fontId="27" fillId="0" borderId="24" xfId="0" applyFont="1" applyFill="1" applyBorder="1" applyAlignment="1" applyProtection="1">
      <alignment horizontal="center" wrapText="1"/>
      <protection/>
    </xf>
    <xf numFmtId="0" fontId="27" fillId="0" borderId="25" xfId="0" applyFont="1" applyFill="1" applyBorder="1" applyAlignment="1" applyProtection="1">
      <alignment horizontal="center" wrapText="1"/>
      <protection/>
    </xf>
    <xf numFmtId="0" fontId="25" fillId="0" borderId="21" xfId="0" applyFont="1" applyFill="1" applyBorder="1" applyAlignment="1" applyProtection="1">
      <alignment horizontal="center"/>
      <protection/>
    </xf>
    <xf numFmtId="0" fontId="25" fillId="0" borderId="22" xfId="0" applyFont="1" applyFill="1" applyBorder="1" applyAlignment="1" applyProtection="1">
      <alignment horizontal="center"/>
      <protection/>
    </xf>
    <xf numFmtId="0" fontId="25" fillId="0" borderId="23" xfId="0" applyFont="1" applyFill="1" applyBorder="1" applyAlignment="1" applyProtection="1">
      <alignment horizontal="center"/>
      <protection/>
    </xf>
    <xf numFmtId="0" fontId="25" fillId="0" borderId="20" xfId="0" applyFont="1" applyFill="1" applyBorder="1" applyAlignment="1" applyProtection="1">
      <alignment horizontal="center" wrapText="1"/>
      <protection/>
    </xf>
    <xf numFmtId="0" fontId="27" fillId="0" borderId="12" xfId="0" applyFont="1" applyFill="1" applyBorder="1" applyAlignment="1" applyProtection="1">
      <alignment horizontal="center" wrapText="1"/>
      <protection/>
    </xf>
    <xf numFmtId="0" fontId="27" fillId="0" borderId="28" xfId="0" applyFont="1" applyFill="1" applyBorder="1" applyAlignment="1" applyProtection="1">
      <alignment horizontal="center" wrapText="1"/>
      <protection/>
    </xf>
    <xf numFmtId="0" fontId="27" fillId="0" borderId="20" xfId="0" applyFont="1" applyFill="1" applyBorder="1" applyAlignment="1" applyProtection="1">
      <alignment horizontal="center" wrapText="1"/>
      <protection/>
    </xf>
    <xf numFmtId="0" fontId="25" fillId="0" borderId="28" xfId="0" applyFont="1" applyFill="1" applyBorder="1" applyAlignment="1" applyProtection="1">
      <alignment horizontal="center" wrapText="1"/>
      <protection/>
    </xf>
    <xf numFmtId="0" fontId="25" fillId="0" borderId="24" xfId="0" applyFont="1" applyFill="1" applyBorder="1" applyAlignment="1" applyProtection="1">
      <alignment horizontal="center" wrapText="1"/>
      <protection/>
    </xf>
    <xf numFmtId="0" fontId="25" fillId="0" borderId="25" xfId="0" applyFont="1" applyFill="1" applyBorder="1" applyAlignment="1" applyProtection="1">
      <alignment horizontal="center" wrapText="1"/>
      <protection/>
    </xf>
    <xf numFmtId="0" fontId="25" fillId="0" borderId="29" xfId="0" applyFont="1" applyFill="1" applyBorder="1" applyAlignment="1" applyProtection="1">
      <alignment/>
      <protection/>
    </xf>
    <xf numFmtId="0" fontId="25" fillId="0" borderId="29" xfId="0" applyFont="1" applyFill="1" applyBorder="1" applyAlignment="1" applyProtection="1">
      <alignment horizontal="center" wrapText="1"/>
      <protection/>
    </xf>
    <xf numFmtId="0" fontId="27" fillId="0" borderId="29" xfId="0" applyFont="1" applyFill="1" applyBorder="1" applyAlignment="1" applyProtection="1">
      <alignment horizontal="center" wrapText="1"/>
      <protection/>
    </xf>
    <xf numFmtId="0" fontId="25" fillId="0" borderId="14" xfId="0" applyFont="1" applyFill="1" applyBorder="1" applyAlignment="1" applyProtection="1">
      <alignment horizontal="center" wrapText="1"/>
      <protection/>
    </xf>
    <xf numFmtId="188" fontId="26" fillId="25" borderId="10" xfId="0" applyNumberFormat="1" applyFont="1" applyFill="1" applyBorder="1" applyAlignment="1" applyProtection="1">
      <alignment horizontal="center" vertical="center"/>
      <protection locked="0"/>
    </xf>
    <xf numFmtId="188" fontId="26" fillId="0" borderId="10" xfId="0" applyNumberFormat="1" applyFont="1" applyBorder="1" applyAlignment="1" applyProtection="1">
      <alignment horizontal="center" vertical="center"/>
      <protection locked="0"/>
    </xf>
    <xf numFmtId="188" fontId="0" fillId="0" borderId="10" xfId="0" applyNumberFormat="1" applyFill="1" applyBorder="1" applyAlignment="1" applyProtection="1">
      <alignment horizontal="center" vertical="center"/>
      <protection locked="0"/>
    </xf>
    <xf numFmtId="186" fontId="0" fillId="0" borderId="14" xfId="0" applyNumberFormat="1" applyFill="1" applyBorder="1" applyAlignment="1" applyProtection="1">
      <alignment horizontal="center" vertical="center"/>
      <protection locked="0"/>
    </xf>
    <xf numFmtId="186" fontId="0" fillId="0" borderId="14" xfId="0" applyNumberFormat="1"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wrapText="1"/>
      <protection locked="0"/>
    </xf>
    <xf numFmtId="2" fontId="2" fillId="0" borderId="14" xfId="0" applyNumberFormat="1" applyFont="1" applyFill="1" applyBorder="1" applyAlignment="1" applyProtection="1">
      <alignment horizontal="center" vertical="center" wrapText="1"/>
      <protection locked="0"/>
    </xf>
  </cellXfs>
  <cellStyles count="118">
    <cellStyle name="Normal" xfId="0"/>
    <cellStyle name=" 1" xfId="15"/>
    <cellStyle name="&#13;&#10;JournalTemplate=C:\COMFO\CTALK\JOURSTD.TPL&#13;&#10;LbStateAddress=3 3 0 251 1 89 2 311&#13;&#10;LbStateJou" xfId="16"/>
    <cellStyle name="%" xfId="17"/>
    <cellStyle name="%_April 2013 - Revised" xfId="18"/>
    <cellStyle name="%_April 2013 Template (2)" xfId="19"/>
    <cellStyle name="%_February 2013 Template" xfId="20"/>
    <cellStyle name="%_March 2013 (2)" xfId="21"/>
    <cellStyle name="%_May 2013" xfId="22"/>
    <cellStyle name="%_November 2012" xfId="23"/>
    <cellStyle name="%_October 2012-revised (2)" xfId="24"/>
    <cellStyle name="%_Sheet1" xfId="25"/>
    <cellStyle name="%_workforce-management-info-tables January 2013" xfId="26"/>
    <cellStyle name="%_workforce-management-info-tables October 2012" xfId="27"/>
    <cellStyle name="%_workforce-management-info-tables October 2012- revised" xfId="28"/>
    <cellStyle name="%_workforce-management-info-tables-February 2013" xfId="29"/>
    <cellStyle name="%_workforce-management-info-tables-June 2013" xfId="30"/>
    <cellStyle name="%_workforce-management-info-tables-March 2013" xfId="31"/>
    <cellStyle name="%_workforce-management-info-tables-May 2013" xfId="32"/>
    <cellStyle name="20% - Accent1" xfId="33"/>
    <cellStyle name="20% - Accent2" xfId="34"/>
    <cellStyle name="20% - Accent3" xfId="35"/>
    <cellStyle name="20% - Accent4" xfId="36"/>
    <cellStyle name="20% - Accent5" xfId="37"/>
    <cellStyle name="20% - Accent6" xfId="38"/>
    <cellStyle name="40% - Accent1" xfId="39"/>
    <cellStyle name="40% - Accent2" xfId="40"/>
    <cellStyle name="40% - Accent3" xfId="41"/>
    <cellStyle name="40% - Accent4" xfId="42"/>
    <cellStyle name="40% - Accent5" xfId="43"/>
    <cellStyle name="40%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ÅrMndDag" xfId="57"/>
    <cellStyle name="Bad" xfId="58"/>
    <cellStyle name="Calculation" xfId="59"/>
    <cellStyle name="Caption" xfId="60"/>
    <cellStyle name="Check Cell" xfId="61"/>
    <cellStyle name="Comma" xfId="62"/>
    <cellStyle name="Comma [0]" xfId="63"/>
    <cellStyle name="Comma 2" xfId="64"/>
    <cellStyle name="Comma 3" xfId="65"/>
    <cellStyle name="Comma 4" xfId="66"/>
    <cellStyle name="Comma 5" xfId="67"/>
    <cellStyle name="Comma 5 2" xfId="68"/>
    <cellStyle name="Comma 6" xfId="69"/>
    <cellStyle name="Comma 7" xfId="70"/>
    <cellStyle name="Currency" xfId="71"/>
    <cellStyle name="Currency [0]" xfId="72"/>
    <cellStyle name="Currency 2" xfId="73"/>
    <cellStyle name="DagerOgTimer" xfId="74"/>
    <cellStyle name="DagOgDato" xfId="75"/>
    <cellStyle name="DagOgDatoLang" xfId="76"/>
    <cellStyle name="Dato" xfId="77"/>
    <cellStyle name="Explanatory Text" xfId="78"/>
    <cellStyle name="Followed Hyperlink" xfId="79"/>
    <cellStyle name="Good" xfId="80"/>
    <cellStyle name="Heading 1" xfId="81"/>
    <cellStyle name="Heading 2" xfId="82"/>
    <cellStyle name="Heading 3" xfId="83"/>
    <cellStyle name="Heading 4" xfId="84"/>
    <cellStyle name="Hyperlink" xfId="85"/>
    <cellStyle name="Hyperlink 2" xfId="86"/>
    <cellStyle name="Hyperlink 3" xfId="87"/>
    <cellStyle name="Hyperlink 4" xfId="88"/>
    <cellStyle name="Input" xfId="89"/>
    <cellStyle name="JusterBunn" xfId="90"/>
    <cellStyle name="JusterMidtstill" xfId="91"/>
    <cellStyle name="JusterTopp" xfId="92"/>
    <cellStyle name="Klokkeslett" xfId="93"/>
    <cellStyle name="Konto" xfId="94"/>
    <cellStyle name="Linked Cell" xfId="95"/>
    <cellStyle name="Neutral" xfId="96"/>
    <cellStyle name="Normal 2" xfId="97"/>
    <cellStyle name="Normal 3" xfId="98"/>
    <cellStyle name="Normal 3 2" xfId="99"/>
    <cellStyle name="Normal 3 3" xfId="100"/>
    <cellStyle name="Normal 3_April 2013 - Revised" xfId="101"/>
    <cellStyle name="Normal 4" xfId="102"/>
    <cellStyle name="Normal 5" xfId="103"/>
    <cellStyle name="Normal 5 2" xfId="104"/>
    <cellStyle name="Normal 5_April 2013 - Revised" xfId="105"/>
    <cellStyle name="Normal 6" xfId="106"/>
    <cellStyle name="Normal 7" xfId="107"/>
    <cellStyle name="Normal 8" xfId="108"/>
    <cellStyle name="Normal 9" xfId="109"/>
    <cellStyle name="Normal_Book1" xfId="110"/>
    <cellStyle name="Note" xfId="111"/>
    <cellStyle name="Output" xfId="112"/>
    <cellStyle name="Output Amounts" xfId="113"/>
    <cellStyle name="Percent" xfId="114"/>
    <cellStyle name="PersonNr" xfId="115"/>
    <cellStyle name="PostNr" xfId="116"/>
    <cellStyle name="PostNrNorge" xfId="117"/>
    <cellStyle name="SkjulAlt" xfId="118"/>
    <cellStyle name="SkjulTall" xfId="119"/>
    <cellStyle name="Telefon" xfId="120"/>
    <cellStyle name="Timer1" xfId="121"/>
    <cellStyle name="Timer2" xfId="122"/>
    <cellStyle name="Title" xfId="123"/>
    <cellStyle name="ToSiffer" xfId="124"/>
    <cellStyle name="Total" xfId="125"/>
    <cellStyle name="TreSiffer" xfId="126"/>
    <cellStyle name="Tusenskille1000" xfId="127"/>
    <cellStyle name="TusenskilleFarger" xfId="128"/>
    <cellStyle name="Valuta1000" xfId="129"/>
    <cellStyle name="ValutaFarger" xfId="130"/>
    <cellStyle name="Warning Text" xfId="131"/>
  </cellStyles>
  <dxfs count="2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externalLink" Target="externalLinks/externalLink2.xml" /><Relationship Id="rId3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PB%20April%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HRD\Business%20Performance%20Team\1%20-%20MI%20TEAM\WFS\Draft%20+%20Final\9-Draft%202012-13\k%20DRAFT%20FEB%2013\BG%20WFS%20JAN%2012%20Draft%20S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FMI Interface"/>
    </sheetNames>
    <sheetDataSet>
      <sheetData sheetId="0">
        <row r="5">
          <cell r="M5">
            <v>185420.48000000013</v>
          </cell>
          <cell r="N5">
            <v>152.07</v>
          </cell>
          <cell r="O5">
            <v>-777.9767999999999</v>
          </cell>
          <cell r="P5">
            <v>20844.219999999976</v>
          </cell>
          <cell r="S5">
            <v>3082.38</v>
          </cell>
          <cell r="Z5">
            <v>946.62</v>
          </cell>
          <cell r="AA5">
            <v>10965.76</v>
          </cell>
          <cell r="AB5">
            <v>4367.42</v>
          </cell>
          <cell r="AD5">
            <v>203.68</v>
          </cell>
          <cell r="AF5">
            <v>19259.27999999999</v>
          </cell>
          <cell r="AG5">
            <v>35011.57999999999</v>
          </cell>
          <cell r="AH5">
            <v>-2248.31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le"/>
      <sheetName val="Contents"/>
      <sheetName val="FTE by Bus Grp"/>
      <sheetName val="FTE by Band"/>
      <sheetName val="Headcount by Bus Grp"/>
      <sheetName val="Headcount By Band"/>
      <sheetName val="FTE Turnover &amp; Wastage"/>
      <sheetName val="FTE Turnover By Band"/>
      <sheetName val="FTE Wastage By Band"/>
      <sheetName val="Headcount Turnover &amp; Wastage"/>
      <sheetName val="Headcount Turnover By Band"/>
      <sheetName val="Headcount Wastage By Band"/>
      <sheetName val="Starters-Leavers by BG by Band"/>
      <sheetName val="Leaving Reason by BG"/>
      <sheetName val="TRA BG"/>
      <sheetName val="TP (SCS) By BG"/>
      <sheetName val="Absent Staff Paid &amp; Unpaid"/>
    </sheetNames>
    <sheetDataSet>
      <sheetData sheetId="3">
        <row r="24">
          <cell r="N24">
            <v>777.1359236343662</v>
          </cell>
        </row>
        <row r="25">
          <cell r="N25">
            <v>776.9331786935368</v>
          </cell>
        </row>
        <row r="26">
          <cell r="N26">
            <v>738.9196542113194</v>
          </cell>
        </row>
        <row r="27">
          <cell r="N27">
            <v>884.90652088552</v>
          </cell>
        </row>
        <row r="28">
          <cell r="N28">
            <v>788.1618735649938</v>
          </cell>
        </row>
        <row r="29">
          <cell r="N29">
            <v>132.29204128205126</v>
          </cell>
        </row>
        <row r="30">
          <cell r="N30">
            <v>100.47297297297297</v>
          </cell>
        </row>
        <row r="31">
          <cell r="N31">
            <v>120.05574444444443</v>
          </cell>
        </row>
      </sheetData>
      <sheetData sheetId="5">
        <row r="24">
          <cell r="N24">
            <v>796</v>
          </cell>
        </row>
        <row r="25">
          <cell r="N25">
            <v>797</v>
          </cell>
        </row>
        <row r="26">
          <cell r="N26">
            <v>764</v>
          </cell>
        </row>
        <row r="27">
          <cell r="N27">
            <v>921</v>
          </cell>
        </row>
        <row r="28">
          <cell r="N28">
            <v>844</v>
          </cell>
        </row>
        <row r="29">
          <cell r="N29">
            <v>144</v>
          </cell>
        </row>
        <row r="30">
          <cell r="N30">
            <v>101</v>
          </cell>
        </row>
        <row r="31">
          <cell r="N31">
            <v>122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s>
</file>

<file path=xl/worksheets/sheet1.xml><?xml version="1.0" encoding="utf-8"?>
<worksheet xmlns="http://schemas.openxmlformats.org/spreadsheetml/2006/main" xmlns:r="http://schemas.openxmlformats.org/officeDocument/2006/relationships">
  <dimension ref="A1:AO20"/>
  <sheetViews>
    <sheetView tabSelected="1" workbookViewId="0" topLeftCell="A1">
      <selection activeCell="A7" sqref="A7:AO20"/>
    </sheetView>
  </sheetViews>
  <sheetFormatPr defaultColWidth="8.88671875" defaultRowHeight="15"/>
  <cols>
    <col min="2" max="2" width="10.77734375" style="0" customWidth="1"/>
    <col min="3" max="3" width="10.10546875" style="0" customWidth="1"/>
    <col min="30" max="30" width="13.4453125" style="0" bestFit="1" customWidth="1"/>
    <col min="31" max="31" width="10.88671875" style="0" bestFit="1" customWidth="1"/>
    <col min="32" max="32" width="33.21484375" style="0" bestFit="1" customWidth="1"/>
    <col min="33" max="33" width="12.4453125" style="0" customWidth="1"/>
    <col min="34" max="34" width="14.21484375" style="0" customWidth="1"/>
    <col min="35" max="35" width="13.6640625" style="0" customWidth="1"/>
    <col min="36" max="36" width="14.21484375" style="0" customWidth="1"/>
    <col min="37" max="37" width="12.4453125" style="0" customWidth="1"/>
    <col min="38" max="38" width="15.3359375" style="0" customWidth="1"/>
    <col min="39" max="39" width="15.77734375" style="0" customWidth="1"/>
    <col min="40" max="40" width="14.6640625" style="0" customWidth="1"/>
  </cols>
  <sheetData>
    <row r="1" spans="1:41" ht="15">
      <c r="A1" s="2" t="s">
        <v>92</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row>
    <row r="2" spans="1:41" ht="15">
      <c r="A2" s="24" t="s">
        <v>93</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row>
    <row r="3" spans="1:41" ht="15">
      <c r="A3" s="24" t="s">
        <v>94</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row>
    <row r="4" spans="1:41" ht="15">
      <c r="A4" s="313" t="s">
        <v>26</v>
      </c>
      <c r="B4" s="328" t="s">
        <v>15</v>
      </c>
      <c r="C4" s="328" t="s">
        <v>14</v>
      </c>
      <c r="D4" s="315" t="s">
        <v>22</v>
      </c>
      <c r="E4" s="329"/>
      <c r="F4" s="329"/>
      <c r="G4" s="329"/>
      <c r="H4" s="329"/>
      <c r="I4" s="329"/>
      <c r="J4" s="329"/>
      <c r="K4" s="329"/>
      <c r="L4" s="329"/>
      <c r="M4" s="329"/>
      <c r="N4" s="329"/>
      <c r="O4" s="329"/>
      <c r="P4" s="329"/>
      <c r="Q4" s="316"/>
      <c r="R4" s="303" t="s">
        <v>29</v>
      </c>
      <c r="S4" s="304"/>
      <c r="T4" s="304"/>
      <c r="U4" s="304"/>
      <c r="V4" s="304"/>
      <c r="W4" s="304"/>
      <c r="X4" s="304"/>
      <c r="Y4" s="304"/>
      <c r="Z4" s="304"/>
      <c r="AA4" s="305"/>
      <c r="AB4" s="306" t="s">
        <v>39</v>
      </c>
      <c r="AC4" s="307"/>
      <c r="AD4" s="310" t="s">
        <v>25</v>
      </c>
      <c r="AE4" s="311"/>
      <c r="AF4" s="311"/>
      <c r="AG4" s="311"/>
      <c r="AH4" s="311"/>
      <c r="AI4" s="311"/>
      <c r="AJ4" s="312"/>
      <c r="AK4" s="322" t="s">
        <v>115</v>
      </c>
      <c r="AL4" s="323"/>
      <c r="AM4" s="323"/>
      <c r="AN4" s="318" t="s">
        <v>38</v>
      </c>
      <c r="AO4" s="313" t="s">
        <v>126</v>
      </c>
    </row>
    <row r="5" spans="1:41" ht="15">
      <c r="A5" s="326"/>
      <c r="B5" s="326"/>
      <c r="C5" s="326"/>
      <c r="D5" s="324" t="s">
        <v>116</v>
      </c>
      <c r="E5" s="325"/>
      <c r="F5" s="324" t="s">
        <v>117</v>
      </c>
      <c r="G5" s="325"/>
      <c r="H5" s="324" t="s">
        <v>118</v>
      </c>
      <c r="I5" s="325"/>
      <c r="J5" s="324" t="s">
        <v>20</v>
      </c>
      <c r="K5" s="325"/>
      <c r="L5" s="324" t="s">
        <v>119</v>
      </c>
      <c r="M5" s="325"/>
      <c r="N5" s="324" t="s">
        <v>19</v>
      </c>
      <c r="O5" s="325"/>
      <c r="P5" s="315" t="s">
        <v>23</v>
      </c>
      <c r="Q5" s="316"/>
      <c r="R5" s="315" t="s">
        <v>27</v>
      </c>
      <c r="S5" s="305"/>
      <c r="T5" s="303" t="s">
        <v>17</v>
      </c>
      <c r="U5" s="305"/>
      <c r="V5" s="303" t="s">
        <v>18</v>
      </c>
      <c r="W5" s="305"/>
      <c r="X5" s="303" t="s">
        <v>28</v>
      </c>
      <c r="Y5" s="305"/>
      <c r="Z5" s="315" t="s">
        <v>24</v>
      </c>
      <c r="AA5" s="316"/>
      <c r="AB5" s="308"/>
      <c r="AC5" s="309"/>
      <c r="AD5" s="313" t="s">
        <v>31</v>
      </c>
      <c r="AE5" s="313" t="s">
        <v>30</v>
      </c>
      <c r="AF5" s="313" t="s">
        <v>32</v>
      </c>
      <c r="AG5" s="313" t="s">
        <v>33</v>
      </c>
      <c r="AH5" s="313" t="s">
        <v>34</v>
      </c>
      <c r="AI5" s="313" t="s">
        <v>35</v>
      </c>
      <c r="AJ5" s="317" t="s">
        <v>37</v>
      </c>
      <c r="AK5" s="313" t="s">
        <v>120</v>
      </c>
      <c r="AL5" s="313" t="s">
        <v>121</v>
      </c>
      <c r="AM5" s="313" t="s">
        <v>36</v>
      </c>
      <c r="AN5" s="319"/>
      <c r="AO5" s="321"/>
    </row>
    <row r="6" spans="1:41" ht="60">
      <c r="A6" s="327"/>
      <c r="B6" s="327"/>
      <c r="C6" s="327"/>
      <c r="D6" s="175" t="s">
        <v>16</v>
      </c>
      <c r="E6" s="175" t="s">
        <v>21</v>
      </c>
      <c r="F6" s="175" t="s">
        <v>16</v>
      </c>
      <c r="G6" s="175" t="s">
        <v>21</v>
      </c>
      <c r="H6" s="175" t="s">
        <v>16</v>
      </c>
      <c r="I6" s="175" t="s">
        <v>21</v>
      </c>
      <c r="J6" s="175" t="s">
        <v>16</v>
      </c>
      <c r="K6" s="175" t="s">
        <v>21</v>
      </c>
      <c r="L6" s="175" t="s">
        <v>16</v>
      </c>
      <c r="M6" s="175" t="s">
        <v>21</v>
      </c>
      <c r="N6" s="175" t="s">
        <v>16</v>
      </c>
      <c r="O6" s="175" t="s">
        <v>21</v>
      </c>
      <c r="P6" s="175" t="s">
        <v>16</v>
      </c>
      <c r="Q6" s="175" t="s">
        <v>21</v>
      </c>
      <c r="R6" s="174" t="s">
        <v>16</v>
      </c>
      <c r="S6" s="174" t="s">
        <v>21</v>
      </c>
      <c r="T6" s="174" t="s">
        <v>16</v>
      </c>
      <c r="U6" s="174" t="s">
        <v>21</v>
      </c>
      <c r="V6" s="174" t="s">
        <v>16</v>
      </c>
      <c r="W6" s="174" t="s">
        <v>21</v>
      </c>
      <c r="X6" s="174" t="s">
        <v>16</v>
      </c>
      <c r="Y6" s="174" t="s">
        <v>21</v>
      </c>
      <c r="Z6" s="174" t="s">
        <v>16</v>
      </c>
      <c r="AA6" s="174" t="s">
        <v>21</v>
      </c>
      <c r="AB6" s="177" t="s">
        <v>16</v>
      </c>
      <c r="AC6" s="176" t="s">
        <v>21</v>
      </c>
      <c r="AD6" s="314"/>
      <c r="AE6" s="314"/>
      <c r="AF6" s="314"/>
      <c r="AG6" s="314"/>
      <c r="AH6" s="314"/>
      <c r="AI6" s="314"/>
      <c r="AJ6" s="317"/>
      <c r="AK6" s="314"/>
      <c r="AL6" s="314"/>
      <c r="AM6" s="314"/>
      <c r="AN6" s="320"/>
      <c r="AO6" s="314"/>
    </row>
    <row r="7" spans="1:41" ht="45">
      <c r="A7" s="182" t="s">
        <v>48</v>
      </c>
      <c r="B7" s="183" t="s">
        <v>49</v>
      </c>
      <c r="C7" s="182" t="s">
        <v>48</v>
      </c>
      <c r="D7" s="184">
        <v>955</v>
      </c>
      <c r="E7" s="185">
        <v>889.6033642942951</v>
      </c>
      <c r="F7" s="186">
        <v>904</v>
      </c>
      <c r="G7" s="185">
        <v>868.4884940540536</v>
      </c>
      <c r="H7" s="186">
        <v>1640</v>
      </c>
      <c r="I7" s="185">
        <v>1593.1967663063065</v>
      </c>
      <c r="J7" s="186">
        <v>737</v>
      </c>
      <c r="K7" s="185">
        <v>723.3025479879877</v>
      </c>
      <c r="L7" s="186">
        <v>108</v>
      </c>
      <c r="M7" s="185">
        <v>105.98833333333333</v>
      </c>
      <c r="N7" s="183">
        <v>0</v>
      </c>
      <c r="O7" s="187">
        <v>0</v>
      </c>
      <c r="P7" s="188">
        <f>SUM(D7,F7,H7,J7,L7,N7)</f>
        <v>4344</v>
      </c>
      <c r="Q7" s="189">
        <f>SUM(E7,G7,I7,K7,M7,O7)</f>
        <v>4180.579505975977</v>
      </c>
      <c r="R7" s="183">
        <v>150</v>
      </c>
      <c r="S7" s="183">
        <v>145.08</v>
      </c>
      <c r="T7" s="183">
        <v>14</v>
      </c>
      <c r="U7" s="187">
        <v>13.4</v>
      </c>
      <c r="V7" s="183">
        <v>197</v>
      </c>
      <c r="W7" s="187">
        <v>197</v>
      </c>
      <c r="X7" s="183">
        <v>0</v>
      </c>
      <c r="Y7" s="187">
        <v>0</v>
      </c>
      <c r="Z7" s="190">
        <f>SUM(R7,T7,V7,X7,)</f>
        <v>361</v>
      </c>
      <c r="AA7" s="203">
        <f>SUM(S7,U7,W7,Y7)</f>
        <v>355.48</v>
      </c>
      <c r="AB7" s="191">
        <f>P7+Z7</f>
        <v>4705</v>
      </c>
      <c r="AC7" s="192">
        <f>Q7+AA7</f>
        <v>4536.059505975976</v>
      </c>
      <c r="AD7" s="292">
        <v>12308299.900000002</v>
      </c>
      <c r="AE7" s="293">
        <v>239657.29</v>
      </c>
      <c r="AF7" s="293">
        <v>298929.37</v>
      </c>
      <c r="AG7" s="293">
        <v>79722.68</v>
      </c>
      <c r="AH7" s="293">
        <v>2401352.07</v>
      </c>
      <c r="AI7" s="293">
        <v>1085173.8</v>
      </c>
      <c r="AJ7" s="294">
        <f>SUM(AD7:AI7)</f>
        <v>16413135.110000001</v>
      </c>
      <c r="AK7" s="295">
        <v>2806461.98</v>
      </c>
      <c r="AL7" s="414">
        <v>-689084.51</v>
      </c>
      <c r="AM7" s="296">
        <f>SUM(AK7:AL7)</f>
        <v>2117377.4699999997</v>
      </c>
      <c r="AN7" s="296">
        <f>SUM(AM7,AJ7)</f>
        <v>18530512.580000002</v>
      </c>
      <c r="AO7" s="246"/>
    </row>
    <row r="8" spans="1:41" ht="75">
      <c r="A8" s="182" t="s">
        <v>76</v>
      </c>
      <c r="B8" s="183" t="s">
        <v>51</v>
      </c>
      <c r="C8" s="182" t="s">
        <v>48</v>
      </c>
      <c r="D8" s="186">
        <v>13326</v>
      </c>
      <c r="E8" s="185">
        <v>11629.662852852854</v>
      </c>
      <c r="F8" s="186">
        <v>2881</v>
      </c>
      <c r="G8" s="185">
        <v>2702.3713063063074</v>
      </c>
      <c r="H8" s="186">
        <v>2447</v>
      </c>
      <c r="I8" s="185">
        <v>2273.093070570571</v>
      </c>
      <c r="J8" s="186">
        <v>514</v>
      </c>
      <c r="K8" s="185">
        <v>501.26548048048045</v>
      </c>
      <c r="L8" s="186">
        <v>31</v>
      </c>
      <c r="M8" s="185">
        <v>31</v>
      </c>
      <c r="N8" s="183">
        <v>0</v>
      </c>
      <c r="O8" s="185">
        <v>0</v>
      </c>
      <c r="P8" s="188">
        <f aca="true" t="shared" si="0" ref="P8:Q19">SUM(D8,F8,H8,J8,L8,N8)</f>
        <v>19199</v>
      </c>
      <c r="Q8" s="189">
        <f t="shared" si="0"/>
        <v>17137.392710210213</v>
      </c>
      <c r="R8" s="183" t="s">
        <v>90</v>
      </c>
      <c r="S8" s="187">
        <v>767</v>
      </c>
      <c r="T8" s="183" t="s">
        <v>90</v>
      </c>
      <c r="U8" s="187" t="s">
        <v>90</v>
      </c>
      <c r="V8" s="183" t="s">
        <v>90</v>
      </c>
      <c r="W8" s="187" t="s">
        <v>90</v>
      </c>
      <c r="X8" s="183" t="s">
        <v>90</v>
      </c>
      <c r="Y8" s="187" t="s">
        <v>90</v>
      </c>
      <c r="Z8" s="190">
        <f aca="true" t="shared" si="1" ref="Z8:Z19">SUM(R8,T8,V8,X8,)</f>
        <v>0</v>
      </c>
      <c r="AA8" s="199">
        <f aca="true" t="shared" si="2" ref="AA8:AA19">SUM(S8,U8,W8,Y8)</f>
        <v>767</v>
      </c>
      <c r="AB8" s="191">
        <f aca="true" t="shared" si="3" ref="AB8:AC19">P8+Z8</f>
        <v>19199</v>
      </c>
      <c r="AC8" s="192">
        <f t="shared" si="3"/>
        <v>17904.392710210213</v>
      </c>
      <c r="AD8" s="292">
        <v>32449393.45</v>
      </c>
      <c r="AE8" s="293">
        <v>408022.92</v>
      </c>
      <c r="AF8" s="293">
        <v>218768</v>
      </c>
      <c r="AG8" s="293">
        <v>278186.35</v>
      </c>
      <c r="AH8" s="293">
        <v>5695362.84</v>
      </c>
      <c r="AI8" s="293">
        <v>2100375.65</v>
      </c>
      <c r="AJ8" s="294">
        <f aca="true" t="shared" si="4" ref="AJ8:AJ19">SUM(AD8:AI8)</f>
        <v>41150109.21</v>
      </c>
      <c r="AK8" s="295">
        <v>1933201.09</v>
      </c>
      <c r="AL8" s="156" t="s">
        <v>90</v>
      </c>
      <c r="AM8" s="296">
        <f aca="true" t="shared" si="5" ref="AM8:AM19">SUM(AK8:AL8)</f>
        <v>1933201.09</v>
      </c>
      <c r="AN8" s="296">
        <f aca="true" t="shared" si="6" ref="AN8:AN19">SUM(AM8,AJ8)</f>
        <v>43083310.300000004</v>
      </c>
      <c r="AO8" s="246" t="s">
        <v>122</v>
      </c>
    </row>
    <row r="9" spans="1:41" ht="30">
      <c r="A9" s="182" t="s">
        <v>55</v>
      </c>
      <c r="B9" s="183" t="s">
        <v>51</v>
      </c>
      <c r="C9" s="182" t="s">
        <v>48</v>
      </c>
      <c r="D9" s="183">
        <v>176</v>
      </c>
      <c r="E9" s="183">
        <v>156.44</v>
      </c>
      <c r="F9" s="183">
        <v>120</v>
      </c>
      <c r="G9" s="183">
        <v>114.65</v>
      </c>
      <c r="H9" s="183">
        <v>261</v>
      </c>
      <c r="I9" s="183">
        <v>255.14</v>
      </c>
      <c r="J9" s="183">
        <v>59</v>
      </c>
      <c r="K9" s="183">
        <v>58.33</v>
      </c>
      <c r="L9" s="183">
        <v>5</v>
      </c>
      <c r="M9" s="187">
        <v>5</v>
      </c>
      <c r="N9" s="183">
        <v>0</v>
      </c>
      <c r="O9" s="187">
        <v>0</v>
      </c>
      <c r="P9" s="188">
        <f t="shared" si="0"/>
        <v>621</v>
      </c>
      <c r="Q9" s="189">
        <f t="shared" si="0"/>
        <v>589.5600000000001</v>
      </c>
      <c r="R9" s="183">
        <v>2</v>
      </c>
      <c r="S9" s="187">
        <v>2</v>
      </c>
      <c r="T9" s="183">
        <v>0</v>
      </c>
      <c r="U9" s="187">
        <v>0</v>
      </c>
      <c r="V9" s="183">
        <v>10</v>
      </c>
      <c r="W9" s="187">
        <v>10</v>
      </c>
      <c r="X9" s="183">
        <v>0</v>
      </c>
      <c r="Y9" s="187">
        <v>0</v>
      </c>
      <c r="Z9" s="190">
        <f t="shared" si="1"/>
        <v>12</v>
      </c>
      <c r="AA9" s="199">
        <f t="shared" si="2"/>
        <v>12</v>
      </c>
      <c r="AB9" s="191">
        <f t="shared" si="3"/>
        <v>633</v>
      </c>
      <c r="AC9" s="192">
        <f t="shared" si="3"/>
        <v>601.5600000000001</v>
      </c>
      <c r="AD9" s="193">
        <v>1496839.99</v>
      </c>
      <c r="AE9" s="194">
        <v>11856.78</v>
      </c>
      <c r="AF9" s="156" t="s">
        <v>90</v>
      </c>
      <c r="AG9" s="194">
        <v>10771.04</v>
      </c>
      <c r="AH9" s="194">
        <v>272404.3</v>
      </c>
      <c r="AI9" s="194">
        <v>129582.72</v>
      </c>
      <c r="AJ9" s="294">
        <f t="shared" si="4"/>
        <v>1921454.83</v>
      </c>
      <c r="AK9" s="295">
        <v>86018.6</v>
      </c>
      <c r="AL9" s="156" t="s">
        <v>90</v>
      </c>
      <c r="AM9" s="296">
        <f t="shared" si="5"/>
        <v>86018.6</v>
      </c>
      <c r="AN9" s="296">
        <f t="shared" si="6"/>
        <v>2007473.4300000002</v>
      </c>
      <c r="AO9" s="246"/>
    </row>
    <row r="10" spans="1:41" ht="84">
      <c r="A10" s="23" t="s">
        <v>56</v>
      </c>
      <c r="B10" s="183" t="s">
        <v>51</v>
      </c>
      <c r="C10" s="182" t="s">
        <v>48</v>
      </c>
      <c r="D10" s="183">
        <v>29255</v>
      </c>
      <c r="E10" s="185">
        <v>27888.95298221268</v>
      </c>
      <c r="F10" s="183">
        <v>6349</v>
      </c>
      <c r="G10" s="185">
        <v>6134.176862439363</v>
      </c>
      <c r="H10" s="183">
        <v>4651</v>
      </c>
      <c r="I10" s="185">
        <v>4439.7554487179505</v>
      </c>
      <c r="J10" s="183">
        <v>577</v>
      </c>
      <c r="K10" s="185">
        <v>566.7777027027028</v>
      </c>
      <c r="L10" s="183">
        <v>36</v>
      </c>
      <c r="M10" s="185">
        <v>36</v>
      </c>
      <c r="N10" s="183">
        <v>0</v>
      </c>
      <c r="O10" s="185">
        <v>0</v>
      </c>
      <c r="P10" s="188">
        <f t="shared" si="0"/>
        <v>40868</v>
      </c>
      <c r="Q10" s="189">
        <f t="shared" si="0"/>
        <v>39065.66299607269</v>
      </c>
      <c r="R10" s="156" t="s">
        <v>90</v>
      </c>
      <c r="S10" s="156">
        <v>608.76</v>
      </c>
      <c r="T10" s="156" t="s">
        <v>90</v>
      </c>
      <c r="U10" s="156">
        <v>4.01</v>
      </c>
      <c r="V10" s="156" t="s">
        <v>90</v>
      </c>
      <c r="W10" s="156">
        <v>30.54</v>
      </c>
      <c r="X10" s="156" t="s">
        <v>90</v>
      </c>
      <c r="Y10" s="156">
        <v>0</v>
      </c>
      <c r="Z10" s="190">
        <f t="shared" si="1"/>
        <v>0</v>
      </c>
      <c r="AA10" s="203">
        <f t="shared" si="2"/>
        <v>643.31</v>
      </c>
      <c r="AB10" s="191">
        <f t="shared" si="3"/>
        <v>40868</v>
      </c>
      <c r="AC10" s="192">
        <f t="shared" si="3"/>
        <v>39708.97299607269</v>
      </c>
      <c r="AD10" s="301">
        <v>99131832.60999997</v>
      </c>
      <c r="AE10" s="301">
        <v>0</v>
      </c>
      <c r="AF10" s="301">
        <v>0</v>
      </c>
      <c r="AG10" s="301">
        <v>4466623.49</v>
      </c>
      <c r="AH10" s="301">
        <v>18703244.659999993</v>
      </c>
      <c r="AI10" s="301">
        <v>8100584.82</v>
      </c>
      <c r="AJ10" s="294">
        <f t="shared" si="4"/>
        <v>130402285.57999995</v>
      </c>
      <c r="AK10" s="295">
        <v>2777235.52</v>
      </c>
      <c r="AL10" s="295">
        <v>6606.4</v>
      </c>
      <c r="AM10" s="296">
        <f t="shared" si="5"/>
        <v>2783841.92</v>
      </c>
      <c r="AN10" s="296">
        <f t="shared" si="6"/>
        <v>133186127.49999996</v>
      </c>
      <c r="AO10" s="246" t="s">
        <v>152</v>
      </c>
    </row>
    <row r="11" spans="1:41" ht="75">
      <c r="A11" s="182" t="s">
        <v>153</v>
      </c>
      <c r="B11" s="183" t="s">
        <v>63</v>
      </c>
      <c r="C11" s="182" t="s">
        <v>48</v>
      </c>
      <c r="D11" s="186">
        <v>702</v>
      </c>
      <c r="E11" s="185">
        <v>664.5648571428571</v>
      </c>
      <c r="F11" s="186">
        <v>381</v>
      </c>
      <c r="G11" s="185">
        <v>360.79828571428567</v>
      </c>
      <c r="H11" s="186">
        <v>372</v>
      </c>
      <c r="I11" s="185">
        <v>359.2485714285714</v>
      </c>
      <c r="J11" s="186">
        <v>75</v>
      </c>
      <c r="K11" s="185">
        <v>74.05714285714286</v>
      </c>
      <c r="L11" s="186">
        <v>12</v>
      </c>
      <c r="M11" s="187">
        <v>12</v>
      </c>
      <c r="N11" s="183">
        <v>0</v>
      </c>
      <c r="O11" s="187">
        <v>0</v>
      </c>
      <c r="P11" s="188">
        <f>SUM(D11,F11,H11,J11,L11,N11)</f>
        <v>1542</v>
      </c>
      <c r="Q11" s="189">
        <f>SUM(E11,G11,I11,K11,M11,O11)</f>
        <v>1470.6688571428572</v>
      </c>
      <c r="R11" s="183">
        <v>32</v>
      </c>
      <c r="S11" s="187">
        <v>32</v>
      </c>
      <c r="T11" s="183">
        <v>0</v>
      </c>
      <c r="U11" s="187">
        <v>0</v>
      </c>
      <c r="V11" s="183">
        <v>43</v>
      </c>
      <c r="W11" s="187">
        <v>42.5</v>
      </c>
      <c r="X11" s="183">
        <v>0</v>
      </c>
      <c r="Y11" s="187">
        <v>0</v>
      </c>
      <c r="Z11" s="190">
        <f>SUM(R11,T11,V11,X11,)</f>
        <v>75</v>
      </c>
      <c r="AA11" s="199">
        <f>SUM(S11,U11,W11,Y11)</f>
        <v>74.5</v>
      </c>
      <c r="AB11" s="191">
        <f>P11+Z11</f>
        <v>1617</v>
      </c>
      <c r="AC11" s="192">
        <f>Q11+AA11</f>
        <v>1545.1688571428572</v>
      </c>
      <c r="AD11" s="292">
        <v>3462283.73</v>
      </c>
      <c r="AE11" s="293">
        <v>39752.869999999995</v>
      </c>
      <c r="AF11" s="156" t="s">
        <v>90</v>
      </c>
      <c r="AG11" s="293">
        <v>95761.79</v>
      </c>
      <c r="AH11" s="293">
        <v>562409.79</v>
      </c>
      <c r="AI11" s="293">
        <v>246329.05</v>
      </c>
      <c r="AJ11" s="294">
        <f>SUM(AD11:AI11)</f>
        <v>4406537.23</v>
      </c>
      <c r="AK11" s="295">
        <v>663818.77</v>
      </c>
      <c r="AL11" s="156" t="s">
        <v>90</v>
      </c>
      <c r="AM11" s="296">
        <f>SUM(AK11:AL11)</f>
        <v>663818.77</v>
      </c>
      <c r="AN11" s="296">
        <f>SUM(AM11,AJ11)</f>
        <v>5070356</v>
      </c>
      <c r="AO11" s="246"/>
    </row>
    <row r="12" spans="1:41" ht="84">
      <c r="A12" s="182" t="s">
        <v>58</v>
      </c>
      <c r="B12" s="183" t="s">
        <v>51</v>
      </c>
      <c r="C12" s="182" t="s">
        <v>48</v>
      </c>
      <c r="D12" s="186">
        <v>331</v>
      </c>
      <c r="E12" s="185">
        <v>312.2105405405405</v>
      </c>
      <c r="F12" s="186">
        <v>139</v>
      </c>
      <c r="G12" s="185">
        <v>132.35918918918918</v>
      </c>
      <c r="H12" s="186">
        <v>75</v>
      </c>
      <c r="I12" s="185">
        <v>73.38513513513513</v>
      </c>
      <c r="J12" s="186">
        <v>10</v>
      </c>
      <c r="K12" s="185">
        <v>9.822222222222223</v>
      </c>
      <c r="L12" s="186">
        <v>2</v>
      </c>
      <c r="M12" s="187">
        <v>1.8</v>
      </c>
      <c r="N12" s="183">
        <v>0</v>
      </c>
      <c r="O12" s="185">
        <v>0</v>
      </c>
      <c r="P12" s="188">
        <f t="shared" si="0"/>
        <v>557</v>
      </c>
      <c r="Q12" s="189">
        <f t="shared" si="0"/>
        <v>529.577087087087</v>
      </c>
      <c r="R12" s="183">
        <v>200</v>
      </c>
      <c r="S12" s="185">
        <v>147.2179054054054</v>
      </c>
      <c r="T12" s="183">
        <v>0</v>
      </c>
      <c r="U12" s="187">
        <v>0</v>
      </c>
      <c r="V12" s="183">
        <v>3</v>
      </c>
      <c r="W12" s="187">
        <v>3</v>
      </c>
      <c r="X12" s="183">
        <v>0</v>
      </c>
      <c r="Y12" s="187">
        <v>0</v>
      </c>
      <c r="Z12" s="190">
        <f t="shared" si="1"/>
        <v>203</v>
      </c>
      <c r="AA12" s="203">
        <f t="shared" si="2"/>
        <v>150.2179054054054</v>
      </c>
      <c r="AB12" s="191">
        <f t="shared" si="3"/>
        <v>760</v>
      </c>
      <c r="AC12" s="192">
        <f t="shared" si="3"/>
        <v>679.7949924924924</v>
      </c>
      <c r="AD12" s="292">
        <v>924074.41</v>
      </c>
      <c r="AE12" s="293">
        <v>13068.74</v>
      </c>
      <c r="AF12" s="293">
        <v>28700</v>
      </c>
      <c r="AG12" s="293">
        <v>47748.68</v>
      </c>
      <c r="AH12" s="293">
        <v>116957.83</v>
      </c>
      <c r="AI12" s="293">
        <v>47104.78</v>
      </c>
      <c r="AJ12" s="294">
        <f t="shared" si="4"/>
        <v>1177654.4400000002</v>
      </c>
      <c r="AK12" s="295">
        <v>448651.84</v>
      </c>
      <c r="AL12" s="156" t="s">
        <v>90</v>
      </c>
      <c r="AM12" s="296">
        <f t="shared" si="5"/>
        <v>448651.84</v>
      </c>
      <c r="AN12" s="296">
        <f t="shared" si="6"/>
        <v>1626306.2800000003</v>
      </c>
      <c r="AO12" s="246" t="s">
        <v>155</v>
      </c>
    </row>
    <row r="13" spans="1:41" ht="264">
      <c r="A13" s="182" t="s">
        <v>62</v>
      </c>
      <c r="B13" s="183" t="s">
        <v>63</v>
      </c>
      <c r="C13" s="182" t="s">
        <v>48</v>
      </c>
      <c r="D13" s="183">
        <v>0</v>
      </c>
      <c r="E13" s="185">
        <v>0</v>
      </c>
      <c r="F13" s="183">
        <v>0</v>
      </c>
      <c r="G13" s="187">
        <v>0</v>
      </c>
      <c r="H13" s="183">
        <v>0</v>
      </c>
      <c r="I13" s="187">
        <v>0</v>
      </c>
      <c r="J13" s="183">
        <v>0</v>
      </c>
      <c r="K13" s="187">
        <v>0</v>
      </c>
      <c r="L13" s="183">
        <v>0</v>
      </c>
      <c r="M13" s="187">
        <v>0</v>
      </c>
      <c r="N13" s="183">
        <v>78</v>
      </c>
      <c r="O13" s="183">
        <v>72.03</v>
      </c>
      <c r="P13" s="188">
        <f t="shared" si="0"/>
        <v>78</v>
      </c>
      <c r="Q13" s="189">
        <f t="shared" si="0"/>
        <v>72.03</v>
      </c>
      <c r="R13" s="183">
        <v>1</v>
      </c>
      <c r="S13" s="187">
        <v>1</v>
      </c>
      <c r="T13" s="183">
        <v>1</v>
      </c>
      <c r="U13" s="187">
        <v>1</v>
      </c>
      <c r="V13" s="183">
        <v>0</v>
      </c>
      <c r="W13" s="187">
        <v>0</v>
      </c>
      <c r="X13" s="183">
        <v>0</v>
      </c>
      <c r="Y13" s="187">
        <v>0</v>
      </c>
      <c r="Z13" s="190">
        <f t="shared" si="1"/>
        <v>2</v>
      </c>
      <c r="AA13" s="199">
        <f t="shared" si="2"/>
        <v>2</v>
      </c>
      <c r="AB13" s="191">
        <f t="shared" si="3"/>
        <v>80</v>
      </c>
      <c r="AC13" s="192">
        <f t="shared" si="3"/>
        <v>74.03</v>
      </c>
      <c r="AD13" s="292">
        <v>202565</v>
      </c>
      <c r="AE13" s="293">
        <v>57</v>
      </c>
      <c r="AF13" s="156" t="s">
        <v>90</v>
      </c>
      <c r="AG13" s="293">
        <v>491</v>
      </c>
      <c r="AH13" s="293">
        <v>35649</v>
      </c>
      <c r="AI13" s="293">
        <v>16623</v>
      </c>
      <c r="AJ13" s="294">
        <f t="shared" si="4"/>
        <v>255385</v>
      </c>
      <c r="AK13" s="295">
        <v>17848</v>
      </c>
      <c r="AL13" s="156" t="s">
        <v>90</v>
      </c>
      <c r="AM13" s="296">
        <f t="shared" si="5"/>
        <v>17848</v>
      </c>
      <c r="AN13" s="296">
        <f t="shared" si="6"/>
        <v>273233</v>
      </c>
      <c r="AO13" s="246" t="s">
        <v>64</v>
      </c>
    </row>
    <row r="14" spans="1:41" ht="75">
      <c r="A14" s="182" t="s">
        <v>66</v>
      </c>
      <c r="B14" s="183" t="s">
        <v>63</v>
      </c>
      <c r="C14" s="182" t="s">
        <v>48</v>
      </c>
      <c r="D14" s="183">
        <v>0</v>
      </c>
      <c r="E14" s="185">
        <v>0</v>
      </c>
      <c r="F14" s="183">
        <v>0</v>
      </c>
      <c r="G14" s="187">
        <v>0</v>
      </c>
      <c r="H14" s="183">
        <v>0</v>
      </c>
      <c r="I14" s="187">
        <v>0</v>
      </c>
      <c r="J14" s="183">
        <v>0</v>
      </c>
      <c r="K14" s="187">
        <v>0</v>
      </c>
      <c r="L14" s="183">
        <v>0</v>
      </c>
      <c r="M14" s="187">
        <v>0</v>
      </c>
      <c r="N14" s="183">
        <v>391</v>
      </c>
      <c r="O14" s="183">
        <v>361.7</v>
      </c>
      <c r="P14" s="188">
        <f t="shared" si="0"/>
        <v>391</v>
      </c>
      <c r="Q14" s="189">
        <f t="shared" si="0"/>
        <v>361.7</v>
      </c>
      <c r="R14" s="183">
        <v>18</v>
      </c>
      <c r="S14" s="187">
        <v>17.2</v>
      </c>
      <c r="T14" s="183">
        <v>0</v>
      </c>
      <c r="U14" s="187">
        <v>0</v>
      </c>
      <c r="V14" s="183">
        <v>1</v>
      </c>
      <c r="W14" s="187">
        <v>1</v>
      </c>
      <c r="X14" s="183">
        <v>0</v>
      </c>
      <c r="Y14" s="187">
        <v>0</v>
      </c>
      <c r="Z14" s="190">
        <f t="shared" si="1"/>
        <v>19</v>
      </c>
      <c r="AA14" s="199">
        <f t="shared" si="2"/>
        <v>18.2</v>
      </c>
      <c r="AB14" s="191">
        <f t="shared" si="3"/>
        <v>410</v>
      </c>
      <c r="AC14" s="192">
        <f t="shared" si="3"/>
        <v>379.9</v>
      </c>
      <c r="AD14" s="292">
        <v>824442.09</v>
      </c>
      <c r="AE14" s="293">
        <v>1335.49</v>
      </c>
      <c r="AF14" s="293"/>
      <c r="AG14" s="293">
        <v>19540.99</v>
      </c>
      <c r="AH14" s="293">
        <v>56518.65</v>
      </c>
      <c r="AI14" s="293">
        <v>146449.56</v>
      </c>
      <c r="AJ14" s="294">
        <f t="shared" si="4"/>
        <v>1048286.78</v>
      </c>
      <c r="AK14" s="295">
        <v>43370.48</v>
      </c>
      <c r="AL14" s="156" t="s">
        <v>90</v>
      </c>
      <c r="AM14" s="296">
        <f t="shared" si="5"/>
        <v>43370.48</v>
      </c>
      <c r="AN14" s="296">
        <f t="shared" si="6"/>
        <v>1091657.26</v>
      </c>
      <c r="AO14" s="246"/>
    </row>
    <row r="15" spans="1:41" ht="75">
      <c r="A15" s="182" t="s">
        <v>67</v>
      </c>
      <c r="B15" s="183" t="s">
        <v>63</v>
      </c>
      <c r="C15" s="182" t="s">
        <v>48</v>
      </c>
      <c r="D15" s="183">
        <v>15</v>
      </c>
      <c r="E15" s="185">
        <v>14.54</v>
      </c>
      <c r="F15" s="183">
        <v>16</v>
      </c>
      <c r="G15" s="187">
        <v>14.94</v>
      </c>
      <c r="H15" s="183">
        <v>24</v>
      </c>
      <c r="I15" s="183">
        <v>23.69</v>
      </c>
      <c r="J15" s="183">
        <v>11</v>
      </c>
      <c r="K15" s="187">
        <v>9.95</v>
      </c>
      <c r="L15" s="183">
        <v>2</v>
      </c>
      <c r="M15" s="187">
        <v>2</v>
      </c>
      <c r="N15" s="183">
        <v>1</v>
      </c>
      <c r="O15" s="187">
        <v>0.4</v>
      </c>
      <c r="P15" s="188">
        <f t="shared" si="0"/>
        <v>69</v>
      </c>
      <c r="Q15" s="189">
        <f t="shared" si="0"/>
        <v>65.52000000000001</v>
      </c>
      <c r="R15" s="183">
        <v>6</v>
      </c>
      <c r="S15" s="187">
        <v>6</v>
      </c>
      <c r="T15" s="183">
        <v>0</v>
      </c>
      <c r="U15" s="187">
        <v>0</v>
      </c>
      <c r="V15" s="183">
        <v>0</v>
      </c>
      <c r="W15" s="187">
        <v>0</v>
      </c>
      <c r="X15" s="183">
        <v>0</v>
      </c>
      <c r="Y15" s="187">
        <v>0</v>
      </c>
      <c r="Z15" s="190">
        <f t="shared" si="1"/>
        <v>6</v>
      </c>
      <c r="AA15" s="199">
        <f t="shared" si="2"/>
        <v>6</v>
      </c>
      <c r="AB15" s="191">
        <f t="shared" si="3"/>
        <v>75</v>
      </c>
      <c r="AC15" s="192">
        <f t="shared" si="3"/>
        <v>71.52000000000001</v>
      </c>
      <c r="AD15" s="292">
        <v>185601.39</v>
      </c>
      <c r="AE15" s="293">
        <v>1230.95</v>
      </c>
      <c r="AF15" s="293">
        <v>400</v>
      </c>
      <c r="AG15" s="293"/>
      <c r="AH15" s="293">
        <v>34767.16</v>
      </c>
      <c r="AI15" s="293">
        <v>15573.33</v>
      </c>
      <c r="AJ15" s="294">
        <f t="shared" si="4"/>
        <v>237572.83000000002</v>
      </c>
      <c r="AK15" s="295">
        <v>13516.88</v>
      </c>
      <c r="AL15" s="156" t="s">
        <v>90</v>
      </c>
      <c r="AM15" s="296">
        <f t="shared" si="5"/>
        <v>13516.88</v>
      </c>
      <c r="AN15" s="296">
        <f t="shared" si="6"/>
        <v>251089.71000000002</v>
      </c>
      <c r="AO15" s="246"/>
    </row>
    <row r="16" spans="1:41" ht="156">
      <c r="A16" s="182" t="s">
        <v>68</v>
      </c>
      <c r="B16" s="183" t="s">
        <v>63</v>
      </c>
      <c r="C16" s="182" t="s">
        <v>48</v>
      </c>
      <c r="D16" s="183">
        <v>0</v>
      </c>
      <c r="E16" s="185">
        <v>0</v>
      </c>
      <c r="F16" s="183">
        <v>0</v>
      </c>
      <c r="G16" s="187">
        <v>0</v>
      </c>
      <c r="H16" s="183">
        <v>0</v>
      </c>
      <c r="I16" s="187">
        <v>0</v>
      </c>
      <c r="J16" s="183">
        <v>0</v>
      </c>
      <c r="K16" s="187">
        <v>0</v>
      </c>
      <c r="L16" s="183">
        <v>0</v>
      </c>
      <c r="M16" s="187">
        <v>0</v>
      </c>
      <c r="N16" s="183">
        <v>32</v>
      </c>
      <c r="O16" s="187">
        <v>31.8</v>
      </c>
      <c r="P16" s="188">
        <f t="shared" si="0"/>
        <v>32</v>
      </c>
      <c r="Q16" s="189">
        <f t="shared" si="0"/>
        <v>31.8</v>
      </c>
      <c r="R16" s="183">
        <v>0</v>
      </c>
      <c r="S16" s="187">
        <v>0</v>
      </c>
      <c r="T16" s="183">
        <v>0</v>
      </c>
      <c r="U16" s="187">
        <v>0</v>
      </c>
      <c r="V16" s="183">
        <v>0</v>
      </c>
      <c r="W16" s="187">
        <v>0</v>
      </c>
      <c r="X16" s="183">
        <v>0</v>
      </c>
      <c r="Y16" s="187">
        <v>0</v>
      </c>
      <c r="Z16" s="190">
        <f t="shared" si="1"/>
        <v>0</v>
      </c>
      <c r="AA16" s="199">
        <f t="shared" si="2"/>
        <v>0</v>
      </c>
      <c r="AB16" s="191">
        <f t="shared" si="3"/>
        <v>32</v>
      </c>
      <c r="AC16" s="192">
        <f t="shared" si="3"/>
        <v>31.8</v>
      </c>
      <c r="AD16" s="292">
        <v>148606.86</v>
      </c>
      <c r="AE16" s="293"/>
      <c r="AF16" s="293"/>
      <c r="AG16" s="293"/>
      <c r="AH16" s="293">
        <v>28174.63</v>
      </c>
      <c r="AI16" s="293">
        <v>17763.87</v>
      </c>
      <c r="AJ16" s="294">
        <f t="shared" si="4"/>
        <v>194545.36</v>
      </c>
      <c r="AK16" s="156" t="s">
        <v>90</v>
      </c>
      <c r="AL16" s="156" t="s">
        <v>90</v>
      </c>
      <c r="AM16" s="296">
        <f t="shared" si="5"/>
        <v>0</v>
      </c>
      <c r="AN16" s="296">
        <f t="shared" si="6"/>
        <v>194545.36</v>
      </c>
      <c r="AO16" s="246" t="s">
        <v>69</v>
      </c>
    </row>
    <row r="17" spans="1:41" ht="75">
      <c r="A17" s="182" t="s">
        <v>71</v>
      </c>
      <c r="B17" s="183" t="s">
        <v>63</v>
      </c>
      <c r="C17" s="182" t="s">
        <v>48</v>
      </c>
      <c r="D17" s="183">
        <v>16</v>
      </c>
      <c r="E17" s="183">
        <v>14.7</v>
      </c>
      <c r="F17" s="183">
        <v>42</v>
      </c>
      <c r="G17" s="183">
        <v>41.6</v>
      </c>
      <c r="H17" s="183">
        <v>16</v>
      </c>
      <c r="I17" s="183">
        <v>15.6</v>
      </c>
      <c r="J17" s="183">
        <v>2</v>
      </c>
      <c r="K17" s="187">
        <v>2</v>
      </c>
      <c r="L17" s="183">
        <v>2</v>
      </c>
      <c r="M17" s="187">
        <v>1.4</v>
      </c>
      <c r="N17" s="183">
        <v>0</v>
      </c>
      <c r="O17" s="187">
        <v>0</v>
      </c>
      <c r="P17" s="188">
        <f t="shared" si="0"/>
        <v>78</v>
      </c>
      <c r="Q17" s="189">
        <f t="shared" si="0"/>
        <v>75.3</v>
      </c>
      <c r="R17" s="183">
        <v>10</v>
      </c>
      <c r="S17" s="187">
        <v>10</v>
      </c>
      <c r="T17" s="183">
        <v>0</v>
      </c>
      <c r="U17" s="187">
        <v>0</v>
      </c>
      <c r="V17" s="183">
        <v>0</v>
      </c>
      <c r="W17" s="187">
        <v>0</v>
      </c>
      <c r="X17" s="183">
        <v>0</v>
      </c>
      <c r="Y17" s="187">
        <v>0</v>
      </c>
      <c r="Z17" s="190">
        <f t="shared" si="1"/>
        <v>10</v>
      </c>
      <c r="AA17" s="199">
        <f t="shared" si="2"/>
        <v>10</v>
      </c>
      <c r="AB17" s="191">
        <f t="shared" si="3"/>
        <v>88</v>
      </c>
      <c r="AC17" s="192">
        <f t="shared" si="3"/>
        <v>85.3</v>
      </c>
      <c r="AD17" s="292">
        <v>180860.8</v>
      </c>
      <c r="AE17" s="293">
        <v>20821.2</v>
      </c>
      <c r="AF17" s="293"/>
      <c r="AG17" s="293">
        <v>3093.8</v>
      </c>
      <c r="AH17" s="293">
        <v>31810.9</v>
      </c>
      <c r="AI17" s="293">
        <v>16987</v>
      </c>
      <c r="AJ17" s="294">
        <f t="shared" si="4"/>
        <v>253573.69999999998</v>
      </c>
      <c r="AK17" s="295">
        <v>31471.88</v>
      </c>
      <c r="AL17" s="156" t="s">
        <v>90</v>
      </c>
      <c r="AM17" s="296">
        <f t="shared" si="5"/>
        <v>31471.88</v>
      </c>
      <c r="AN17" s="296">
        <f t="shared" si="6"/>
        <v>285045.57999999996</v>
      </c>
      <c r="AO17" s="246"/>
    </row>
    <row r="18" spans="1:41" ht="409.5">
      <c r="A18" s="156" t="s">
        <v>72</v>
      </c>
      <c r="B18" s="156" t="s">
        <v>63</v>
      </c>
      <c r="C18" s="23" t="s">
        <v>48</v>
      </c>
      <c r="D18" s="183">
        <v>0</v>
      </c>
      <c r="E18" s="185">
        <v>0</v>
      </c>
      <c r="F18" s="183">
        <v>0</v>
      </c>
      <c r="G18" s="187">
        <v>0</v>
      </c>
      <c r="H18" s="183">
        <v>0</v>
      </c>
      <c r="I18" s="187">
        <v>0</v>
      </c>
      <c r="J18" s="183">
        <v>0</v>
      </c>
      <c r="K18" s="187">
        <v>0</v>
      </c>
      <c r="L18" s="183">
        <v>0</v>
      </c>
      <c r="M18" s="187">
        <v>0</v>
      </c>
      <c r="N18" s="156">
        <v>18044</v>
      </c>
      <c r="O18" s="156">
        <v>16282</v>
      </c>
      <c r="P18" s="188">
        <f t="shared" si="0"/>
        <v>18044</v>
      </c>
      <c r="Q18" s="189">
        <f t="shared" si="0"/>
        <v>16282</v>
      </c>
      <c r="R18" s="156">
        <v>1351</v>
      </c>
      <c r="S18" s="156">
        <v>1351</v>
      </c>
      <c r="T18" s="156">
        <v>6</v>
      </c>
      <c r="U18" s="156">
        <v>6</v>
      </c>
      <c r="V18" s="156" t="s">
        <v>90</v>
      </c>
      <c r="W18" s="156" t="s">
        <v>90</v>
      </c>
      <c r="X18" s="156" t="s">
        <v>90</v>
      </c>
      <c r="Y18" s="156" t="s">
        <v>90</v>
      </c>
      <c r="Z18" s="190">
        <f t="shared" si="1"/>
        <v>1357</v>
      </c>
      <c r="AA18" s="203">
        <f t="shared" si="2"/>
        <v>1357</v>
      </c>
      <c r="AB18" s="191">
        <f t="shared" si="3"/>
        <v>19401</v>
      </c>
      <c r="AC18" s="192">
        <f t="shared" si="3"/>
        <v>17639</v>
      </c>
      <c r="AD18" s="156" t="s">
        <v>90</v>
      </c>
      <c r="AE18" s="156" t="s">
        <v>90</v>
      </c>
      <c r="AF18" s="156" t="s">
        <v>90</v>
      </c>
      <c r="AG18" s="156" t="s">
        <v>90</v>
      </c>
      <c r="AH18" s="156" t="s">
        <v>90</v>
      </c>
      <c r="AI18" s="156" t="s">
        <v>90</v>
      </c>
      <c r="AJ18" s="294">
        <f t="shared" si="4"/>
        <v>0</v>
      </c>
      <c r="AK18" s="156" t="s">
        <v>90</v>
      </c>
      <c r="AL18" s="156" t="s">
        <v>90</v>
      </c>
      <c r="AM18" s="296">
        <f t="shared" si="5"/>
        <v>0</v>
      </c>
      <c r="AN18" s="296">
        <f t="shared" si="6"/>
        <v>0</v>
      </c>
      <c r="AO18" s="302" t="s">
        <v>156</v>
      </c>
    </row>
    <row r="19" spans="1:41" ht="90">
      <c r="A19" s="183" t="s">
        <v>124</v>
      </c>
      <c r="B19" s="183" t="s">
        <v>63</v>
      </c>
      <c r="C19" s="205" t="s">
        <v>48</v>
      </c>
      <c r="D19" s="183">
        <v>17</v>
      </c>
      <c r="E19" s="183">
        <v>16.35</v>
      </c>
      <c r="F19" s="183">
        <v>45</v>
      </c>
      <c r="G19" s="183">
        <v>43.66</v>
      </c>
      <c r="H19" s="183">
        <v>112</v>
      </c>
      <c r="I19" s="183">
        <v>108.99</v>
      </c>
      <c r="J19" s="183">
        <v>38</v>
      </c>
      <c r="K19" s="185">
        <v>36.86</v>
      </c>
      <c r="L19" s="183">
        <v>5</v>
      </c>
      <c r="M19" s="185">
        <v>4.6</v>
      </c>
      <c r="N19" s="183">
        <v>11</v>
      </c>
      <c r="O19" s="185">
        <v>11</v>
      </c>
      <c r="P19" s="188">
        <f t="shared" si="0"/>
        <v>228</v>
      </c>
      <c r="Q19" s="189">
        <f t="shared" si="0"/>
        <v>221.46</v>
      </c>
      <c r="R19" s="183">
        <v>2</v>
      </c>
      <c r="S19" s="187">
        <v>2</v>
      </c>
      <c r="T19" s="183">
        <v>0</v>
      </c>
      <c r="U19" s="187">
        <v>0</v>
      </c>
      <c r="V19" s="183">
        <v>0</v>
      </c>
      <c r="W19" s="187">
        <v>0</v>
      </c>
      <c r="X19" s="183">
        <v>0</v>
      </c>
      <c r="Y19" s="187">
        <v>0</v>
      </c>
      <c r="Z19" s="190">
        <f t="shared" si="1"/>
        <v>2</v>
      </c>
      <c r="AA19" s="199">
        <f t="shared" si="2"/>
        <v>2</v>
      </c>
      <c r="AB19" s="191">
        <f t="shared" si="3"/>
        <v>230</v>
      </c>
      <c r="AC19" s="192">
        <f t="shared" si="3"/>
        <v>223.46</v>
      </c>
      <c r="AD19" s="292">
        <v>665227.63</v>
      </c>
      <c r="AE19" s="293">
        <v>48128.08</v>
      </c>
      <c r="AF19" s="156" t="s">
        <v>90</v>
      </c>
      <c r="AG19" s="293">
        <v>1154.7</v>
      </c>
      <c r="AH19" s="293">
        <v>136985.37</v>
      </c>
      <c r="AI19" s="293">
        <v>64991.14</v>
      </c>
      <c r="AJ19" s="294">
        <f t="shared" si="4"/>
        <v>916486.9199999999</v>
      </c>
      <c r="AK19" s="295">
        <v>5265</v>
      </c>
      <c r="AL19" s="156" t="s">
        <v>90</v>
      </c>
      <c r="AM19" s="296">
        <f t="shared" si="5"/>
        <v>5265</v>
      </c>
      <c r="AN19" s="296">
        <f t="shared" si="6"/>
        <v>921751.9199999999</v>
      </c>
      <c r="AO19" s="246"/>
    </row>
    <row r="20" spans="1:41" ht="90">
      <c r="A20" s="183" t="s">
        <v>124</v>
      </c>
      <c r="B20" s="183" t="s">
        <v>63</v>
      </c>
      <c r="C20" s="205" t="s">
        <v>48</v>
      </c>
      <c r="D20" s="183">
        <v>15</v>
      </c>
      <c r="E20" s="183">
        <v>14.35</v>
      </c>
      <c r="F20" s="183">
        <v>43</v>
      </c>
      <c r="G20" s="183">
        <v>41.66</v>
      </c>
      <c r="H20" s="183">
        <v>112</v>
      </c>
      <c r="I20" s="183">
        <v>108.99</v>
      </c>
      <c r="J20" s="183">
        <v>40</v>
      </c>
      <c r="K20" s="185">
        <v>38.86</v>
      </c>
      <c r="L20" s="183">
        <v>5</v>
      </c>
      <c r="M20" s="185">
        <v>4.6</v>
      </c>
      <c r="N20" s="183">
        <v>9</v>
      </c>
      <c r="O20" s="185">
        <v>9</v>
      </c>
      <c r="P20" s="188">
        <v>224</v>
      </c>
      <c r="Q20" s="189">
        <v>217.46</v>
      </c>
      <c r="R20" s="183">
        <v>4</v>
      </c>
      <c r="S20" s="187">
        <v>4</v>
      </c>
      <c r="T20" s="183">
        <v>0</v>
      </c>
      <c r="U20" s="187">
        <v>0</v>
      </c>
      <c r="V20" s="183">
        <v>0</v>
      </c>
      <c r="W20" s="187">
        <v>0</v>
      </c>
      <c r="X20" s="183">
        <v>0</v>
      </c>
      <c r="Y20" s="187">
        <v>0</v>
      </c>
      <c r="Z20" s="190">
        <v>4</v>
      </c>
      <c r="AA20" s="199">
        <v>4</v>
      </c>
      <c r="AB20" s="191">
        <v>228</v>
      </c>
      <c r="AC20" s="192">
        <v>221.46</v>
      </c>
      <c r="AD20" s="193">
        <v>609158.31</v>
      </c>
      <c r="AE20" s="194">
        <v>56419.67</v>
      </c>
      <c r="AF20" s="196" t="s">
        <v>90</v>
      </c>
      <c r="AG20" s="194">
        <v>3006.25</v>
      </c>
      <c r="AH20" s="194">
        <v>128042.77</v>
      </c>
      <c r="AI20" s="194">
        <v>58562.23</v>
      </c>
      <c r="AJ20" s="195">
        <v>855189.23</v>
      </c>
      <c r="AK20" s="196" t="s">
        <v>90</v>
      </c>
      <c r="AL20" s="196" t="s">
        <v>90</v>
      </c>
      <c r="AM20" s="197">
        <v>0</v>
      </c>
      <c r="AN20" s="197">
        <v>855189.23</v>
      </c>
      <c r="AO20" s="198"/>
    </row>
  </sheetData>
  <sheetProtection selectLockedCells="1"/>
  <mergeCells count="32">
    <mergeCell ref="R4:AA4"/>
    <mergeCell ref="AB4:AC5"/>
    <mergeCell ref="AD4:AJ4"/>
    <mergeCell ref="AH5:AH6"/>
    <mergeCell ref="AI5:AI6"/>
    <mergeCell ref="AE5:AE6"/>
    <mergeCell ref="X5:Y5"/>
    <mergeCell ref="Z5:AA5"/>
    <mergeCell ref="AD5:AD6"/>
    <mergeCell ref="AJ5:AJ6"/>
    <mergeCell ref="AN4:AN6"/>
    <mergeCell ref="AO4:AO6"/>
    <mergeCell ref="AK4:AM4"/>
    <mergeCell ref="AM5:AM6"/>
    <mergeCell ref="AF5:AF6"/>
    <mergeCell ref="AG5:AG6"/>
    <mergeCell ref="AK5:AK6"/>
    <mergeCell ref="AL5:AL6"/>
    <mergeCell ref="D5:E5"/>
    <mergeCell ref="F5:G5"/>
    <mergeCell ref="H5:I5"/>
    <mergeCell ref="J5:K5"/>
    <mergeCell ref="V5:W5"/>
    <mergeCell ref="T5:U5"/>
    <mergeCell ref="A4:A6"/>
    <mergeCell ref="B4:B6"/>
    <mergeCell ref="C4:C6"/>
    <mergeCell ref="D4:Q4"/>
    <mergeCell ref="L5:M5"/>
    <mergeCell ref="N5:O5"/>
    <mergeCell ref="P5:Q5"/>
    <mergeCell ref="R5:S5"/>
  </mergeCells>
  <conditionalFormatting sqref="C20 B7:B19">
    <cfRule type="expression" priority="1" dxfId="22" stopIfTrue="1">
      <formula>AND(NOT(ISBLANK($A7)),ISBLANK(B7))</formula>
    </cfRule>
  </conditionalFormatting>
  <conditionalFormatting sqref="D20 C7:C19">
    <cfRule type="expression" priority="2" dxfId="22" stopIfTrue="1">
      <formula>AND(NOT(ISBLANK(A7)),ISBLANK(C7))</formula>
    </cfRule>
  </conditionalFormatting>
  <conditionalFormatting sqref="S20 M20 K20 E20 I20 G20 O20 W20 R7:R19 X7:X19 T7:T19 V7:V19 N7:N19 F7:F19 H7:H19 J7:J19 L7:L19 D7:D19">
    <cfRule type="expression" priority="3" dxfId="22" stopIfTrue="1">
      <formula>AND(NOT(ISBLANK(E7)),ISBLANK(D7))</formula>
    </cfRule>
  </conditionalFormatting>
  <conditionalFormatting sqref="T20 F20 J20 H20 X20 P20 N20 L20 S7:S19 Y7:Y19 U7:U19 W7:W19 O7:O19 G7:G19 I7:I19 K7:K19 M7:M19 E7:E19 AD18:AI18 AK18:AL18 AF19 AL19 AL17 AK16:AL16 AL11:AL15 AL8:AL9 AF13 AF11 AF9">
    <cfRule type="expression" priority="4" dxfId="22" stopIfTrue="1">
      <formula>AND(NOT(ISBLANK(D7)),ISBLANK(E7))</formula>
    </cfRule>
  </conditionalFormatting>
  <dataValidations count="8">
    <dataValidation type="custom" allowBlank="1" showInputMessage="1" showErrorMessage="1" errorTitle="Headcount" error="The value entered in the headcount field must be greater than or equal to the value entered in the FTE field." sqref="N7:N18 F7:F18 L7:L18 J7:J18 H7:H18 R7:R18 X7:X18 V7:V18 T7:T18 D7:D18">
      <formula1>N7&gt;=O7</formula1>
    </dataValidation>
    <dataValidation type="custom" allowBlank="1" showInputMessage="1" showErrorMessage="1" errorTitle="FTE" error="The value entered in the FTE field must be less than or equal to the value entered in the headcount field." sqref="O7:O18 M7:M18 K7:K18 I7:I18 G7:G18 S7:S18 Y7:Y18 W7:W18 U7:U18 E7:E18 AD18:AI18 AK18:AL18 AF19 AL19 AL11:AL17 AK16 AL8:AL9 AF13 AF11 AF9">
      <formula1>O7&lt;=N7</formula1>
    </dataValidation>
    <dataValidation type="decimal" operator="greaterThanOrEqual" allowBlank="1" showInputMessage="1" showErrorMessage="1" sqref="AK20:AM20 AF20 U20:V20 Y20:Z20 AF12 AL7 AK17 AK7:AK15 AL10 AD11:AE17 AG11:AI17 AF14:AF17 AD7:AE9 AG7:AI9 AF7:AF8">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D20 C7:C19">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C20 B7:B19">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20:B20 A7:A10 A12:A19">
      <formula1>INDIRECT("List_of_organisations")</formula1>
    </dataValidation>
    <dataValidation operator="lessThanOrEqual" allowBlank="1" showInputMessage="1" showErrorMessage="1" error="FTE cannot be greater than Headcount&#10;" sqref="AO4 AC20:AD20 AB4 R4 Q20:R20 P5 A4:C4 AB6:AC19 P7:Q19 AO7:AO19"/>
    <dataValidation type="decimal" operator="greaterThan" allowBlank="1" showInputMessage="1" showErrorMessage="1" sqref="AE20 AG20:AJ20 AD19:AE19 AG19:AI19">
      <formula1>0</formula1>
    </dataValidation>
  </dataValidations>
  <printOptions/>
  <pageMargins left="0.75" right="0.75" top="1" bottom="1" header="0.5" footer="0.5"/>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AP19"/>
  <sheetViews>
    <sheetView workbookViewId="0" topLeftCell="A1">
      <selection activeCell="S9" sqref="S9"/>
    </sheetView>
  </sheetViews>
  <sheetFormatPr defaultColWidth="8.88671875" defaultRowHeight="15"/>
  <cols>
    <col min="2" max="2" width="10.77734375" style="0" customWidth="1"/>
    <col min="3" max="3" width="10.10546875" style="0" customWidth="1"/>
    <col min="30" max="30" width="13.4453125" style="0" bestFit="1" customWidth="1"/>
    <col min="31" max="31" width="10.88671875" style="0" bestFit="1" customWidth="1"/>
    <col min="32" max="32" width="33.21484375" style="0" bestFit="1" customWidth="1"/>
    <col min="33" max="33" width="12.4453125" style="0" customWidth="1"/>
    <col min="34" max="34" width="14.21484375" style="0" customWidth="1"/>
    <col min="35" max="35" width="13.6640625" style="0" customWidth="1"/>
    <col min="36" max="36" width="14.21484375" style="0" customWidth="1"/>
    <col min="37" max="37" width="12.4453125" style="0" customWidth="1"/>
    <col min="38" max="38" width="15.3359375" style="0" customWidth="1"/>
    <col min="39" max="39" width="15.77734375" style="0" customWidth="1"/>
    <col min="40" max="40" width="12.4453125" style="0" customWidth="1"/>
  </cols>
  <sheetData>
    <row r="1" spans="1:41" ht="15">
      <c r="A1" s="2" t="s">
        <v>92</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row>
    <row r="2" spans="1:41" ht="15">
      <c r="A2" s="24" t="s">
        <v>93</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row>
    <row r="3" spans="1:41" ht="15">
      <c r="A3" s="24" t="s">
        <v>94</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row>
    <row r="4" spans="1:41" ht="15">
      <c r="A4" s="313" t="s">
        <v>26</v>
      </c>
      <c r="B4" s="328" t="s">
        <v>15</v>
      </c>
      <c r="C4" s="328" t="s">
        <v>14</v>
      </c>
      <c r="D4" s="315" t="s">
        <v>22</v>
      </c>
      <c r="E4" s="329"/>
      <c r="F4" s="329"/>
      <c r="G4" s="329"/>
      <c r="H4" s="329"/>
      <c r="I4" s="329"/>
      <c r="J4" s="329"/>
      <c r="K4" s="329"/>
      <c r="L4" s="329"/>
      <c r="M4" s="329"/>
      <c r="N4" s="329"/>
      <c r="O4" s="329"/>
      <c r="P4" s="329"/>
      <c r="Q4" s="316"/>
      <c r="R4" s="303" t="s">
        <v>29</v>
      </c>
      <c r="S4" s="304"/>
      <c r="T4" s="304"/>
      <c r="U4" s="304"/>
      <c r="V4" s="304"/>
      <c r="W4" s="304"/>
      <c r="X4" s="304"/>
      <c r="Y4" s="304"/>
      <c r="Z4" s="304"/>
      <c r="AA4" s="305"/>
      <c r="AB4" s="306" t="s">
        <v>39</v>
      </c>
      <c r="AC4" s="307"/>
      <c r="AD4" s="310" t="s">
        <v>25</v>
      </c>
      <c r="AE4" s="311"/>
      <c r="AF4" s="311"/>
      <c r="AG4" s="311"/>
      <c r="AH4" s="311"/>
      <c r="AI4" s="311"/>
      <c r="AJ4" s="312"/>
      <c r="AK4" s="322" t="s">
        <v>115</v>
      </c>
      <c r="AL4" s="323"/>
      <c r="AM4" s="323"/>
      <c r="AN4" s="318" t="s">
        <v>38</v>
      </c>
      <c r="AO4" s="313" t="s">
        <v>126</v>
      </c>
    </row>
    <row r="5" spans="1:41" ht="15">
      <c r="A5" s="326"/>
      <c r="B5" s="326"/>
      <c r="C5" s="326"/>
      <c r="D5" s="324" t="s">
        <v>116</v>
      </c>
      <c r="E5" s="325"/>
      <c r="F5" s="324" t="s">
        <v>117</v>
      </c>
      <c r="G5" s="325"/>
      <c r="H5" s="324" t="s">
        <v>118</v>
      </c>
      <c r="I5" s="325"/>
      <c r="J5" s="324" t="s">
        <v>20</v>
      </c>
      <c r="K5" s="325"/>
      <c r="L5" s="324" t="s">
        <v>119</v>
      </c>
      <c r="M5" s="325"/>
      <c r="N5" s="324" t="s">
        <v>19</v>
      </c>
      <c r="O5" s="325"/>
      <c r="P5" s="315" t="s">
        <v>23</v>
      </c>
      <c r="Q5" s="316"/>
      <c r="R5" s="315" t="s">
        <v>27</v>
      </c>
      <c r="S5" s="305"/>
      <c r="T5" s="303" t="s">
        <v>17</v>
      </c>
      <c r="U5" s="305"/>
      <c r="V5" s="303" t="s">
        <v>18</v>
      </c>
      <c r="W5" s="305"/>
      <c r="X5" s="303" t="s">
        <v>28</v>
      </c>
      <c r="Y5" s="305"/>
      <c r="Z5" s="315" t="s">
        <v>24</v>
      </c>
      <c r="AA5" s="316"/>
      <c r="AB5" s="308"/>
      <c r="AC5" s="309"/>
      <c r="AD5" s="313" t="s">
        <v>31</v>
      </c>
      <c r="AE5" s="313" t="s">
        <v>30</v>
      </c>
      <c r="AF5" s="313" t="s">
        <v>32</v>
      </c>
      <c r="AG5" s="313" t="s">
        <v>33</v>
      </c>
      <c r="AH5" s="313" t="s">
        <v>34</v>
      </c>
      <c r="AI5" s="313" t="s">
        <v>35</v>
      </c>
      <c r="AJ5" s="317" t="s">
        <v>37</v>
      </c>
      <c r="AK5" s="313" t="s">
        <v>120</v>
      </c>
      <c r="AL5" s="313" t="s">
        <v>121</v>
      </c>
      <c r="AM5" s="313" t="s">
        <v>36</v>
      </c>
      <c r="AN5" s="319"/>
      <c r="AO5" s="321"/>
    </row>
    <row r="6" spans="1:41" ht="60">
      <c r="A6" s="327"/>
      <c r="B6" s="327"/>
      <c r="C6" s="327"/>
      <c r="D6" s="175" t="s">
        <v>16</v>
      </c>
      <c r="E6" s="175" t="s">
        <v>21</v>
      </c>
      <c r="F6" s="175" t="s">
        <v>16</v>
      </c>
      <c r="G6" s="175" t="s">
        <v>21</v>
      </c>
      <c r="H6" s="175" t="s">
        <v>16</v>
      </c>
      <c r="I6" s="175" t="s">
        <v>21</v>
      </c>
      <c r="J6" s="175" t="s">
        <v>16</v>
      </c>
      <c r="K6" s="175" t="s">
        <v>21</v>
      </c>
      <c r="L6" s="175" t="s">
        <v>16</v>
      </c>
      <c r="M6" s="175" t="s">
        <v>21</v>
      </c>
      <c r="N6" s="175" t="s">
        <v>16</v>
      </c>
      <c r="O6" s="175" t="s">
        <v>21</v>
      </c>
      <c r="P6" s="175" t="s">
        <v>16</v>
      </c>
      <c r="Q6" s="175" t="s">
        <v>21</v>
      </c>
      <c r="R6" s="174" t="s">
        <v>16</v>
      </c>
      <c r="S6" s="174" t="s">
        <v>21</v>
      </c>
      <c r="T6" s="174" t="s">
        <v>16</v>
      </c>
      <c r="U6" s="174" t="s">
        <v>21</v>
      </c>
      <c r="V6" s="174" t="s">
        <v>16</v>
      </c>
      <c r="W6" s="174" t="s">
        <v>21</v>
      </c>
      <c r="X6" s="174" t="s">
        <v>16</v>
      </c>
      <c r="Y6" s="174" t="s">
        <v>21</v>
      </c>
      <c r="Z6" s="174" t="s">
        <v>16</v>
      </c>
      <c r="AA6" s="174" t="s">
        <v>21</v>
      </c>
      <c r="AB6" s="177" t="s">
        <v>16</v>
      </c>
      <c r="AC6" s="176" t="s">
        <v>21</v>
      </c>
      <c r="AD6" s="314"/>
      <c r="AE6" s="314"/>
      <c r="AF6" s="314"/>
      <c r="AG6" s="314"/>
      <c r="AH6" s="314"/>
      <c r="AI6" s="314"/>
      <c r="AJ6" s="317"/>
      <c r="AK6" s="314"/>
      <c r="AL6" s="314"/>
      <c r="AM6" s="314"/>
      <c r="AN6" s="320"/>
      <c r="AO6" s="314"/>
    </row>
    <row r="7" spans="1:42" ht="108">
      <c r="A7" s="182" t="s">
        <v>48</v>
      </c>
      <c r="B7" s="183" t="s">
        <v>49</v>
      </c>
      <c r="C7" s="182" t="s">
        <v>48</v>
      </c>
      <c r="D7" s="184">
        <v>991</v>
      </c>
      <c r="E7" s="185">
        <v>921.0000521572117</v>
      </c>
      <c r="F7" s="186">
        <v>925</v>
      </c>
      <c r="G7" s="185">
        <v>887.8361184468091</v>
      </c>
      <c r="H7" s="186">
        <v>1644</v>
      </c>
      <c r="I7" s="185">
        <v>1597.0352350570781</v>
      </c>
      <c r="J7" s="186">
        <v>793</v>
      </c>
      <c r="K7" s="185">
        <v>770.974812566469</v>
      </c>
      <c r="L7" s="186">
        <v>120</v>
      </c>
      <c r="M7" s="185">
        <v>117.51925666666666</v>
      </c>
      <c r="N7" s="183">
        <v>0</v>
      </c>
      <c r="O7" s="187">
        <v>0</v>
      </c>
      <c r="P7" s="188">
        <f>SUM(D7,F7,H7,J7,L7,N7)</f>
        <v>4473</v>
      </c>
      <c r="Q7" s="189">
        <f>SUM(E7,G7,I7,K7,M7,O7)</f>
        <v>4294.3654748942345</v>
      </c>
      <c r="R7" s="183">
        <v>189</v>
      </c>
      <c r="S7" s="183">
        <v>186.84</v>
      </c>
      <c r="T7" s="183">
        <v>17</v>
      </c>
      <c r="U7" s="187">
        <v>17</v>
      </c>
      <c r="V7" s="183">
        <v>210</v>
      </c>
      <c r="W7" s="187">
        <v>209.5</v>
      </c>
      <c r="X7" s="183">
        <v>0</v>
      </c>
      <c r="Y7" s="187">
        <v>0</v>
      </c>
      <c r="Z7" s="190">
        <f>SUM(R7,T7,V7,X7,)</f>
        <v>416</v>
      </c>
      <c r="AA7" s="190">
        <f>SUM(S7,U7,W7,Y7)</f>
        <v>413.34000000000003</v>
      </c>
      <c r="AB7" s="191">
        <f>P7+Z7</f>
        <v>4889</v>
      </c>
      <c r="AC7" s="192">
        <f>Q7+AA7</f>
        <v>4707.705474894235</v>
      </c>
      <c r="AD7" s="193">
        <v>13089303.16</v>
      </c>
      <c r="AE7" s="194">
        <v>255526.4</v>
      </c>
      <c r="AF7" s="194">
        <v>41520.83</v>
      </c>
      <c r="AG7" s="194">
        <v>76602.29</v>
      </c>
      <c r="AH7" s="194">
        <v>2494150.48</v>
      </c>
      <c r="AI7" s="194">
        <v>1070008.7</v>
      </c>
      <c r="AJ7" s="195">
        <f>SUM(AD7:AI7)</f>
        <v>17027111.86</v>
      </c>
      <c r="AK7" s="196">
        <v>3056948.12</v>
      </c>
      <c r="AL7" s="196">
        <v>1857969.67</v>
      </c>
      <c r="AM7" s="197">
        <f>SUM(AK7:AL7)</f>
        <v>4914917.79</v>
      </c>
      <c r="AN7" s="197">
        <f>SUM(AM7,AJ7)</f>
        <v>21942029.65</v>
      </c>
      <c r="AO7" s="246"/>
      <c r="AP7" s="246" t="s">
        <v>136</v>
      </c>
    </row>
    <row r="8" spans="1:42" ht="75">
      <c r="A8" s="182" t="s">
        <v>76</v>
      </c>
      <c r="B8" s="183" t="s">
        <v>51</v>
      </c>
      <c r="C8" s="182" t="s">
        <v>48</v>
      </c>
      <c r="D8" s="186">
        <v>13514</v>
      </c>
      <c r="E8" s="185">
        <v>11813.614420420441</v>
      </c>
      <c r="F8" s="186">
        <v>2973</v>
      </c>
      <c r="G8" s="185">
        <v>2775.0115637237186</v>
      </c>
      <c r="H8" s="186">
        <v>2479</v>
      </c>
      <c r="I8" s="185">
        <v>2299.5820445945897</v>
      </c>
      <c r="J8" s="186">
        <v>609</v>
      </c>
      <c r="K8" s="185">
        <v>593.9662299999994</v>
      </c>
      <c r="L8" s="186">
        <v>33</v>
      </c>
      <c r="M8" s="185">
        <v>33</v>
      </c>
      <c r="N8" s="183">
        <v>0</v>
      </c>
      <c r="O8" s="185">
        <v>0</v>
      </c>
      <c r="P8" s="188">
        <f aca="true" t="shared" si="0" ref="P8:Q19">SUM(D8,F8,H8,J8,L8,N8)</f>
        <v>19608</v>
      </c>
      <c r="Q8" s="189">
        <f t="shared" si="0"/>
        <v>17515.17425873875</v>
      </c>
      <c r="R8" s="183" t="s">
        <v>90</v>
      </c>
      <c r="S8" s="187">
        <v>628.4</v>
      </c>
      <c r="T8" s="183">
        <v>0</v>
      </c>
      <c r="U8" s="187">
        <v>0</v>
      </c>
      <c r="V8" s="183">
        <v>0</v>
      </c>
      <c r="W8" s="187">
        <v>0</v>
      </c>
      <c r="X8" s="183">
        <v>0</v>
      </c>
      <c r="Y8" s="187">
        <v>0</v>
      </c>
      <c r="Z8" s="190">
        <f aca="true" t="shared" si="1" ref="Z8:Z19">SUM(R8,T8,V8,X8,)</f>
        <v>0</v>
      </c>
      <c r="AA8" s="199">
        <f aca="true" t="shared" si="2" ref="AA8:AA19">SUM(S8,U8,W8,Y8)</f>
        <v>628.4</v>
      </c>
      <c r="AB8" s="191">
        <f aca="true" t="shared" si="3" ref="AB8:AC19">P8+Z8</f>
        <v>19608</v>
      </c>
      <c r="AC8" s="192">
        <f t="shared" si="3"/>
        <v>18143.57425873875</v>
      </c>
      <c r="AD8" s="193">
        <v>33395594.98</v>
      </c>
      <c r="AE8" s="194">
        <v>409757.47</v>
      </c>
      <c r="AF8" s="194">
        <v>46443.5</v>
      </c>
      <c r="AG8" s="194">
        <v>518663.15</v>
      </c>
      <c r="AH8" s="194">
        <v>5720799.69</v>
      </c>
      <c r="AI8" s="194">
        <v>2172752.72</v>
      </c>
      <c r="AJ8" s="195">
        <f aca="true" t="shared" si="4" ref="AJ8:AJ19">SUM(AD8:AI8)</f>
        <v>42264011.51</v>
      </c>
      <c r="AK8" s="196">
        <v>1853490.84</v>
      </c>
      <c r="AL8" s="194" t="s">
        <v>90</v>
      </c>
      <c r="AM8" s="197">
        <f aca="true" t="shared" si="5" ref="AM8:AM19">SUM(AK8:AL8)</f>
        <v>1853490.84</v>
      </c>
      <c r="AN8" s="197">
        <f aca="true" t="shared" si="6" ref="AN8:AN19">SUM(AM8,AJ8)</f>
        <v>44117502.35</v>
      </c>
      <c r="AO8" s="246" t="s">
        <v>122</v>
      </c>
      <c r="AP8" s="246"/>
    </row>
    <row r="9" spans="1:42" ht="96">
      <c r="A9" s="182" t="s">
        <v>55</v>
      </c>
      <c r="B9" s="183" t="s">
        <v>51</v>
      </c>
      <c r="C9" s="182" t="s">
        <v>48</v>
      </c>
      <c r="D9" s="183">
        <v>191</v>
      </c>
      <c r="E9" s="183">
        <v>170.16</v>
      </c>
      <c r="F9" s="183">
        <v>128</v>
      </c>
      <c r="G9" s="183">
        <v>122.78</v>
      </c>
      <c r="H9" s="183">
        <v>264</v>
      </c>
      <c r="I9" s="183">
        <v>255.67</v>
      </c>
      <c r="J9" s="183">
        <v>59</v>
      </c>
      <c r="K9" s="183">
        <v>58.33</v>
      </c>
      <c r="L9" s="183">
        <v>6</v>
      </c>
      <c r="M9" s="187">
        <v>6</v>
      </c>
      <c r="N9" s="183">
        <v>0</v>
      </c>
      <c r="O9" s="187">
        <v>0</v>
      </c>
      <c r="P9" s="188">
        <f t="shared" si="0"/>
        <v>648</v>
      </c>
      <c r="Q9" s="189">
        <f t="shared" si="0"/>
        <v>612.94</v>
      </c>
      <c r="R9" s="183">
        <v>5</v>
      </c>
      <c r="S9" s="187">
        <v>3</v>
      </c>
      <c r="T9" s="183">
        <v>0</v>
      </c>
      <c r="U9" s="187">
        <v>0</v>
      </c>
      <c r="V9" s="183">
        <v>14</v>
      </c>
      <c r="W9" s="187">
        <v>14</v>
      </c>
      <c r="X9" s="183">
        <v>0</v>
      </c>
      <c r="Y9" s="187">
        <v>0</v>
      </c>
      <c r="Z9" s="190">
        <f t="shared" si="1"/>
        <v>19</v>
      </c>
      <c r="AA9" s="199">
        <f t="shared" si="2"/>
        <v>17</v>
      </c>
      <c r="AB9" s="191">
        <f t="shared" si="3"/>
        <v>667</v>
      </c>
      <c r="AC9" s="192">
        <f t="shared" si="3"/>
        <v>629.94</v>
      </c>
      <c r="AD9" s="193">
        <v>1515979.77</v>
      </c>
      <c r="AE9" s="194">
        <v>8780.47</v>
      </c>
      <c r="AF9" s="194" t="s">
        <v>90</v>
      </c>
      <c r="AG9" s="194">
        <v>16383.59</v>
      </c>
      <c r="AH9" s="194">
        <v>274805.94</v>
      </c>
      <c r="AI9" s="194">
        <v>128043.71</v>
      </c>
      <c r="AJ9" s="195">
        <f t="shared" si="4"/>
        <v>1943993.48</v>
      </c>
      <c r="AK9" s="196">
        <v>78643.88</v>
      </c>
      <c r="AL9" s="194" t="s">
        <v>90</v>
      </c>
      <c r="AM9" s="197">
        <f t="shared" si="5"/>
        <v>78643.88</v>
      </c>
      <c r="AN9" s="197">
        <f t="shared" si="6"/>
        <v>2022637.3599999999</v>
      </c>
      <c r="AO9" s="246"/>
      <c r="AP9" s="246" t="s">
        <v>137</v>
      </c>
    </row>
    <row r="10" spans="1:42" ht="84">
      <c r="A10" s="23" t="s">
        <v>56</v>
      </c>
      <c r="B10" s="183" t="s">
        <v>51</v>
      </c>
      <c r="C10" s="182" t="s">
        <v>48</v>
      </c>
      <c r="D10" s="183">
        <v>33579</v>
      </c>
      <c r="E10" s="185">
        <v>32016.6</v>
      </c>
      <c r="F10" s="183">
        <v>6084</v>
      </c>
      <c r="G10" s="185">
        <v>5821.3</v>
      </c>
      <c r="H10" s="183">
        <v>3613</v>
      </c>
      <c r="I10" s="185">
        <v>3385.1</v>
      </c>
      <c r="J10" s="183">
        <v>609</v>
      </c>
      <c r="K10" s="185">
        <v>594.8</v>
      </c>
      <c r="L10" s="183">
        <v>38</v>
      </c>
      <c r="M10" s="185">
        <v>37.9</v>
      </c>
      <c r="N10" s="183">
        <v>0</v>
      </c>
      <c r="O10" s="185">
        <v>0</v>
      </c>
      <c r="P10" s="188">
        <f t="shared" si="0"/>
        <v>43923</v>
      </c>
      <c r="Q10" s="189">
        <f t="shared" si="0"/>
        <v>41855.700000000004</v>
      </c>
      <c r="R10" s="156" t="s">
        <v>90</v>
      </c>
      <c r="S10" s="156">
        <v>378.41</v>
      </c>
      <c r="T10" s="156">
        <v>1</v>
      </c>
      <c r="U10" s="156">
        <v>0.54</v>
      </c>
      <c r="V10" s="156" t="s">
        <v>90</v>
      </c>
      <c r="W10" s="156">
        <v>12.54</v>
      </c>
      <c r="X10" s="156">
        <v>4</v>
      </c>
      <c r="Y10" s="158">
        <v>4</v>
      </c>
      <c r="Z10" s="190">
        <f t="shared" si="1"/>
        <v>5</v>
      </c>
      <c r="AA10" s="190">
        <f t="shared" si="2"/>
        <v>395.49000000000007</v>
      </c>
      <c r="AB10" s="191">
        <f t="shared" si="3"/>
        <v>43928</v>
      </c>
      <c r="AC10" s="191">
        <f t="shared" si="3"/>
        <v>42251.19</v>
      </c>
      <c r="AD10" s="193">
        <v>94170526.37</v>
      </c>
      <c r="AE10" s="194">
        <v>0</v>
      </c>
      <c r="AF10" s="194">
        <v>0</v>
      </c>
      <c r="AG10" s="194">
        <v>5357771.61</v>
      </c>
      <c r="AH10" s="194">
        <v>18210449.53</v>
      </c>
      <c r="AI10" s="194">
        <v>7604613.239999998</v>
      </c>
      <c r="AJ10" s="195">
        <f t="shared" si="4"/>
        <v>125343360.75</v>
      </c>
      <c r="AK10" s="196">
        <v>6650651.870000001</v>
      </c>
      <c r="AL10" s="196">
        <v>8899.45</v>
      </c>
      <c r="AM10" s="197">
        <f t="shared" si="5"/>
        <v>6659551.320000001</v>
      </c>
      <c r="AN10" s="197">
        <f t="shared" si="6"/>
        <v>132002912.07000001</v>
      </c>
      <c r="AO10" s="246" t="s">
        <v>133</v>
      </c>
      <c r="AP10" s="246"/>
    </row>
    <row r="11" spans="1:42" ht="156">
      <c r="A11" s="182" t="s">
        <v>58</v>
      </c>
      <c r="B11" s="183" t="s">
        <v>51</v>
      </c>
      <c r="C11" s="182" t="s">
        <v>48</v>
      </c>
      <c r="D11" s="186">
        <v>261</v>
      </c>
      <c r="E11" s="185">
        <v>247.28158945945952</v>
      </c>
      <c r="F11" s="186">
        <v>140</v>
      </c>
      <c r="G11" s="185">
        <v>132.70683</v>
      </c>
      <c r="H11" s="186">
        <v>64</v>
      </c>
      <c r="I11" s="185">
        <v>62.060800810810804</v>
      </c>
      <c r="J11" s="186">
        <v>9</v>
      </c>
      <c r="K11" s="185">
        <v>8.82222</v>
      </c>
      <c r="L11" s="186">
        <v>2</v>
      </c>
      <c r="M11" s="187">
        <v>1.7783799999999998</v>
      </c>
      <c r="N11" s="183">
        <v>0</v>
      </c>
      <c r="O11" s="185">
        <v>0</v>
      </c>
      <c r="P11" s="188">
        <f t="shared" si="0"/>
        <v>476</v>
      </c>
      <c r="Q11" s="189">
        <f t="shared" si="0"/>
        <v>452.64982027027037</v>
      </c>
      <c r="R11" s="183">
        <v>220</v>
      </c>
      <c r="S11" s="183">
        <v>155.5</v>
      </c>
      <c r="T11" s="183">
        <v>0</v>
      </c>
      <c r="U11" s="187">
        <v>0</v>
      </c>
      <c r="V11" s="183">
        <v>0</v>
      </c>
      <c r="W11" s="187">
        <v>0</v>
      </c>
      <c r="X11" s="183">
        <v>0</v>
      </c>
      <c r="Y11" s="187">
        <v>0</v>
      </c>
      <c r="Z11" s="190">
        <f t="shared" si="1"/>
        <v>220</v>
      </c>
      <c r="AA11" s="190">
        <f t="shared" si="2"/>
        <v>155.5</v>
      </c>
      <c r="AB11" s="191">
        <f t="shared" si="3"/>
        <v>696</v>
      </c>
      <c r="AC11" s="192">
        <f t="shared" si="3"/>
        <v>608.1498202702703</v>
      </c>
      <c r="AD11" s="193">
        <v>670355.92</v>
      </c>
      <c r="AE11" s="194">
        <v>14790.78</v>
      </c>
      <c r="AF11" s="194">
        <v>100</v>
      </c>
      <c r="AG11" s="194">
        <v>11698.22</v>
      </c>
      <c r="AH11" s="194">
        <v>99206.82</v>
      </c>
      <c r="AI11" s="194">
        <v>42652.54</v>
      </c>
      <c r="AJ11" s="195">
        <f t="shared" si="4"/>
        <v>838804.28</v>
      </c>
      <c r="AK11" s="196">
        <v>425765.99</v>
      </c>
      <c r="AL11" s="194" t="s">
        <v>90</v>
      </c>
      <c r="AM11" s="197">
        <f t="shared" si="5"/>
        <v>425765.99</v>
      </c>
      <c r="AN11" s="197">
        <f t="shared" si="6"/>
        <v>1264570.27</v>
      </c>
      <c r="AO11" s="246" t="s">
        <v>134</v>
      </c>
      <c r="AP11" s="246"/>
    </row>
    <row r="12" spans="1:42" ht="264">
      <c r="A12" s="182" t="s">
        <v>62</v>
      </c>
      <c r="B12" s="183" t="s">
        <v>63</v>
      </c>
      <c r="C12" s="182" t="s">
        <v>48</v>
      </c>
      <c r="D12" s="183">
        <v>0</v>
      </c>
      <c r="E12" s="185">
        <v>0</v>
      </c>
      <c r="F12" s="183">
        <v>0</v>
      </c>
      <c r="G12" s="187">
        <v>0</v>
      </c>
      <c r="H12" s="183">
        <v>0</v>
      </c>
      <c r="I12" s="187">
        <v>0</v>
      </c>
      <c r="J12" s="183">
        <v>0</v>
      </c>
      <c r="K12" s="187">
        <v>0</v>
      </c>
      <c r="L12" s="183">
        <v>0</v>
      </c>
      <c r="M12" s="187">
        <v>0</v>
      </c>
      <c r="N12" s="183">
        <v>76</v>
      </c>
      <c r="O12" s="183">
        <v>69.54</v>
      </c>
      <c r="P12" s="188">
        <f t="shared" si="0"/>
        <v>76</v>
      </c>
      <c r="Q12" s="189">
        <f t="shared" si="0"/>
        <v>69.54</v>
      </c>
      <c r="R12" s="183">
        <v>5</v>
      </c>
      <c r="S12" s="187">
        <v>5</v>
      </c>
      <c r="T12" s="183">
        <v>3</v>
      </c>
      <c r="U12" s="187">
        <v>3</v>
      </c>
      <c r="V12" s="183">
        <v>0</v>
      </c>
      <c r="W12" s="187">
        <v>0</v>
      </c>
      <c r="X12" s="183">
        <v>0</v>
      </c>
      <c r="Y12" s="187">
        <v>0</v>
      </c>
      <c r="Z12" s="190">
        <f t="shared" si="1"/>
        <v>8</v>
      </c>
      <c r="AA12" s="199">
        <f t="shared" si="2"/>
        <v>8</v>
      </c>
      <c r="AB12" s="191">
        <f t="shared" si="3"/>
        <v>84</v>
      </c>
      <c r="AC12" s="192">
        <f t="shared" si="3"/>
        <v>77.54</v>
      </c>
      <c r="AD12" s="193">
        <v>199181</v>
      </c>
      <c r="AE12" s="194">
        <v>57</v>
      </c>
      <c r="AF12" s="194" t="s">
        <v>90</v>
      </c>
      <c r="AG12" s="194">
        <v>4149</v>
      </c>
      <c r="AH12" s="194">
        <v>35344</v>
      </c>
      <c r="AI12" s="194">
        <v>16950</v>
      </c>
      <c r="AJ12" s="195">
        <f t="shared" si="4"/>
        <v>255681</v>
      </c>
      <c r="AK12" s="196">
        <v>29071</v>
      </c>
      <c r="AL12" s="194" t="s">
        <v>90</v>
      </c>
      <c r="AM12" s="197">
        <f t="shared" si="5"/>
        <v>29071</v>
      </c>
      <c r="AN12" s="197">
        <f t="shared" si="6"/>
        <v>284752</v>
      </c>
      <c r="AO12" s="246" t="s">
        <v>64</v>
      </c>
      <c r="AP12" s="246"/>
    </row>
    <row r="13" spans="1:42" ht="75">
      <c r="A13" s="182" t="s">
        <v>66</v>
      </c>
      <c r="B13" s="183" t="s">
        <v>63</v>
      </c>
      <c r="C13" s="182" t="s">
        <v>48</v>
      </c>
      <c r="D13" s="183">
        <v>0</v>
      </c>
      <c r="E13" s="185">
        <v>0</v>
      </c>
      <c r="F13" s="183">
        <v>0</v>
      </c>
      <c r="G13" s="187">
        <v>0</v>
      </c>
      <c r="H13" s="183">
        <v>0</v>
      </c>
      <c r="I13" s="187">
        <v>0</v>
      </c>
      <c r="J13" s="183">
        <v>0</v>
      </c>
      <c r="K13" s="187">
        <v>0</v>
      </c>
      <c r="L13" s="183">
        <v>0</v>
      </c>
      <c r="M13" s="187">
        <v>0</v>
      </c>
      <c r="N13" s="183">
        <v>384</v>
      </c>
      <c r="O13" s="183">
        <v>359.29</v>
      </c>
      <c r="P13" s="188">
        <f t="shared" si="0"/>
        <v>384</v>
      </c>
      <c r="Q13" s="189">
        <f t="shared" si="0"/>
        <v>359.29</v>
      </c>
      <c r="R13" s="183">
        <v>12</v>
      </c>
      <c r="S13" s="187">
        <v>11.4</v>
      </c>
      <c r="T13" s="183">
        <v>0</v>
      </c>
      <c r="U13" s="187">
        <v>0</v>
      </c>
      <c r="V13" s="183">
        <v>0</v>
      </c>
      <c r="W13" s="187">
        <v>0</v>
      </c>
      <c r="X13" s="183">
        <v>0</v>
      </c>
      <c r="Y13" s="187">
        <v>0</v>
      </c>
      <c r="Z13" s="190">
        <f t="shared" si="1"/>
        <v>12</v>
      </c>
      <c r="AA13" s="199">
        <f t="shared" si="2"/>
        <v>11.4</v>
      </c>
      <c r="AB13" s="191">
        <f t="shared" si="3"/>
        <v>396</v>
      </c>
      <c r="AC13" s="192">
        <f t="shared" si="3"/>
        <v>370.69</v>
      </c>
      <c r="AD13" s="193">
        <v>806077.24</v>
      </c>
      <c r="AE13" s="194">
        <v>1335.49</v>
      </c>
      <c r="AF13" s="194">
        <v>0</v>
      </c>
      <c r="AG13" s="194">
        <v>4120.58</v>
      </c>
      <c r="AH13" s="194">
        <v>145102.92</v>
      </c>
      <c r="AI13" s="194">
        <v>57608.29</v>
      </c>
      <c r="AJ13" s="195">
        <f t="shared" si="4"/>
        <v>1014244.52</v>
      </c>
      <c r="AK13" s="196">
        <v>36227.63</v>
      </c>
      <c r="AL13" s="196">
        <v>0</v>
      </c>
      <c r="AM13" s="197">
        <f t="shared" si="5"/>
        <v>36227.63</v>
      </c>
      <c r="AN13" s="197">
        <f t="shared" si="6"/>
        <v>1050472.15</v>
      </c>
      <c r="AO13" s="246"/>
      <c r="AP13" s="246"/>
    </row>
    <row r="14" spans="1:42" ht="75">
      <c r="A14" s="182" t="s">
        <v>67</v>
      </c>
      <c r="B14" s="183" t="s">
        <v>63</v>
      </c>
      <c r="C14" s="182" t="s">
        <v>48</v>
      </c>
      <c r="D14" s="183">
        <v>11</v>
      </c>
      <c r="E14" s="185">
        <v>11</v>
      </c>
      <c r="F14" s="183">
        <v>17</v>
      </c>
      <c r="G14" s="187">
        <v>15.94</v>
      </c>
      <c r="H14" s="183">
        <v>24</v>
      </c>
      <c r="I14" s="183">
        <v>23.69</v>
      </c>
      <c r="J14" s="183">
        <v>12</v>
      </c>
      <c r="K14" s="187">
        <v>11.2</v>
      </c>
      <c r="L14" s="183">
        <v>3</v>
      </c>
      <c r="M14" s="187">
        <v>3</v>
      </c>
      <c r="N14" s="183">
        <v>1</v>
      </c>
      <c r="O14" s="187">
        <v>0.4</v>
      </c>
      <c r="P14" s="188">
        <f t="shared" si="0"/>
        <v>68</v>
      </c>
      <c r="Q14" s="189">
        <f t="shared" si="0"/>
        <v>65.23</v>
      </c>
      <c r="R14" s="183">
        <v>8</v>
      </c>
      <c r="S14" s="187">
        <v>8</v>
      </c>
      <c r="T14" s="183">
        <v>0</v>
      </c>
      <c r="U14" s="187">
        <v>0</v>
      </c>
      <c r="V14" s="183">
        <v>0</v>
      </c>
      <c r="W14" s="187">
        <v>0</v>
      </c>
      <c r="X14" s="183">
        <v>0</v>
      </c>
      <c r="Y14" s="187">
        <v>0</v>
      </c>
      <c r="Z14" s="190">
        <f t="shared" si="1"/>
        <v>8</v>
      </c>
      <c r="AA14" s="199">
        <f t="shared" si="2"/>
        <v>8</v>
      </c>
      <c r="AB14" s="191">
        <f t="shared" si="3"/>
        <v>76</v>
      </c>
      <c r="AC14" s="192">
        <f t="shared" si="3"/>
        <v>73.23</v>
      </c>
      <c r="AD14" s="193">
        <v>180082.68</v>
      </c>
      <c r="AE14" s="194">
        <v>3437.58</v>
      </c>
      <c r="AF14" s="194">
        <v>600</v>
      </c>
      <c r="AG14" s="194" t="s">
        <v>90</v>
      </c>
      <c r="AH14" s="194">
        <v>34362.78</v>
      </c>
      <c r="AI14" s="194">
        <v>13949.21</v>
      </c>
      <c r="AJ14" s="195">
        <f t="shared" si="4"/>
        <v>232432.24999999997</v>
      </c>
      <c r="AK14" s="196">
        <v>17505.14</v>
      </c>
      <c r="AL14" s="194" t="s">
        <v>90</v>
      </c>
      <c r="AM14" s="197">
        <f t="shared" si="5"/>
        <v>17505.14</v>
      </c>
      <c r="AN14" s="197">
        <f t="shared" si="6"/>
        <v>249937.38999999996</v>
      </c>
      <c r="AO14" s="246"/>
      <c r="AP14" s="246"/>
    </row>
    <row r="15" spans="1:42" ht="409.5">
      <c r="A15" s="182" t="s">
        <v>68</v>
      </c>
      <c r="B15" s="183" t="s">
        <v>63</v>
      </c>
      <c r="C15" s="182" t="s">
        <v>48</v>
      </c>
      <c r="D15" s="183">
        <v>0</v>
      </c>
      <c r="E15" s="185">
        <v>0</v>
      </c>
      <c r="F15" s="183">
        <v>0</v>
      </c>
      <c r="G15" s="187">
        <v>0</v>
      </c>
      <c r="H15" s="183">
        <v>0</v>
      </c>
      <c r="I15" s="187">
        <v>0</v>
      </c>
      <c r="J15" s="183">
        <v>0</v>
      </c>
      <c r="K15" s="187">
        <v>0</v>
      </c>
      <c r="L15" s="183">
        <v>0</v>
      </c>
      <c r="M15" s="187">
        <v>0</v>
      </c>
      <c r="N15" s="183">
        <v>29</v>
      </c>
      <c r="O15" s="187">
        <v>28.8</v>
      </c>
      <c r="P15" s="188">
        <f t="shared" si="0"/>
        <v>29</v>
      </c>
      <c r="Q15" s="189">
        <f t="shared" si="0"/>
        <v>28.8</v>
      </c>
      <c r="R15" s="183">
        <v>0</v>
      </c>
      <c r="S15" s="187">
        <v>0</v>
      </c>
      <c r="T15" s="183">
        <v>0</v>
      </c>
      <c r="U15" s="187">
        <v>0</v>
      </c>
      <c r="V15" s="183">
        <v>0</v>
      </c>
      <c r="W15" s="187">
        <v>0</v>
      </c>
      <c r="X15" s="183">
        <v>0</v>
      </c>
      <c r="Y15" s="187">
        <v>0</v>
      </c>
      <c r="Z15" s="190">
        <f t="shared" si="1"/>
        <v>0</v>
      </c>
      <c r="AA15" s="199">
        <f t="shared" si="2"/>
        <v>0</v>
      </c>
      <c r="AB15" s="191">
        <f t="shared" si="3"/>
        <v>29</v>
      </c>
      <c r="AC15" s="192">
        <f t="shared" si="3"/>
        <v>28.8</v>
      </c>
      <c r="AD15" s="193">
        <v>137774.85</v>
      </c>
      <c r="AE15" s="194" t="s">
        <v>90</v>
      </c>
      <c r="AF15" s="194" t="s">
        <v>90</v>
      </c>
      <c r="AG15" s="194" t="s">
        <v>90</v>
      </c>
      <c r="AH15" s="194">
        <v>30872.1</v>
      </c>
      <c r="AI15" s="194">
        <v>16515.64</v>
      </c>
      <c r="AJ15" s="195">
        <f t="shared" si="4"/>
        <v>185162.59000000003</v>
      </c>
      <c r="AK15" s="194" t="s">
        <v>90</v>
      </c>
      <c r="AL15" s="194" t="s">
        <v>90</v>
      </c>
      <c r="AM15" s="197">
        <f t="shared" si="5"/>
        <v>0</v>
      </c>
      <c r="AN15" s="197">
        <f t="shared" si="6"/>
        <v>185162.59000000003</v>
      </c>
      <c r="AO15" s="246" t="s">
        <v>69</v>
      </c>
      <c r="AP15" s="246" t="s">
        <v>138</v>
      </c>
    </row>
    <row r="16" spans="1:42" ht="84">
      <c r="A16" s="182" t="s">
        <v>70</v>
      </c>
      <c r="B16" s="183" t="s">
        <v>63</v>
      </c>
      <c r="C16" s="182" t="s">
        <v>48</v>
      </c>
      <c r="D16" s="183">
        <v>799</v>
      </c>
      <c r="E16" s="183">
        <v>753.53</v>
      </c>
      <c r="F16" s="183">
        <v>272</v>
      </c>
      <c r="G16" s="183">
        <v>262.13</v>
      </c>
      <c r="H16" s="183">
        <v>398</v>
      </c>
      <c r="I16" s="183">
        <v>381.6</v>
      </c>
      <c r="J16" s="183">
        <v>119</v>
      </c>
      <c r="K16" s="183">
        <v>117.27</v>
      </c>
      <c r="L16" s="183">
        <v>19</v>
      </c>
      <c r="M16" s="187">
        <v>13.2</v>
      </c>
      <c r="N16" s="183">
        <v>0</v>
      </c>
      <c r="O16" s="187">
        <v>0</v>
      </c>
      <c r="P16" s="188">
        <f t="shared" si="0"/>
        <v>1607</v>
      </c>
      <c r="Q16" s="189">
        <f t="shared" si="0"/>
        <v>1527.73</v>
      </c>
      <c r="R16" s="183">
        <v>28</v>
      </c>
      <c r="S16" s="187">
        <v>26.6</v>
      </c>
      <c r="T16" s="183">
        <v>0</v>
      </c>
      <c r="U16" s="187">
        <v>0</v>
      </c>
      <c r="V16" s="183">
        <v>76</v>
      </c>
      <c r="W16" s="187">
        <v>75.48</v>
      </c>
      <c r="X16" s="183">
        <v>0</v>
      </c>
      <c r="Y16" s="187">
        <v>0</v>
      </c>
      <c r="Z16" s="190">
        <f t="shared" si="1"/>
        <v>104</v>
      </c>
      <c r="AA16" s="199">
        <f t="shared" si="2"/>
        <v>102.08000000000001</v>
      </c>
      <c r="AB16" s="191">
        <f t="shared" si="3"/>
        <v>1711</v>
      </c>
      <c r="AC16" s="192">
        <f t="shared" si="3"/>
        <v>1629.81</v>
      </c>
      <c r="AD16" s="193">
        <v>3543315.72</v>
      </c>
      <c r="AE16" s="194" t="s">
        <v>90</v>
      </c>
      <c r="AF16" s="194" t="s">
        <v>90</v>
      </c>
      <c r="AG16" s="194">
        <v>116329.99</v>
      </c>
      <c r="AH16" s="194"/>
      <c r="AI16" s="194">
        <v>308676.61</v>
      </c>
      <c r="AJ16" s="195">
        <f t="shared" si="4"/>
        <v>3968322.3200000003</v>
      </c>
      <c r="AK16" s="196">
        <v>1101809.01</v>
      </c>
      <c r="AL16" s="194" t="s">
        <v>90</v>
      </c>
      <c r="AM16" s="197">
        <f t="shared" si="5"/>
        <v>1101809.01</v>
      </c>
      <c r="AN16" s="197">
        <f t="shared" si="6"/>
        <v>5070131.33</v>
      </c>
      <c r="AO16" s="246"/>
      <c r="AP16" s="246" t="s">
        <v>139</v>
      </c>
    </row>
    <row r="17" spans="1:42" ht="96">
      <c r="A17" s="182" t="s">
        <v>71</v>
      </c>
      <c r="B17" s="183" t="s">
        <v>63</v>
      </c>
      <c r="C17" s="182" t="s">
        <v>48</v>
      </c>
      <c r="D17" s="183">
        <v>21</v>
      </c>
      <c r="E17" s="183">
        <v>19.87</v>
      </c>
      <c r="F17" s="183">
        <v>47</v>
      </c>
      <c r="G17" s="183">
        <v>46.53</v>
      </c>
      <c r="H17" s="183">
        <v>15</v>
      </c>
      <c r="I17" s="183">
        <v>14.06</v>
      </c>
      <c r="J17" s="183">
        <v>5</v>
      </c>
      <c r="K17" s="187">
        <v>5</v>
      </c>
      <c r="L17" s="183">
        <v>2</v>
      </c>
      <c r="M17" s="187">
        <v>1.2</v>
      </c>
      <c r="N17" s="183">
        <v>0</v>
      </c>
      <c r="O17" s="187">
        <v>0</v>
      </c>
      <c r="P17" s="188">
        <f t="shared" si="0"/>
        <v>90</v>
      </c>
      <c r="Q17" s="189">
        <f t="shared" si="0"/>
        <v>86.66000000000001</v>
      </c>
      <c r="R17" s="183">
        <v>6</v>
      </c>
      <c r="S17" s="187">
        <v>6</v>
      </c>
      <c r="T17" s="183">
        <v>0</v>
      </c>
      <c r="U17" s="187">
        <v>0</v>
      </c>
      <c r="V17" s="183">
        <v>0</v>
      </c>
      <c r="W17" s="187">
        <v>0</v>
      </c>
      <c r="X17" s="183">
        <v>0</v>
      </c>
      <c r="Y17" s="187">
        <v>0</v>
      </c>
      <c r="Z17" s="190">
        <f t="shared" si="1"/>
        <v>6</v>
      </c>
      <c r="AA17" s="199">
        <f t="shared" si="2"/>
        <v>6</v>
      </c>
      <c r="AB17" s="191">
        <f t="shared" si="3"/>
        <v>96</v>
      </c>
      <c r="AC17" s="192">
        <f t="shared" si="3"/>
        <v>92.66000000000001</v>
      </c>
      <c r="AD17" s="193">
        <v>181804.5</v>
      </c>
      <c r="AE17" s="194">
        <v>20180.3</v>
      </c>
      <c r="AF17" s="194" t="s">
        <v>90</v>
      </c>
      <c r="AG17" s="194">
        <v>3777.8</v>
      </c>
      <c r="AH17" s="194">
        <v>30101.4</v>
      </c>
      <c r="AI17" s="194">
        <v>17517.7</v>
      </c>
      <c r="AJ17" s="195">
        <f t="shared" si="4"/>
        <v>253381.69999999998</v>
      </c>
      <c r="AK17" s="196">
        <v>18530</v>
      </c>
      <c r="AL17" s="194" t="s">
        <v>90</v>
      </c>
      <c r="AM17" s="197">
        <f t="shared" si="5"/>
        <v>18530</v>
      </c>
      <c r="AN17" s="197">
        <f t="shared" si="6"/>
        <v>271911.69999999995</v>
      </c>
      <c r="AO17" s="246" t="s">
        <v>135</v>
      </c>
      <c r="AP17" s="246"/>
    </row>
    <row r="18" spans="1:42" ht="409.5">
      <c r="A18" s="156" t="s">
        <v>72</v>
      </c>
      <c r="B18" s="23" t="s">
        <v>63</v>
      </c>
      <c r="C18" s="23" t="s">
        <v>48</v>
      </c>
      <c r="D18" s="156">
        <v>0</v>
      </c>
      <c r="E18" s="158">
        <v>0</v>
      </c>
      <c r="F18" s="156">
        <v>0</v>
      </c>
      <c r="G18" s="158">
        <v>0</v>
      </c>
      <c r="H18" s="156">
        <v>0</v>
      </c>
      <c r="I18" s="158">
        <v>0</v>
      </c>
      <c r="J18" s="156">
        <v>0</v>
      </c>
      <c r="K18" s="158">
        <v>0</v>
      </c>
      <c r="L18" s="156">
        <v>0</v>
      </c>
      <c r="M18" s="158">
        <v>0</v>
      </c>
      <c r="N18" s="156">
        <v>18380</v>
      </c>
      <c r="O18" s="158">
        <v>16577</v>
      </c>
      <c r="P18" s="188">
        <f t="shared" si="0"/>
        <v>18380</v>
      </c>
      <c r="Q18" s="189">
        <f t="shared" si="0"/>
        <v>16577</v>
      </c>
      <c r="R18" s="156">
        <v>1360</v>
      </c>
      <c r="S18" s="158">
        <v>1360</v>
      </c>
      <c r="T18" s="156">
        <v>7</v>
      </c>
      <c r="U18" s="158">
        <v>7</v>
      </c>
      <c r="V18" s="156">
        <v>0</v>
      </c>
      <c r="W18" s="158">
        <v>0</v>
      </c>
      <c r="X18" s="156">
        <v>0</v>
      </c>
      <c r="Y18" s="158">
        <v>0</v>
      </c>
      <c r="Z18" s="190">
        <f t="shared" si="1"/>
        <v>1367</v>
      </c>
      <c r="AA18" s="203">
        <f t="shared" si="2"/>
        <v>1367</v>
      </c>
      <c r="AB18" s="191">
        <f t="shared" si="3"/>
        <v>19747</v>
      </c>
      <c r="AC18" s="191">
        <f t="shared" si="3"/>
        <v>17944</v>
      </c>
      <c r="AD18" s="194" t="s">
        <v>90</v>
      </c>
      <c r="AE18" s="194" t="s">
        <v>90</v>
      </c>
      <c r="AF18" s="194" t="s">
        <v>90</v>
      </c>
      <c r="AG18" s="194" t="s">
        <v>90</v>
      </c>
      <c r="AH18" s="194" t="s">
        <v>90</v>
      </c>
      <c r="AI18" s="194" t="s">
        <v>90</v>
      </c>
      <c r="AJ18" s="195">
        <f t="shared" si="4"/>
        <v>0</v>
      </c>
      <c r="AK18" s="194" t="s">
        <v>90</v>
      </c>
      <c r="AL18" s="194" t="s">
        <v>90</v>
      </c>
      <c r="AM18" s="197">
        <f t="shared" si="5"/>
        <v>0</v>
      </c>
      <c r="AN18" s="197">
        <f t="shared" si="6"/>
        <v>0</v>
      </c>
      <c r="AO18" s="247" t="s">
        <v>140</v>
      </c>
      <c r="AP18" s="246" t="s">
        <v>141</v>
      </c>
    </row>
    <row r="19" spans="1:42" ht="90">
      <c r="A19" s="183" t="s">
        <v>124</v>
      </c>
      <c r="B19" s="183" t="s">
        <v>63</v>
      </c>
      <c r="C19" s="205" t="s">
        <v>48</v>
      </c>
      <c r="D19" s="183">
        <v>15</v>
      </c>
      <c r="E19" s="183">
        <v>14.35</v>
      </c>
      <c r="F19" s="183">
        <v>41</v>
      </c>
      <c r="G19" s="183">
        <v>39.93</v>
      </c>
      <c r="H19" s="183">
        <v>104</v>
      </c>
      <c r="I19" s="183">
        <v>101.11</v>
      </c>
      <c r="J19" s="183">
        <v>38</v>
      </c>
      <c r="K19" s="185">
        <v>37</v>
      </c>
      <c r="L19" s="183">
        <v>4</v>
      </c>
      <c r="M19" s="185">
        <v>3.6</v>
      </c>
      <c r="N19" s="183">
        <v>0</v>
      </c>
      <c r="O19" s="185">
        <v>0</v>
      </c>
      <c r="P19" s="188">
        <f t="shared" si="0"/>
        <v>202</v>
      </c>
      <c r="Q19" s="189">
        <f t="shared" si="0"/>
        <v>195.98999999999998</v>
      </c>
      <c r="R19" s="183">
        <v>5</v>
      </c>
      <c r="S19" s="187">
        <v>5</v>
      </c>
      <c r="T19" s="183">
        <v>0</v>
      </c>
      <c r="U19" s="187">
        <v>0</v>
      </c>
      <c r="V19" s="183">
        <v>6</v>
      </c>
      <c r="W19" s="187">
        <v>5.8</v>
      </c>
      <c r="X19" s="183">
        <v>0</v>
      </c>
      <c r="Y19" s="187">
        <v>0</v>
      </c>
      <c r="Z19" s="190">
        <f t="shared" si="1"/>
        <v>11</v>
      </c>
      <c r="AA19" s="199">
        <f t="shared" si="2"/>
        <v>10.8</v>
      </c>
      <c r="AB19" s="191">
        <f t="shared" si="3"/>
        <v>213</v>
      </c>
      <c r="AC19" s="192">
        <f t="shared" si="3"/>
        <v>206.79</v>
      </c>
      <c r="AD19" s="193">
        <v>621329.66</v>
      </c>
      <c r="AE19" s="194">
        <v>54992.72</v>
      </c>
      <c r="AF19" s="194" t="s">
        <v>90</v>
      </c>
      <c r="AG19" s="194">
        <v>4501.19</v>
      </c>
      <c r="AH19" s="194">
        <v>124547.69</v>
      </c>
      <c r="AI19" s="194">
        <v>58286.38</v>
      </c>
      <c r="AJ19" s="195">
        <f t="shared" si="4"/>
        <v>863657.64</v>
      </c>
      <c r="AK19" s="196">
        <v>69547.27</v>
      </c>
      <c r="AL19" s="194" t="s">
        <v>90</v>
      </c>
      <c r="AM19" s="197">
        <f t="shared" si="5"/>
        <v>69547.27</v>
      </c>
      <c r="AN19" s="197">
        <f t="shared" si="6"/>
        <v>933204.91</v>
      </c>
      <c r="AO19" s="246"/>
      <c r="AP19" s="246"/>
    </row>
  </sheetData>
  <mergeCells count="32">
    <mergeCell ref="A4:A6"/>
    <mergeCell ref="B4:B6"/>
    <mergeCell ref="C4:C6"/>
    <mergeCell ref="D4:Q4"/>
    <mergeCell ref="R4:AA4"/>
    <mergeCell ref="AB4:AC5"/>
    <mergeCell ref="AD4:AJ4"/>
    <mergeCell ref="AK4:AM4"/>
    <mergeCell ref="T5:U5"/>
    <mergeCell ref="V5:W5"/>
    <mergeCell ref="X5:Y5"/>
    <mergeCell ref="Z5:AA5"/>
    <mergeCell ref="AD5:AD6"/>
    <mergeCell ref="AE5:AE6"/>
    <mergeCell ref="AN4:AN6"/>
    <mergeCell ref="AO4:AO6"/>
    <mergeCell ref="D5:E5"/>
    <mergeCell ref="F5:G5"/>
    <mergeCell ref="H5:I5"/>
    <mergeCell ref="J5:K5"/>
    <mergeCell ref="L5:M5"/>
    <mergeCell ref="N5:O5"/>
    <mergeCell ref="P5:Q5"/>
    <mergeCell ref="R5:S5"/>
    <mergeCell ref="AF5:AF6"/>
    <mergeCell ref="AG5:AG6"/>
    <mergeCell ref="AH5:AH6"/>
    <mergeCell ref="AI5:AI6"/>
    <mergeCell ref="AJ5:AJ6"/>
    <mergeCell ref="AK5:AK6"/>
    <mergeCell ref="AL5:AL6"/>
    <mergeCell ref="AM5:AM6"/>
  </mergeCells>
  <conditionalFormatting sqref="B7:B17 B19">
    <cfRule type="expression" priority="1" dxfId="22" stopIfTrue="1">
      <formula>AND(NOT(ISBLANK($A7)),ISBLANK(B7))</formula>
    </cfRule>
  </conditionalFormatting>
  <conditionalFormatting sqref="C7:C19 B18">
    <cfRule type="expression" priority="2" dxfId="22" stopIfTrue="1">
      <formula>AND(NOT(ISBLANK(IV7)),ISBLANK(B7))</formula>
    </cfRule>
  </conditionalFormatting>
  <conditionalFormatting sqref="N7:N19 R7:R19 X7:X19 T7:T19 V7:V19 H7:H19 J7:J19 L7:L19 D7:D19 F7:F19">
    <cfRule type="expression" priority="3" dxfId="22" stopIfTrue="1">
      <formula>AND(NOT(ISBLANK(E7)),ISBLANK(D7))</formula>
    </cfRule>
  </conditionalFormatting>
  <conditionalFormatting sqref="O7:O19 S7:S19 Y7:Y19 U7:U19 W7:W19 I7:I19 K7:K19 M7:M19 E7:E19 G7:G19">
    <cfRule type="expression" priority="4" dxfId="22" stopIfTrue="1">
      <formula>AND(NOT(ISBLANK(D7)),ISBLANK(E7))</formula>
    </cfRule>
  </conditionalFormatting>
  <dataValidations count="8">
    <dataValidation type="decimal" operator="greaterThan" allowBlank="1" showInputMessage="1" showErrorMessage="1" sqref="AD18:AI19 AK18:AL18 AL19 AL14:AL17 AK15 AL11:AL12 AL8:AL9 AF9 AF12 AE15:AG15 AG14 AF16:AF17 AE16">
      <formula1>0</formula1>
    </dataValidation>
    <dataValidation type="decimal" operator="greaterThanOrEqual" allowBlank="1" showInputMessage="1" showErrorMessage="1" sqref="AL7 AK16:AK17 AK7:AK14 AL13 AL10 AG16:AG17 AF7:AF8 AF10:AF11 AF13:AF14 AH7:AI17 AG7:AG13 AD7:AD17 AE17 AE7:AE14">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19">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19">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19">
      <formula1>INDIRECT("List_of_organisations")</formula1>
    </dataValidation>
    <dataValidation operator="lessThanOrEqual" allowBlank="1" showInputMessage="1" showErrorMessage="1" error="FTE cannot be greater than Headcount&#10;" sqref="AO4 AB4 R4 A4:C4 P5 AB6:AC19 P7:Q19 AP7:AP19 AO19 AO7:AO17"/>
    <dataValidation type="custom" allowBlank="1" showInputMessage="1" showErrorMessage="1" errorTitle="Headcount" error="The value entered in the headcount field must be greater than or equal to the value entered in the FTE field." sqref="N7:N18 R7:R18 T7:T18 V7:V18 X7:X18 F7:F18 L7:L18 J7:J18 H7:H18 D7:D18">
      <formula1>N7&gt;=O7</formula1>
    </dataValidation>
    <dataValidation type="custom" allowBlank="1" showInputMessage="1" showErrorMessage="1" errorTitle="FTE" error="The value entered in the FTE field must be less than or equal to the value entered in the headcount field." sqref="O7:O18 S7:S18 U7:U18 W7:W18 Y7:Y18 M7:M18 K7:K18 I7:I18 G7:G18 E7:E18">
      <formula1>O7&lt;=N7</formula1>
    </dataValidation>
  </dataValidations>
  <printOptions/>
  <pageMargins left="0.75" right="0.75" top="1" bottom="1" header="0.5" footer="0.5"/>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A1:AO19"/>
  <sheetViews>
    <sheetView workbookViewId="0" topLeftCell="A1">
      <selection activeCell="A7" sqref="A7"/>
    </sheetView>
  </sheetViews>
  <sheetFormatPr defaultColWidth="8.88671875" defaultRowHeight="15"/>
  <cols>
    <col min="2" max="2" width="10.77734375" style="0" customWidth="1"/>
    <col min="3" max="3" width="10.10546875" style="0" customWidth="1"/>
    <col min="30" max="30" width="13.4453125" style="0" bestFit="1" customWidth="1"/>
    <col min="31" max="31" width="10.88671875" style="0" bestFit="1" customWidth="1"/>
    <col min="32" max="32" width="33.21484375" style="0" bestFit="1" customWidth="1"/>
  </cols>
  <sheetData>
    <row r="1" spans="1:41" ht="15">
      <c r="A1" s="2" t="s">
        <v>92</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row>
    <row r="2" spans="1:41" ht="15">
      <c r="A2" s="24" t="s">
        <v>93</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row>
    <row r="3" spans="1:41" ht="15">
      <c r="A3" s="24" t="s">
        <v>94</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row>
    <row r="4" spans="1:41" ht="15">
      <c r="A4" s="313" t="s">
        <v>26</v>
      </c>
      <c r="B4" s="328" t="s">
        <v>15</v>
      </c>
      <c r="C4" s="328" t="s">
        <v>14</v>
      </c>
      <c r="D4" s="315" t="s">
        <v>22</v>
      </c>
      <c r="E4" s="329"/>
      <c r="F4" s="329"/>
      <c r="G4" s="329"/>
      <c r="H4" s="329"/>
      <c r="I4" s="329"/>
      <c r="J4" s="329"/>
      <c r="K4" s="329"/>
      <c r="L4" s="329"/>
      <c r="M4" s="329"/>
      <c r="N4" s="329"/>
      <c r="O4" s="329"/>
      <c r="P4" s="329"/>
      <c r="Q4" s="316"/>
      <c r="R4" s="303" t="s">
        <v>29</v>
      </c>
      <c r="S4" s="304"/>
      <c r="T4" s="304"/>
      <c r="U4" s="304"/>
      <c r="V4" s="304"/>
      <c r="W4" s="304"/>
      <c r="X4" s="304"/>
      <c r="Y4" s="304"/>
      <c r="Z4" s="304"/>
      <c r="AA4" s="305"/>
      <c r="AB4" s="306" t="s">
        <v>39</v>
      </c>
      <c r="AC4" s="307"/>
      <c r="AD4" s="310" t="s">
        <v>25</v>
      </c>
      <c r="AE4" s="311"/>
      <c r="AF4" s="311"/>
      <c r="AG4" s="311"/>
      <c r="AH4" s="311"/>
      <c r="AI4" s="311"/>
      <c r="AJ4" s="312"/>
      <c r="AK4" s="322" t="s">
        <v>115</v>
      </c>
      <c r="AL4" s="323"/>
      <c r="AM4" s="323"/>
      <c r="AN4" s="318" t="s">
        <v>38</v>
      </c>
      <c r="AO4" s="313" t="s">
        <v>126</v>
      </c>
    </row>
    <row r="5" spans="1:41" ht="15">
      <c r="A5" s="326"/>
      <c r="B5" s="326"/>
      <c r="C5" s="326"/>
      <c r="D5" s="324" t="s">
        <v>116</v>
      </c>
      <c r="E5" s="325"/>
      <c r="F5" s="324" t="s">
        <v>117</v>
      </c>
      <c r="G5" s="325"/>
      <c r="H5" s="324" t="s">
        <v>118</v>
      </c>
      <c r="I5" s="325"/>
      <c r="J5" s="324" t="s">
        <v>20</v>
      </c>
      <c r="K5" s="325"/>
      <c r="L5" s="324" t="s">
        <v>119</v>
      </c>
      <c r="M5" s="325"/>
      <c r="N5" s="324" t="s">
        <v>19</v>
      </c>
      <c r="O5" s="325"/>
      <c r="P5" s="315" t="s">
        <v>23</v>
      </c>
      <c r="Q5" s="316"/>
      <c r="R5" s="315" t="s">
        <v>27</v>
      </c>
      <c r="S5" s="305"/>
      <c r="T5" s="303" t="s">
        <v>17</v>
      </c>
      <c r="U5" s="305"/>
      <c r="V5" s="303" t="s">
        <v>18</v>
      </c>
      <c r="W5" s="305"/>
      <c r="X5" s="303" t="s">
        <v>28</v>
      </c>
      <c r="Y5" s="305"/>
      <c r="Z5" s="315" t="s">
        <v>24</v>
      </c>
      <c r="AA5" s="316"/>
      <c r="AB5" s="308"/>
      <c r="AC5" s="309"/>
      <c r="AD5" s="313" t="s">
        <v>31</v>
      </c>
      <c r="AE5" s="313" t="s">
        <v>30</v>
      </c>
      <c r="AF5" s="313" t="s">
        <v>32</v>
      </c>
      <c r="AG5" s="313" t="s">
        <v>33</v>
      </c>
      <c r="AH5" s="313" t="s">
        <v>34</v>
      </c>
      <c r="AI5" s="313" t="s">
        <v>35</v>
      </c>
      <c r="AJ5" s="317" t="s">
        <v>37</v>
      </c>
      <c r="AK5" s="313" t="s">
        <v>120</v>
      </c>
      <c r="AL5" s="313" t="s">
        <v>121</v>
      </c>
      <c r="AM5" s="313" t="s">
        <v>36</v>
      </c>
      <c r="AN5" s="319"/>
      <c r="AO5" s="321"/>
    </row>
    <row r="6" spans="1:41" ht="60">
      <c r="A6" s="327"/>
      <c r="B6" s="327"/>
      <c r="C6" s="327"/>
      <c r="D6" s="175" t="s">
        <v>16</v>
      </c>
      <c r="E6" s="175" t="s">
        <v>21</v>
      </c>
      <c r="F6" s="175" t="s">
        <v>16</v>
      </c>
      <c r="G6" s="175" t="s">
        <v>21</v>
      </c>
      <c r="H6" s="175" t="s">
        <v>16</v>
      </c>
      <c r="I6" s="175" t="s">
        <v>21</v>
      </c>
      <c r="J6" s="175" t="s">
        <v>16</v>
      </c>
      <c r="K6" s="175" t="s">
        <v>21</v>
      </c>
      <c r="L6" s="175" t="s">
        <v>16</v>
      </c>
      <c r="M6" s="175" t="s">
        <v>21</v>
      </c>
      <c r="N6" s="175" t="s">
        <v>16</v>
      </c>
      <c r="O6" s="175" t="s">
        <v>21</v>
      </c>
      <c r="P6" s="175" t="s">
        <v>16</v>
      </c>
      <c r="Q6" s="175" t="s">
        <v>21</v>
      </c>
      <c r="R6" s="174" t="s">
        <v>16</v>
      </c>
      <c r="S6" s="174" t="s">
        <v>21</v>
      </c>
      <c r="T6" s="174" t="s">
        <v>16</v>
      </c>
      <c r="U6" s="174" t="s">
        <v>21</v>
      </c>
      <c r="V6" s="174" t="s">
        <v>16</v>
      </c>
      <c r="W6" s="174" t="s">
        <v>21</v>
      </c>
      <c r="X6" s="174" t="s">
        <v>16</v>
      </c>
      <c r="Y6" s="174" t="s">
        <v>21</v>
      </c>
      <c r="Z6" s="174" t="s">
        <v>16</v>
      </c>
      <c r="AA6" s="174" t="s">
        <v>21</v>
      </c>
      <c r="AB6" s="177" t="s">
        <v>16</v>
      </c>
      <c r="AC6" s="176" t="s">
        <v>21</v>
      </c>
      <c r="AD6" s="314"/>
      <c r="AE6" s="314"/>
      <c r="AF6" s="314"/>
      <c r="AG6" s="314"/>
      <c r="AH6" s="314"/>
      <c r="AI6" s="314"/>
      <c r="AJ6" s="317"/>
      <c r="AK6" s="314"/>
      <c r="AL6" s="314"/>
      <c r="AM6" s="314"/>
      <c r="AN6" s="320"/>
      <c r="AO6" s="314"/>
    </row>
    <row r="7" spans="1:41" ht="45">
      <c r="A7" s="182" t="s">
        <v>48</v>
      </c>
      <c r="B7" s="183" t="s">
        <v>49</v>
      </c>
      <c r="C7" s="182" t="s">
        <v>48</v>
      </c>
      <c r="D7" s="184">
        <v>999</v>
      </c>
      <c r="E7" s="185">
        <v>928.98</v>
      </c>
      <c r="F7" s="186">
        <v>925</v>
      </c>
      <c r="G7" s="185">
        <v>888.41</v>
      </c>
      <c r="H7" s="186">
        <v>1634</v>
      </c>
      <c r="I7" s="185">
        <v>1588.28</v>
      </c>
      <c r="J7" s="186">
        <v>785</v>
      </c>
      <c r="K7" s="185">
        <v>762.92</v>
      </c>
      <c r="L7" s="186">
        <v>121</v>
      </c>
      <c r="M7" s="185">
        <v>119.06</v>
      </c>
      <c r="N7" s="183">
        <v>0</v>
      </c>
      <c r="O7" s="187">
        <v>0</v>
      </c>
      <c r="P7" s="188">
        <f>SUM(D7,F7,H7,J7,L7,N7)</f>
        <v>4464</v>
      </c>
      <c r="Q7" s="189">
        <f>SUM(E7,G7,I7,K7,M7,O7)</f>
        <v>4287.650000000001</v>
      </c>
      <c r="R7" s="183">
        <v>175</v>
      </c>
      <c r="S7" s="183">
        <v>168.84</v>
      </c>
      <c r="T7" s="183">
        <v>15</v>
      </c>
      <c r="U7" s="187">
        <v>15</v>
      </c>
      <c r="V7" s="183">
        <v>203</v>
      </c>
      <c r="W7" s="187">
        <v>202</v>
      </c>
      <c r="X7" s="183">
        <v>0</v>
      </c>
      <c r="Y7" s="187">
        <v>0</v>
      </c>
      <c r="Z7" s="190">
        <f>SUM(R7,T7,V7,X7,)</f>
        <v>393</v>
      </c>
      <c r="AA7" s="190">
        <f>SUM(S7,U7,W7,Y7)</f>
        <v>385.84000000000003</v>
      </c>
      <c r="AB7" s="191">
        <f>P7+Z7</f>
        <v>4857</v>
      </c>
      <c r="AC7" s="192">
        <f>Q7+AA7</f>
        <v>4673.490000000001</v>
      </c>
      <c r="AD7" s="193">
        <v>12228995.114999989</v>
      </c>
      <c r="AE7" s="194">
        <v>281697.29</v>
      </c>
      <c r="AF7" s="194">
        <v>65668.32</v>
      </c>
      <c r="AG7" s="194">
        <v>115950.6</v>
      </c>
      <c r="AH7" s="194">
        <v>1640134.1350000002</v>
      </c>
      <c r="AI7" s="194">
        <v>1783769.3425</v>
      </c>
      <c r="AJ7" s="195">
        <f>SUM(AD7:AI7)</f>
        <v>16116214.802499987</v>
      </c>
      <c r="AK7" s="196">
        <v>2439021.08</v>
      </c>
      <c r="AL7" s="196">
        <v>604316.76</v>
      </c>
      <c r="AM7" s="197">
        <f>SUM(AK7:AL7)</f>
        <v>3043337.84</v>
      </c>
      <c r="AN7" s="197">
        <f>SUM(AM7,AJ7)</f>
        <v>19159552.642499987</v>
      </c>
      <c r="AO7" s="198"/>
    </row>
    <row r="8" spans="1:41" ht="75">
      <c r="A8" s="182" t="s">
        <v>76</v>
      </c>
      <c r="B8" s="183" t="s">
        <v>51</v>
      </c>
      <c r="C8" s="182" t="s">
        <v>48</v>
      </c>
      <c r="D8" s="186">
        <v>13529</v>
      </c>
      <c r="E8" s="185">
        <v>11826.85</v>
      </c>
      <c r="F8" s="186">
        <v>3011</v>
      </c>
      <c r="G8" s="185">
        <v>2812.44</v>
      </c>
      <c r="H8" s="186">
        <v>2487</v>
      </c>
      <c r="I8" s="185">
        <v>2308.65</v>
      </c>
      <c r="J8" s="186">
        <v>625</v>
      </c>
      <c r="K8" s="185">
        <v>609.78</v>
      </c>
      <c r="L8" s="186">
        <v>34</v>
      </c>
      <c r="M8" s="185">
        <v>33.97</v>
      </c>
      <c r="N8" s="183">
        <v>0</v>
      </c>
      <c r="O8" s="185">
        <v>0</v>
      </c>
      <c r="P8" s="188">
        <f aca="true" t="shared" si="0" ref="P8:Q19">SUM(D8,F8,H8,J8,L8,N8)</f>
        <v>19686</v>
      </c>
      <c r="Q8" s="189">
        <f t="shared" si="0"/>
        <v>17591.690000000002</v>
      </c>
      <c r="R8" s="183" t="s">
        <v>146</v>
      </c>
      <c r="S8" s="187">
        <v>602</v>
      </c>
      <c r="T8" s="183">
        <v>0</v>
      </c>
      <c r="U8" s="187">
        <v>0</v>
      </c>
      <c r="V8" s="183">
        <v>0</v>
      </c>
      <c r="W8" s="187">
        <v>0</v>
      </c>
      <c r="X8" s="183">
        <v>0</v>
      </c>
      <c r="Y8" s="187">
        <v>0</v>
      </c>
      <c r="Z8" s="190">
        <f aca="true" t="shared" si="1" ref="Z8:Z19">SUM(R8,T8,V8,X8,)</f>
        <v>0</v>
      </c>
      <c r="AA8" s="199">
        <f aca="true" t="shared" si="2" ref="AA8:AA19">SUM(S8,U8,W8,Y8)</f>
        <v>602</v>
      </c>
      <c r="AB8" s="191">
        <f aca="true" t="shared" si="3" ref="AB8:AC19">P8+Z8</f>
        <v>19686</v>
      </c>
      <c r="AC8" s="192">
        <f t="shared" si="3"/>
        <v>18193.690000000002</v>
      </c>
      <c r="AD8" s="193">
        <v>33732218.37</v>
      </c>
      <c r="AE8" s="194">
        <v>682426.92</v>
      </c>
      <c r="AF8" s="194">
        <v>127856.87</v>
      </c>
      <c r="AG8" s="194">
        <v>396038.22</v>
      </c>
      <c r="AH8" s="194">
        <v>5779069.37</v>
      </c>
      <c r="AI8" s="194">
        <v>2297981.99</v>
      </c>
      <c r="AJ8" s="195">
        <f aca="true" t="shared" si="4" ref="AJ8:AJ19">SUM(AD8:AI8)</f>
        <v>43015591.739999995</v>
      </c>
      <c r="AK8" s="196">
        <v>1381310.93</v>
      </c>
      <c r="AL8" s="196" t="s">
        <v>146</v>
      </c>
      <c r="AM8" s="197">
        <f aca="true" t="shared" si="5" ref="AM8:AM19">SUM(AK8:AL8)</f>
        <v>1381310.93</v>
      </c>
      <c r="AN8" s="197">
        <f aca="true" t="shared" si="6" ref="AN8:AN19">SUM(AM8,AJ8)</f>
        <v>44396902.669999994</v>
      </c>
      <c r="AO8" s="200" t="s">
        <v>122</v>
      </c>
    </row>
    <row r="9" spans="1:41" ht="30">
      <c r="A9" s="182" t="s">
        <v>55</v>
      </c>
      <c r="B9" s="183" t="s">
        <v>51</v>
      </c>
      <c r="C9" s="182" t="s">
        <v>48</v>
      </c>
      <c r="D9" s="183">
        <v>189</v>
      </c>
      <c r="E9" s="183">
        <v>169.69</v>
      </c>
      <c r="F9" s="183">
        <v>134</v>
      </c>
      <c r="G9" s="183">
        <v>128.62</v>
      </c>
      <c r="H9" s="183">
        <v>260</v>
      </c>
      <c r="I9" s="183">
        <v>252.08</v>
      </c>
      <c r="J9" s="183">
        <v>60</v>
      </c>
      <c r="K9" s="183">
        <v>59.33</v>
      </c>
      <c r="L9" s="183">
        <v>6</v>
      </c>
      <c r="M9" s="187">
        <v>6</v>
      </c>
      <c r="N9" s="183">
        <v>0</v>
      </c>
      <c r="O9" s="187">
        <v>0</v>
      </c>
      <c r="P9" s="188">
        <f t="shared" si="0"/>
        <v>649</v>
      </c>
      <c r="Q9" s="189">
        <f t="shared" si="0"/>
        <v>615.72</v>
      </c>
      <c r="R9" s="183">
        <v>9</v>
      </c>
      <c r="S9" s="187">
        <v>8.2</v>
      </c>
      <c r="T9" s="183">
        <v>0</v>
      </c>
      <c r="U9" s="187">
        <v>0</v>
      </c>
      <c r="V9" s="183">
        <v>13</v>
      </c>
      <c r="W9" s="187">
        <v>11.4</v>
      </c>
      <c r="X9" s="183">
        <v>0</v>
      </c>
      <c r="Y9" s="187">
        <v>0</v>
      </c>
      <c r="Z9" s="190">
        <f t="shared" si="1"/>
        <v>22</v>
      </c>
      <c r="AA9" s="199">
        <f t="shared" si="2"/>
        <v>19.6</v>
      </c>
      <c r="AB9" s="191">
        <f t="shared" si="3"/>
        <v>671</v>
      </c>
      <c r="AC9" s="192">
        <f t="shared" si="3"/>
        <v>635.32</v>
      </c>
      <c r="AD9" s="193">
        <v>1509713.09</v>
      </c>
      <c r="AE9" s="194">
        <v>7410.09</v>
      </c>
      <c r="AF9" s="194"/>
      <c r="AG9" s="194">
        <v>12997.09</v>
      </c>
      <c r="AH9" s="194">
        <v>266447.66</v>
      </c>
      <c r="AI9" s="194">
        <v>125675.04</v>
      </c>
      <c r="AJ9" s="195">
        <f t="shared" si="4"/>
        <v>1922242.9700000002</v>
      </c>
      <c r="AK9" s="196">
        <v>82051.98</v>
      </c>
      <c r="AL9" s="196" t="s">
        <v>146</v>
      </c>
      <c r="AM9" s="197">
        <f t="shared" si="5"/>
        <v>82051.98</v>
      </c>
      <c r="AN9" s="197">
        <f t="shared" si="6"/>
        <v>2004294.9500000002</v>
      </c>
      <c r="AO9" s="198"/>
    </row>
    <row r="10" spans="1:41" ht="75">
      <c r="A10" s="275" t="s">
        <v>56</v>
      </c>
      <c r="B10" s="183" t="s">
        <v>51</v>
      </c>
      <c r="C10" s="182" t="s">
        <v>48</v>
      </c>
      <c r="D10" s="156">
        <v>33628</v>
      </c>
      <c r="E10" s="158">
        <v>32074</v>
      </c>
      <c r="F10" s="156">
        <v>6101</v>
      </c>
      <c r="G10" s="158">
        <v>5839.02</v>
      </c>
      <c r="H10" s="156">
        <v>3608</v>
      </c>
      <c r="I10" s="158">
        <v>3380.4</v>
      </c>
      <c r="J10" s="156">
        <v>610</v>
      </c>
      <c r="K10" s="158">
        <v>595.46</v>
      </c>
      <c r="L10" s="156">
        <v>38</v>
      </c>
      <c r="M10" s="158">
        <v>37.88</v>
      </c>
      <c r="N10" s="183">
        <v>0</v>
      </c>
      <c r="O10" s="185">
        <v>0</v>
      </c>
      <c r="P10" s="188">
        <f t="shared" si="0"/>
        <v>43985</v>
      </c>
      <c r="Q10" s="189">
        <f t="shared" si="0"/>
        <v>41926.76</v>
      </c>
      <c r="R10" s="156" t="s">
        <v>146</v>
      </c>
      <c r="S10" s="156">
        <v>363.39</v>
      </c>
      <c r="T10" s="156">
        <v>0</v>
      </c>
      <c r="U10" s="158">
        <v>0</v>
      </c>
      <c r="V10" s="156" t="s">
        <v>146</v>
      </c>
      <c r="W10" s="156">
        <v>17.25</v>
      </c>
      <c r="X10" s="156" t="s">
        <v>146</v>
      </c>
      <c r="Y10" s="156">
        <v>4</v>
      </c>
      <c r="Z10" s="190">
        <f t="shared" si="1"/>
        <v>0</v>
      </c>
      <c r="AA10" s="190">
        <f t="shared" si="2"/>
        <v>384.64</v>
      </c>
      <c r="AB10" s="191">
        <f t="shared" si="3"/>
        <v>43985</v>
      </c>
      <c r="AC10" s="191">
        <f t="shared" si="3"/>
        <v>42311.4</v>
      </c>
      <c r="AD10" s="193">
        <v>96195805.61000003</v>
      </c>
      <c r="AE10" s="194">
        <v>0</v>
      </c>
      <c r="AF10" s="194">
        <v>0</v>
      </c>
      <c r="AG10" s="194">
        <v>4202968.94</v>
      </c>
      <c r="AH10" s="194">
        <v>18276404.700000018</v>
      </c>
      <c r="AI10" s="194">
        <v>7564405.609999999</v>
      </c>
      <c r="AJ10" s="195">
        <f t="shared" si="4"/>
        <v>126239584.86000004</v>
      </c>
      <c r="AK10" s="196">
        <v>1129253.63</v>
      </c>
      <c r="AL10" s="196">
        <v>0</v>
      </c>
      <c r="AM10" s="197">
        <f t="shared" si="5"/>
        <v>1129253.63</v>
      </c>
      <c r="AN10" s="197">
        <f t="shared" si="6"/>
        <v>127368838.49000004</v>
      </c>
      <c r="AO10" s="200" t="s">
        <v>122</v>
      </c>
    </row>
    <row r="11" spans="1:41" ht="132">
      <c r="A11" s="182" t="s">
        <v>58</v>
      </c>
      <c r="B11" s="183" t="s">
        <v>51</v>
      </c>
      <c r="C11" s="182" t="s">
        <v>48</v>
      </c>
      <c r="D11" s="186">
        <v>277</v>
      </c>
      <c r="E11" s="185">
        <v>262.2</v>
      </c>
      <c r="F11" s="186">
        <v>137</v>
      </c>
      <c r="G11" s="185">
        <v>129.83</v>
      </c>
      <c r="H11" s="186">
        <v>63</v>
      </c>
      <c r="I11" s="185">
        <v>61.09</v>
      </c>
      <c r="J11" s="186">
        <v>9</v>
      </c>
      <c r="K11" s="185">
        <v>8.82</v>
      </c>
      <c r="L11" s="186">
        <v>2</v>
      </c>
      <c r="M11" s="187">
        <v>1.78</v>
      </c>
      <c r="N11" s="183">
        <v>0</v>
      </c>
      <c r="O11" s="185">
        <v>0</v>
      </c>
      <c r="P11" s="188">
        <f t="shared" si="0"/>
        <v>488</v>
      </c>
      <c r="Q11" s="189">
        <f t="shared" si="0"/>
        <v>463.71999999999997</v>
      </c>
      <c r="R11" s="183">
        <v>218</v>
      </c>
      <c r="S11" s="183">
        <v>159.97</v>
      </c>
      <c r="T11" s="183">
        <v>0</v>
      </c>
      <c r="U11" s="187">
        <v>0</v>
      </c>
      <c r="V11" s="183">
        <v>0</v>
      </c>
      <c r="W11" s="187">
        <v>0</v>
      </c>
      <c r="X11" s="183">
        <v>0</v>
      </c>
      <c r="Y11" s="187">
        <v>0</v>
      </c>
      <c r="Z11" s="190">
        <f t="shared" si="1"/>
        <v>218</v>
      </c>
      <c r="AA11" s="190">
        <f t="shared" si="2"/>
        <v>159.97</v>
      </c>
      <c r="AB11" s="191">
        <f t="shared" si="3"/>
        <v>706</v>
      </c>
      <c r="AC11" s="192">
        <f t="shared" si="3"/>
        <v>623.6899999999999</v>
      </c>
      <c r="AD11" s="193">
        <v>787357.26</v>
      </c>
      <c r="AE11" s="194">
        <v>15248.27</v>
      </c>
      <c r="AF11" s="194">
        <v>4300</v>
      </c>
      <c r="AG11" s="194">
        <v>56592.86</v>
      </c>
      <c r="AH11" s="194">
        <v>127370.66</v>
      </c>
      <c r="AI11" s="194">
        <v>54650.25</v>
      </c>
      <c r="AJ11" s="195">
        <f t="shared" si="4"/>
        <v>1045519.3</v>
      </c>
      <c r="AK11" s="196">
        <v>462581.11</v>
      </c>
      <c r="AL11" s="196">
        <v>0</v>
      </c>
      <c r="AM11" s="197">
        <f t="shared" si="5"/>
        <v>462581.11</v>
      </c>
      <c r="AN11" s="197">
        <f t="shared" si="6"/>
        <v>1508100.4100000001</v>
      </c>
      <c r="AO11" s="200" t="s">
        <v>127</v>
      </c>
    </row>
    <row r="12" spans="1:41" ht="264">
      <c r="A12" s="182" t="s">
        <v>62</v>
      </c>
      <c r="B12" s="183" t="s">
        <v>63</v>
      </c>
      <c r="C12" s="182" t="s">
        <v>48</v>
      </c>
      <c r="D12" s="183">
        <v>0</v>
      </c>
      <c r="E12" s="185">
        <v>0</v>
      </c>
      <c r="F12" s="183">
        <v>0</v>
      </c>
      <c r="G12" s="187">
        <v>0</v>
      </c>
      <c r="H12" s="183">
        <v>0</v>
      </c>
      <c r="I12" s="187">
        <v>0</v>
      </c>
      <c r="J12" s="183">
        <v>0</v>
      </c>
      <c r="K12" s="187">
        <v>0</v>
      </c>
      <c r="L12" s="183">
        <v>0</v>
      </c>
      <c r="M12" s="187">
        <v>0</v>
      </c>
      <c r="N12" s="183">
        <v>76</v>
      </c>
      <c r="O12" s="183">
        <v>70.04</v>
      </c>
      <c r="P12" s="188">
        <f t="shared" si="0"/>
        <v>76</v>
      </c>
      <c r="Q12" s="189">
        <f t="shared" si="0"/>
        <v>70.04</v>
      </c>
      <c r="R12" s="183">
        <v>4</v>
      </c>
      <c r="S12" s="187">
        <v>4</v>
      </c>
      <c r="T12" s="183">
        <v>3</v>
      </c>
      <c r="U12" s="187">
        <v>3</v>
      </c>
      <c r="V12" s="183">
        <v>0</v>
      </c>
      <c r="W12" s="187">
        <v>0</v>
      </c>
      <c r="X12" s="183">
        <v>0</v>
      </c>
      <c r="Y12" s="187">
        <v>0</v>
      </c>
      <c r="Z12" s="190">
        <f t="shared" si="1"/>
        <v>7</v>
      </c>
      <c r="AA12" s="199">
        <f t="shared" si="2"/>
        <v>7</v>
      </c>
      <c r="AB12" s="191">
        <f t="shared" si="3"/>
        <v>83</v>
      </c>
      <c r="AC12" s="192">
        <f t="shared" si="3"/>
        <v>77.04</v>
      </c>
      <c r="AD12" s="193">
        <v>198738</v>
      </c>
      <c r="AE12" s="194">
        <v>57</v>
      </c>
      <c r="AF12" s="194" t="s">
        <v>146</v>
      </c>
      <c r="AG12" s="194" t="s">
        <v>146</v>
      </c>
      <c r="AH12" s="194">
        <v>35452</v>
      </c>
      <c r="AI12" s="194">
        <v>16610</v>
      </c>
      <c r="AJ12" s="195">
        <f t="shared" si="4"/>
        <v>250857</v>
      </c>
      <c r="AK12" s="196">
        <v>23442</v>
      </c>
      <c r="AL12" s="196" t="s">
        <v>146</v>
      </c>
      <c r="AM12" s="197">
        <f t="shared" si="5"/>
        <v>23442</v>
      </c>
      <c r="AN12" s="197">
        <f t="shared" si="6"/>
        <v>274299</v>
      </c>
      <c r="AO12" s="200" t="s">
        <v>64</v>
      </c>
    </row>
    <row r="13" spans="1:41" ht="75">
      <c r="A13" s="182" t="s">
        <v>66</v>
      </c>
      <c r="B13" s="183" t="s">
        <v>63</v>
      </c>
      <c r="C13" s="182" t="s">
        <v>48</v>
      </c>
      <c r="D13" s="183">
        <v>0</v>
      </c>
      <c r="E13" s="185">
        <v>0</v>
      </c>
      <c r="F13" s="183">
        <v>0</v>
      </c>
      <c r="G13" s="187">
        <v>0</v>
      </c>
      <c r="H13" s="183">
        <v>0</v>
      </c>
      <c r="I13" s="187">
        <v>0</v>
      </c>
      <c r="J13" s="183">
        <v>0</v>
      </c>
      <c r="K13" s="187">
        <v>0</v>
      </c>
      <c r="L13" s="183">
        <v>0</v>
      </c>
      <c r="M13" s="187">
        <v>0</v>
      </c>
      <c r="N13" s="183">
        <v>377</v>
      </c>
      <c r="O13" s="183">
        <v>354.29</v>
      </c>
      <c r="P13" s="188">
        <f t="shared" si="0"/>
        <v>377</v>
      </c>
      <c r="Q13" s="189">
        <f t="shared" si="0"/>
        <v>354.29</v>
      </c>
      <c r="R13" s="156">
        <v>23</v>
      </c>
      <c r="S13" s="160">
        <v>22.4</v>
      </c>
      <c r="T13" s="156">
        <v>0</v>
      </c>
      <c r="U13" s="160">
        <v>0</v>
      </c>
      <c r="V13" s="156">
        <v>0</v>
      </c>
      <c r="W13" s="160">
        <v>0</v>
      </c>
      <c r="X13" s="156">
        <v>0</v>
      </c>
      <c r="Y13" s="160">
        <v>0</v>
      </c>
      <c r="Z13" s="190">
        <f t="shared" si="1"/>
        <v>23</v>
      </c>
      <c r="AA13" s="199">
        <f t="shared" si="2"/>
        <v>22.4</v>
      </c>
      <c r="AB13" s="191">
        <f t="shared" si="3"/>
        <v>400</v>
      </c>
      <c r="AC13" s="192">
        <f t="shared" si="3"/>
        <v>376.69</v>
      </c>
      <c r="AD13" s="193">
        <v>773303.6</v>
      </c>
      <c r="AE13" s="194">
        <v>1300.99</v>
      </c>
      <c r="AF13" s="194">
        <v>0</v>
      </c>
      <c r="AG13" s="194">
        <v>4051</v>
      </c>
      <c r="AH13" s="194">
        <v>140734.01</v>
      </c>
      <c r="AI13" s="194">
        <v>54864.58</v>
      </c>
      <c r="AJ13" s="195">
        <f t="shared" si="4"/>
        <v>974254.1799999999</v>
      </c>
      <c r="AK13" s="196">
        <v>28054</v>
      </c>
      <c r="AL13" s="196" t="s">
        <v>146</v>
      </c>
      <c r="AM13" s="197">
        <f t="shared" si="5"/>
        <v>28054</v>
      </c>
      <c r="AN13" s="197">
        <f t="shared" si="6"/>
        <v>1002308.1799999999</v>
      </c>
      <c r="AO13" s="198"/>
    </row>
    <row r="14" spans="1:41" ht="75">
      <c r="A14" s="182" t="s">
        <v>67</v>
      </c>
      <c r="B14" s="183" t="s">
        <v>63</v>
      </c>
      <c r="C14" s="182" t="s">
        <v>48</v>
      </c>
      <c r="D14" s="183">
        <v>11</v>
      </c>
      <c r="E14" s="185">
        <v>11</v>
      </c>
      <c r="F14" s="183">
        <v>17</v>
      </c>
      <c r="G14" s="187">
        <v>16.5</v>
      </c>
      <c r="H14" s="183">
        <v>25</v>
      </c>
      <c r="I14" s="183">
        <v>24.69</v>
      </c>
      <c r="J14" s="183">
        <v>11</v>
      </c>
      <c r="K14" s="187">
        <v>10.4</v>
      </c>
      <c r="L14" s="183">
        <v>3</v>
      </c>
      <c r="M14" s="187">
        <v>3</v>
      </c>
      <c r="N14" s="183">
        <v>1</v>
      </c>
      <c r="O14" s="187">
        <v>0.4</v>
      </c>
      <c r="P14" s="188">
        <f t="shared" si="0"/>
        <v>68</v>
      </c>
      <c r="Q14" s="189">
        <f t="shared" si="0"/>
        <v>65.99000000000001</v>
      </c>
      <c r="R14" s="183">
        <v>7</v>
      </c>
      <c r="S14" s="187">
        <v>7</v>
      </c>
      <c r="T14" s="183">
        <v>0</v>
      </c>
      <c r="U14" s="187">
        <v>0</v>
      </c>
      <c r="V14" s="183">
        <v>0</v>
      </c>
      <c r="W14" s="187">
        <v>0</v>
      </c>
      <c r="X14" s="183">
        <v>0</v>
      </c>
      <c r="Y14" s="187">
        <v>0</v>
      </c>
      <c r="Z14" s="190">
        <f t="shared" si="1"/>
        <v>7</v>
      </c>
      <c r="AA14" s="199">
        <f t="shared" si="2"/>
        <v>7</v>
      </c>
      <c r="AB14" s="191">
        <f t="shared" si="3"/>
        <v>75</v>
      </c>
      <c r="AC14" s="192">
        <f t="shared" si="3"/>
        <v>72.99000000000001</v>
      </c>
      <c r="AD14" s="193">
        <v>176929.61</v>
      </c>
      <c r="AE14" s="194">
        <v>3137.89</v>
      </c>
      <c r="AF14" s="194" t="s">
        <v>146</v>
      </c>
      <c r="AG14" s="194" t="s">
        <v>146</v>
      </c>
      <c r="AH14" s="194">
        <v>34389.01</v>
      </c>
      <c r="AI14" s="194">
        <v>15156.78</v>
      </c>
      <c r="AJ14" s="195">
        <f t="shared" si="4"/>
        <v>229613.29</v>
      </c>
      <c r="AK14" s="196">
        <v>19551.53</v>
      </c>
      <c r="AL14" s="196" t="s">
        <v>146</v>
      </c>
      <c r="AM14" s="197">
        <f t="shared" si="5"/>
        <v>19551.53</v>
      </c>
      <c r="AN14" s="197">
        <f t="shared" si="6"/>
        <v>249164.82</v>
      </c>
      <c r="AO14" s="198"/>
    </row>
    <row r="15" spans="1:41" ht="156">
      <c r="A15" s="182" t="s">
        <v>68</v>
      </c>
      <c r="B15" s="183" t="s">
        <v>63</v>
      </c>
      <c r="C15" s="182" t="s">
        <v>48</v>
      </c>
      <c r="D15" s="183">
        <v>0</v>
      </c>
      <c r="E15" s="185">
        <v>0</v>
      </c>
      <c r="F15" s="183">
        <v>0</v>
      </c>
      <c r="G15" s="187">
        <v>0</v>
      </c>
      <c r="H15" s="183">
        <v>0</v>
      </c>
      <c r="I15" s="187">
        <v>0</v>
      </c>
      <c r="J15" s="183">
        <v>0</v>
      </c>
      <c r="K15" s="187">
        <v>0</v>
      </c>
      <c r="L15" s="183">
        <v>0</v>
      </c>
      <c r="M15" s="187">
        <v>0</v>
      </c>
      <c r="N15" s="183">
        <v>29</v>
      </c>
      <c r="O15" s="187">
        <v>28.8</v>
      </c>
      <c r="P15" s="188">
        <f t="shared" si="0"/>
        <v>29</v>
      </c>
      <c r="Q15" s="189">
        <f t="shared" si="0"/>
        <v>28.8</v>
      </c>
      <c r="R15" s="183">
        <v>0</v>
      </c>
      <c r="S15" s="187">
        <v>0</v>
      </c>
      <c r="T15" s="183">
        <v>0</v>
      </c>
      <c r="U15" s="187">
        <v>0</v>
      </c>
      <c r="V15" s="183">
        <v>0</v>
      </c>
      <c r="W15" s="187">
        <v>0</v>
      </c>
      <c r="X15" s="183">
        <v>0</v>
      </c>
      <c r="Y15" s="187">
        <v>0</v>
      </c>
      <c r="Z15" s="190">
        <f t="shared" si="1"/>
        <v>0</v>
      </c>
      <c r="AA15" s="199">
        <f t="shared" si="2"/>
        <v>0</v>
      </c>
      <c r="AB15" s="191">
        <f t="shared" si="3"/>
        <v>29</v>
      </c>
      <c r="AC15" s="192">
        <f t="shared" si="3"/>
        <v>28.8</v>
      </c>
      <c r="AD15" s="193">
        <v>137774.85</v>
      </c>
      <c r="AE15" s="194" t="s">
        <v>146</v>
      </c>
      <c r="AF15" s="194" t="s">
        <v>146</v>
      </c>
      <c r="AG15" s="194" t="s">
        <v>146</v>
      </c>
      <c r="AH15" s="194">
        <v>30872.1</v>
      </c>
      <c r="AI15" s="194">
        <v>16515.64</v>
      </c>
      <c r="AJ15" s="195">
        <f t="shared" si="4"/>
        <v>185162.59000000003</v>
      </c>
      <c r="AK15" s="196" t="s">
        <v>146</v>
      </c>
      <c r="AL15" s="196" t="s">
        <v>146</v>
      </c>
      <c r="AM15" s="197">
        <f t="shared" si="5"/>
        <v>0</v>
      </c>
      <c r="AN15" s="197">
        <f t="shared" si="6"/>
        <v>185162.59000000003</v>
      </c>
      <c r="AO15" s="200" t="s">
        <v>69</v>
      </c>
    </row>
    <row r="16" spans="1:41" ht="75">
      <c r="A16" s="182" t="s">
        <v>70</v>
      </c>
      <c r="B16" s="183" t="s">
        <v>63</v>
      </c>
      <c r="C16" s="182" t="s">
        <v>48</v>
      </c>
      <c r="D16" s="183">
        <v>784</v>
      </c>
      <c r="E16" s="183">
        <v>739.11</v>
      </c>
      <c r="F16" s="183">
        <v>274</v>
      </c>
      <c r="G16" s="183">
        <v>264.21</v>
      </c>
      <c r="H16" s="183">
        <v>395</v>
      </c>
      <c r="I16" s="183">
        <v>377.45</v>
      </c>
      <c r="J16" s="183">
        <v>116</v>
      </c>
      <c r="K16" s="183">
        <v>114.27</v>
      </c>
      <c r="L16" s="183">
        <v>19</v>
      </c>
      <c r="M16" s="187">
        <v>13.2</v>
      </c>
      <c r="N16" s="183">
        <v>0</v>
      </c>
      <c r="O16" s="187">
        <v>0</v>
      </c>
      <c r="P16" s="188">
        <f t="shared" si="0"/>
        <v>1588</v>
      </c>
      <c r="Q16" s="189">
        <f t="shared" si="0"/>
        <v>1508.24</v>
      </c>
      <c r="R16" s="183">
        <v>27</v>
      </c>
      <c r="S16" s="187">
        <v>24.83</v>
      </c>
      <c r="T16" s="183">
        <v>0</v>
      </c>
      <c r="U16" s="187">
        <v>0</v>
      </c>
      <c r="V16" s="183">
        <v>80</v>
      </c>
      <c r="W16" s="187">
        <v>79.08</v>
      </c>
      <c r="X16" s="183">
        <v>0</v>
      </c>
      <c r="Y16" s="187">
        <v>0</v>
      </c>
      <c r="Z16" s="190">
        <f t="shared" si="1"/>
        <v>107</v>
      </c>
      <c r="AA16" s="199">
        <f t="shared" si="2"/>
        <v>103.91</v>
      </c>
      <c r="AB16" s="191">
        <f t="shared" si="3"/>
        <v>1695</v>
      </c>
      <c r="AC16" s="192">
        <f t="shared" si="3"/>
        <v>1612.15</v>
      </c>
      <c r="AD16" s="193">
        <v>3676432.66</v>
      </c>
      <c r="AE16" s="194" t="s">
        <v>146</v>
      </c>
      <c r="AF16" s="194" t="s">
        <v>146</v>
      </c>
      <c r="AG16" s="194">
        <v>93680.06</v>
      </c>
      <c r="AH16" s="194" t="s">
        <v>146</v>
      </c>
      <c r="AI16" s="194">
        <v>279666.5</v>
      </c>
      <c r="AJ16" s="195">
        <f t="shared" si="4"/>
        <v>4049779.22</v>
      </c>
      <c r="AK16" s="196">
        <v>993655.61</v>
      </c>
      <c r="AL16" s="196" t="s">
        <v>146</v>
      </c>
      <c r="AM16" s="197">
        <f t="shared" si="5"/>
        <v>993655.61</v>
      </c>
      <c r="AN16" s="197">
        <f t="shared" si="6"/>
        <v>5043434.83</v>
      </c>
      <c r="AO16" s="198"/>
    </row>
    <row r="17" spans="1:41" ht="75">
      <c r="A17" s="182" t="s">
        <v>71</v>
      </c>
      <c r="B17" s="183" t="s">
        <v>63</v>
      </c>
      <c r="C17" s="182" t="s">
        <v>48</v>
      </c>
      <c r="D17" s="183">
        <v>20</v>
      </c>
      <c r="E17" s="183">
        <v>18.79</v>
      </c>
      <c r="F17" s="183">
        <v>45</v>
      </c>
      <c r="G17" s="183">
        <v>44.2</v>
      </c>
      <c r="H17" s="183">
        <v>15</v>
      </c>
      <c r="I17" s="183">
        <v>14.06</v>
      </c>
      <c r="J17" s="183">
        <v>5</v>
      </c>
      <c r="K17" s="187">
        <v>5</v>
      </c>
      <c r="L17" s="183">
        <v>1</v>
      </c>
      <c r="M17" s="187">
        <v>1</v>
      </c>
      <c r="N17" s="183">
        <v>0</v>
      </c>
      <c r="O17" s="187">
        <v>0</v>
      </c>
      <c r="P17" s="188">
        <f t="shared" si="0"/>
        <v>86</v>
      </c>
      <c r="Q17" s="189">
        <f t="shared" si="0"/>
        <v>83.05</v>
      </c>
      <c r="R17" s="183">
        <v>7</v>
      </c>
      <c r="S17" s="187">
        <v>7</v>
      </c>
      <c r="T17" s="183">
        <v>0</v>
      </c>
      <c r="U17" s="187">
        <v>0</v>
      </c>
      <c r="V17" s="183">
        <v>0</v>
      </c>
      <c r="W17" s="187">
        <v>0</v>
      </c>
      <c r="X17" s="183">
        <v>0</v>
      </c>
      <c r="Y17" s="187">
        <v>0</v>
      </c>
      <c r="Z17" s="190">
        <f t="shared" si="1"/>
        <v>7</v>
      </c>
      <c r="AA17" s="199">
        <f t="shared" si="2"/>
        <v>7</v>
      </c>
      <c r="AB17" s="191">
        <f t="shared" si="3"/>
        <v>93</v>
      </c>
      <c r="AC17" s="192">
        <f t="shared" si="3"/>
        <v>90.05</v>
      </c>
      <c r="AD17" s="193">
        <v>193041.7</v>
      </c>
      <c r="AE17" s="194">
        <v>21985</v>
      </c>
      <c r="AF17" s="194" t="s">
        <v>146</v>
      </c>
      <c r="AG17" s="194">
        <v>4408.8</v>
      </c>
      <c r="AH17" s="194">
        <v>33556.4</v>
      </c>
      <c r="AI17" s="194">
        <v>18133.8</v>
      </c>
      <c r="AJ17" s="195">
        <f t="shared" si="4"/>
        <v>271125.7</v>
      </c>
      <c r="AK17" s="196">
        <v>20505</v>
      </c>
      <c r="AL17" s="196" t="s">
        <v>146</v>
      </c>
      <c r="AM17" s="197">
        <f t="shared" si="5"/>
        <v>20505</v>
      </c>
      <c r="AN17" s="197">
        <f t="shared" si="6"/>
        <v>291630.7</v>
      </c>
      <c r="AO17" s="198"/>
    </row>
    <row r="18" spans="1:41" ht="409.5">
      <c r="A18" s="156" t="s">
        <v>72</v>
      </c>
      <c r="B18" s="156" t="s">
        <v>63</v>
      </c>
      <c r="C18" s="23" t="s">
        <v>48</v>
      </c>
      <c r="D18" s="156">
        <v>0</v>
      </c>
      <c r="E18" s="158">
        <v>0</v>
      </c>
      <c r="F18" s="156">
        <v>0</v>
      </c>
      <c r="G18" s="158">
        <v>0</v>
      </c>
      <c r="H18" s="156">
        <v>0</v>
      </c>
      <c r="I18" s="158">
        <v>0</v>
      </c>
      <c r="J18" s="156">
        <v>0</v>
      </c>
      <c r="K18" s="158">
        <v>0</v>
      </c>
      <c r="L18" s="156">
        <v>0</v>
      </c>
      <c r="M18" s="158">
        <v>0</v>
      </c>
      <c r="N18" s="156">
        <v>18564</v>
      </c>
      <c r="O18" s="158">
        <v>16710</v>
      </c>
      <c r="P18" s="188">
        <f t="shared" si="0"/>
        <v>18564</v>
      </c>
      <c r="Q18" s="189">
        <f t="shared" si="0"/>
        <v>16710</v>
      </c>
      <c r="R18" s="156">
        <v>1508</v>
      </c>
      <c r="S18" s="158">
        <v>1508</v>
      </c>
      <c r="T18" s="156">
        <v>7</v>
      </c>
      <c r="U18" s="158">
        <v>7</v>
      </c>
      <c r="V18" s="164" t="s">
        <v>146</v>
      </c>
      <c r="W18" s="164" t="s">
        <v>146</v>
      </c>
      <c r="X18" s="164" t="s">
        <v>146</v>
      </c>
      <c r="Y18" s="164" t="s">
        <v>146</v>
      </c>
      <c r="Z18" s="190">
        <f t="shared" si="1"/>
        <v>1515</v>
      </c>
      <c r="AA18" s="190">
        <f t="shared" si="2"/>
        <v>1515</v>
      </c>
      <c r="AB18" s="191">
        <f t="shared" si="3"/>
        <v>20079</v>
      </c>
      <c r="AC18" s="191">
        <f t="shared" si="3"/>
        <v>18225</v>
      </c>
      <c r="AD18" s="164" t="s">
        <v>146</v>
      </c>
      <c r="AE18" s="164" t="s">
        <v>146</v>
      </c>
      <c r="AF18" s="164" t="s">
        <v>146</v>
      </c>
      <c r="AG18" s="164" t="s">
        <v>146</v>
      </c>
      <c r="AH18" s="164" t="s">
        <v>146</v>
      </c>
      <c r="AI18" s="164" t="s">
        <v>146</v>
      </c>
      <c r="AJ18" s="195">
        <f t="shared" si="4"/>
        <v>0</v>
      </c>
      <c r="AK18" s="164" t="s">
        <v>146</v>
      </c>
      <c r="AL18" s="164" t="s">
        <v>146</v>
      </c>
      <c r="AM18" s="197">
        <f t="shared" si="5"/>
        <v>0</v>
      </c>
      <c r="AN18" s="197">
        <f t="shared" si="6"/>
        <v>0</v>
      </c>
      <c r="AO18" s="204" t="s">
        <v>150</v>
      </c>
    </row>
    <row r="19" spans="1:41" ht="90">
      <c r="A19" s="183" t="s">
        <v>124</v>
      </c>
      <c r="B19" s="183" t="s">
        <v>63</v>
      </c>
      <c r="C19" s="205" t="s">
        <v>48</v>
      </c>
      <c r="D19" s="183">
        <v>14</v>
      </c>
      <c r="E19" s="183">
        <v>12.85</v>
      </c>
      <c r="F19" s="183">
        <v>42</v>
      </c>
      <c r="G19" s="183">
        <v>40.93</v>
      </c>
      <c r="H19" s="183">
        <v>103</v>
      </c>
      <c r="I19" s="183">
        <v>100.61</v>
      </c>
      <c r="J19" s="183">
        <v>39</v>
      </c>
      <c r="K19" s="185">
        <v>38</v>
      </c>
      <c r="L19" s="183">
        <v>4</v>
      </c>
      <c r="M19" s="185">
        <v>3.6</v>
      </c>
      <c r="N19" s="183">
        <v>9</v>
      </c>
      <c r="O19" s="185">
        <v>9</v>
      </c>
      <c r="P19" s="188">
        <f t="shared" si="0"/>
        <v>211</v>
      </c>
      <c r="Q19" s="189">
        <f t="shared" si="0"/>
        <v>204.98999999999998</v>
      </c>
      <c r="R19" s="183">
        <v>4</v>
      </c>
      <c r="S19" s="187">
        <v>4</v>
      </c>
      <c r="T19" s="183">
        <v>0</v>
      </c>
      <c r="U19" s="187">
        <v>0</v>
      </c>
      <c r="V19" s="183">
        <v>6</v>
      </c>
      <c r="W19" s="187">
        <v>5.8</v>
      </c>
      <c r="X19" s="183">
        <v>0</v>
      </c>
      <c r="Y19" s="187">
        <v>0</v>
      </c>
      <c r="Z19" s="190">
        <f t="shared" si="1"/>
        <v>10</v>
      </c>
      <c r="AA19" s="199">
        <f t="shared" si="2"/>
        <v>9.8</v>
      </c>
      <c r="AB19" s="191">
        <f t="shared" si="3"/>
        <v>221</v>
      </c>
      <c r="AC19" s="192">
        <f t="shared" si="3"/>
        <v>214.79</v>
      </c>
      <c r="AD19" s="193">
        <v>615415.88</v>
      </c>
      <c r="AE19" s="194">
        <v>53492.07</v>
      </c>
      <c r="AF19" s="164" t="s">
        <v>146</v>
      </c>
      <c r="AG19" s="194">
        <v>6127.52</v>
      </c>
      <c r="AH19" s="194">
        <v>127320.54</v>
      </c>
      <c r="AI19" s="194">
        <v>59379.5</v>
      </c>
      <c r="AJ19" s="195">
        <f t="shared" si="4"/>
        <v>861735.51</v>
      </c>
      <c r="AK19" s="196">
        <v>84991.89</v>
      </c>
      <c r="AL19" s="164" t="s">
        <v>146</v>
      </c>
      <c r="AM19" s="197">
        <f t="shared" si="5"/>
        <v>84991.89</v>
      </c>
      <c r="AN19" s="197">
        <f t="shared" si="6"/>
        <v>946727.4</v>
      </c>
      <c r="AO19" s="198"/>
    </row>
  </sheetData>
  <mergeCells count="32">
    <mergeCell ref="AJ5:AJ6"/>
    <mergeCell ref="AK5:AK6"/>
    <mergeCell ref="AL5:AL6"/>
    <mergeCell ref="AM5:AM6"/>
    <mergeCell ref="AF5:AF6"/>
    <mergeCell ref="AG5:AG6"/>
    <mergeCell ref="AH5:AH6"/>
    <mergeCell ref="AI5:AI6"/>
    <mergeCell ref="AN4:AN6"/>
    <mergeCell ref="AO4:AO6"/>
    <mergeCell ref="D5:E5"/>
    <mergeCell ref="F5:G5"/>
    <mergeCell ref="H5:I5"/>
    <mergeCell ref="J5:K5"/>
    <mergeCell ref="L5:M5"/>
    <mergeCell ref="N5:O5"/>
    <mergeCell ref="P5:Q5"/>
    <mergeCell ref="R5:S5"/>
    <mergeCell ref="R4:AA4"/>
    <mergeCell ref="AB4:AC5"/>
    <mergeCell ref="AD4:AJ4"/>
    <mergeCell ref="AK4:AM4"/>
    <mergeCell ref="T5:U5"/>
    <mergeCell ref="V5:W5"/>
    <mergeCell ref="X5:Y5"/>
    <mergeCell ref="Z5:AA5"/>
    <mergeCell ref="AD5:AD6"/>
    <mergeCell ref="AE5:AE6"/>
    <mergeCell ref="A4:A6"/>
    <mergeCell ref="B4:B6"/>
    <mergeCell ref="C4:C6"/>
    <mergeCell ref="D4:Q4"/>
  </mergeCells>
  <conditionalFormatting sqref="B7:B19">
    <cfRule type="expression" priority="1" dxfId="22" stopIfTrue="1">
      <formula>AND(NOT(ISBLANK($A7)),ISBLANK(B7))</formula>
    </cfRule>
  </conditionalFormatting>
  <conditionalFormatting sqref="C7:C19">
    <cfRule type="expression" priority="2" dxfId="22" stopIfTrue="1">
      <formula>AND(NOT(ISBLANK(A7)),ISBLANK(C7))</formula>
    </cfRule>
  </conditionalFormatting>
  <conditionalFormatting sqref="N7:N19 R7:R19 F7:F19 H7:H19 J7:J19 L7:L19 D7:D19 X19 T7:T19 X7:X17 V7:V17 V19">
    <cfRule type="expression" priority="3" dxfId="22" stopIfTrue="1">
      <formula>AND(NOT(ISBLANK(E7)),ISBLANK(D7))</formula>
    </cfRule>
  </conditionalFormatting>
  <conditionalFormatting sqref="O7:O19 S7:S19 G7:G19 I7:I19 K7:K19 M7:M19 E7:E19 Y19 U7:U19 Y7:Y17 W7:W17 W19">
    <cfRule type="expression" priority="4" dxfId="22" stopIfTrue="1">
      <formula>AND(NOT(ISBLANK(D7)),ISBLANK(E7))</formula>
    </cfRule>
  </conditionalFormatting>
  <dataValidations count="8">
    <dataValidation type="decimal" operator="greaterThan" allowBlank="1" showInputMessage="1" showErrorMessage="1" sqref="AD19:AE19 AG19:AI19">
      <formula1>0</formula1>
    </dataValidation>
    <dataValidation type="decimal" operator="greaterThanOrEqual" allowBlank="1" showInputMessage="1" showErrorMessage="1" sqref="AK7:AK18 AF19 AD7:AI18 AL7:AL19 V18:Y18">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19">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19">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19">
      <formula1>INDIRECT("List_of_organisations")</formula1>
    </dataValidation>
    <dataValidation operator="lessThanOrEqual" allowBlank="1" showInputMessage="1" showErrorMessage="1" error="FTE cannot be greater than Headcount&#10;" sqref="AO4 AB6:AC19 R4 A4:C4 P5 AB4 P7:Q19 AO7:AO19"/>
    <dataValidation type="custom" allowBlank="1" showInputMessage="1" showErrorMessage="1" errorTitle="Headcount" error="The value entered in the headcount field must be greater than or equal to the value entered in the FTE field." sqref="N7:N18 R7:R18 D7:D18 H7:H18 J7:J18 L7:L18 F7:F18 X7:X17 T7:T18 V7:V17">
      <formula1>N7&gt;=O7</formula1>
    </dataValidation>
    <dataValidation type="custom" allowBlank="1" showInputMessage="1" showErrorMessage="1" errorTitle="FTE" error="The value entered in the FTE field must be less than or equal to the value entered in the headcount field." sqref="O7:O18 S7:S18 E7:E18 G7:G18 I7:I18 K7:K18 M7:M18 Y7:Y17 U7:U18 W7:W17">
      <formula1>O7&lt;=N7</formula1>
    </dataValidation>
  </dataValidations>
  <printOptions/>
  <pageMargins left="0.75" right="0.75" top="1" bottom="1" header="0.5" footer="0.5"/>
  <pageSetup orientation="portrait" paperSize="9"/>
  <legacyDrawing r:id="rId2"/>
</worksheet>
</file>

<file path=xl/worksheets/sheet12.xml><?xml version="1.0" encoding="utf-8"?>
<worksheet xmlns="http://schemas.openxmlformats.org/spreadsheetml/2006/main" xmlns:r="http://schemas.openxmlformats.org/officeDocument/2006/relationships">
  <dimension ref="A1:AO19"/>
  <sheetViews>
    <sheetView workbookViewId="0" topLeftCell="A1">
      <selection activeCell="A1" sqref="A1:AO19"/>
    </sheetView>
  </sheetViews>
  <sheetFormatPr defaultColWidth="8.88671875" defaultRowHeight="15"/>
  <sheetData>
    <row r="1" ht="15">
      <c r="A1" s="2" t="s">
        <v>92</v>
      </c>
    </row>
    <row r="2" ht="15">
      <c r="A2" s="24" t="s">
        <v>93</v>
      </c>
    </row>
    <row r="3" ht="15">
      <c r="A3" s="24" t="s">
        <v>94</v>
      </c>
    </row>
    <row r="4" spans="1:41" ht="15">
      <c r="A4" s="330" t="s">
        <v>26</v>
      </c>
      <c r="B4" s="297" t="s">
        <v>15</v>
      </c>
      <c r="C4" s="297" t="s">
        <v>14</v>
      </c>
      <c r="D4" s="298" t="s">
        <v>22</v>
      </c>
      <c r="E4" s="299"/>
      <c r="F4" s="299"/>
      <c r="G4" s="299"/>
      <c r="H4" s="299"/>
      <c r="I4" s="299"/>
      <c r="J4" s="299"/>
      <c r="K4" s="299"/>
      <c r="L4" s="299"/>
      <c r="M4" s="299"/>
      <c r="N4" s="299"/>
      <c r="O4" s="299"/>
      <c r="P4" s="299"/>
      <c r="Q4" s="300"/>
      <c r="R4" s="287" t="s">
        <v>29</v>
      </c>
      <c r="S4" s="288"/>
      <c r="T4" s="288"/>
      <c r="U4" s="288"/>
      <c r="V4" s="288"/>
      <c r="W4" s="288"/>
      <c r="X4" s="288"/>
      <c r="Y4" s="288"/>
      <c r="Z4" s="288"/>
      <c r="AA4" s="289"/>
      <c r="AB4" s="290" t="s">
        <v>39</v>
      </c>
      <c r="AC4" s="291"/>
      <c r="AD4" s="280" t="s">
        <v>25</v>
      </c>
      <c r="AE4" s="281"/>
      <c r="AF4" s="281"/>
      <c r="AG4" s="281"/>
      <c r="AH4" s="281"/>
      <c r="AI4" s="281"/>
      <c r="AJ4" s="282"/>
      <c r="AK4" s="283" t="s">
        <v>115</v>
      </c>
      <c r="AL4" s="284"/>
      <c r="AM4" s="284"/>
      <c r="AN4" s="333" t="s">
        <v>38</v>
      </c>
      <c r="AO4" s="330" t="s">
        <v>126</v>
      </c>
    </row>
    <row r="5" spans="1:41" ht="15">
      <c r="A5" s="331"/>
      <c r="B5" s="331"/>
      <c r="C5" s="331"/>
      <c r="D5" s="337" t="s">
        <v>116</v>
      </c>
      <c r="E5" s="338"/>
      <c r="F5" s="337" t="s">
        <v>117</v>
      </c>
      <c r="G5" s="338"/>
      <c r="H5" s="337" t="s">
        <v>118</v>
      </c>
      <c r="I5" s="338"/>
      <c r="J5" s="337" t="s">
        <v>20</v>
      </c>
      <c r="K5" s="338"/>
      <c r="L5" s="337" t="s">
        <v>119</v>
      </c>
      <c r="M5" s="338"/>
      <c r="N5" s="337" t="s">
        <v>19</v>
      </c>
      <c r="O5" s="338"/>
      <c r="P5" s="298" t="s">
        <v>23</v>
      </c>
      <c r="Q5" s="300"/>
      <c r="R5" s="298" t="s">
        <v>27</v>
      </c>
      <c r="S5" s="289"/>
      <c r="T5" s="287" t="s">
        <v>17</v>
      </c>
      <c r="U5" s="289"/>
      <c r="V5" s="287" t="s">
        <v>18</v>
      </c>
      <c r="W5" s="289"/>
      <c r="X5" s="287" t="s">
        <v>28</v>
      </c>
      <c r="Y5" s="289"/>
      <c r="Z5" s="298" t="s">
        <v>24</v>
      </c>
      <c r="AA5" s="300"/>
      <c r="AB5" s="285"/>
      <c r="AC5" s="286"/>
      <c r="AD5" s="330" t="s">
        <v>31</v>
      </c>
      <c r="AE5" s="330" t="s">
        <v>30</v>
      </c>
      <c r="AF5" s="330" t="s">
        <v>32</v>
      </c>
      <c r="AG5" s="330" t="s">
        <v>33</v>
      </c>
      <c r="AH5" s="330" t="s">
        <v>34</v>
      </c>
      <c r="AI5" s="330" t="s">
        <v>35</v>
      </c>
      <c r="AJ5" s="339" t="s">
        <v>37</v>
      </c>
      <c r="AK5" s="330" t="s">
        <v>120</v>
      </c>
      <c r="AL5" s="330" t="s">
        <v>121</v>
      </c>
      <c r="AM5" s="330" t="s">
        <v>36</v>
      </c>
      <c r="AN5" s="334"/>
      <c r="AO5" s="336"/>
    </row>
    <row r="6" spans="1:41" ht="60">
      <c r="A6" s="332"/>
      <c r="B6" s="332"/>
      <c r="C6" s="332"/>
      <c r="D6" s="179" t="s">
        <v>16</v>
      </c>
      <c r="E6" s="179" t="s">
        <v>21</v>
      </c>
      <c r="F6" s="179" t="s">
        <v>16</v>
      </c>
      <c r="G6" s="179" t="s">
        <v>21</v>
      </c>
      <c r="H6" s="179" t="s">
        <v>16</v>
      </c>
      <c r="I6" s="179" t="s">
        <v>21</v>
      </c>
      <c r="J6" s="179" t="s">
        <v>16</v>
      </c>
      <c r="K6" s="179" t="s">
        <v>21</v>
      </c>
      <c r="L6" s="179" t="s">
        <v>16</v>
      </c>
      <c r="M6" s="179" t="s">
        <v>21</v>
      </c>
      <c r="N6" s="179" t="s">
        <v>16</v>
      </c>
      <c r="O6" s="179" t="s">
        <v>21</v>
      </c>
      <c r="P6" s="179" t="s">
        <v>16</v>
      </c>
      <c r="Q6" s="179" t="s">
        <v>21</v>
      </c>
      <c r="R6" s="178" t="s">
        <v>16</v>
      </c>
      <c r="S6" s="178" t="s">
        <v>21</v>
      </c>
      <c r="T6" s="178" t="s">
        <v>16</v>
      </c>
      <c r="U6" s="178" t="s">
        <v>21</v>
      </c>
      <c r="V6" s="178" t="s">
        <v>16</v>
      </c>
      <c r="W6" s="178" t="s">
        <v>21</v>
      </c>
      <c r="X6" s="178" t="s">
        <v>16</v>
      </c>
      <c r="Y6" s="178" t="s">
        <v>21</v>
      </c>
      <c r="Z6" s="178" t="s">
        <v>16</v>
      </c>
      <c r="AA6" s="178" t="s">
        <v>21</v>
      </c>
      <c r="AB6" s="181" t="s">
        <v>16</v>
      </c>
      <c r="AC6" s="180" t="s">
        <v>21</v>
      </c>
      <c r="AD6" s="279"/>
      <c r="AE6" s="279"/>
      <c r="AF6" s="279"/>
      <c r="AG6" s="279"/>
      <c r="AH6" s="279"/>
      <c r="AI6" s="279"/>
      <c r="AJ6" s="339"/>
      <c r="AK6" s="279"/>
      <c r="AL6" s="279"/>
      <c r="AM6" s="279"/>
      <c r="AN6" s="335"/>
      <c r="AO6" s="279"/>
    </row>
    <row r="7" spans="1:41" ht="60">
      <c r="A7" s="182" t="s">
        <v>48</v>
      </c>
      <c r="B7" s="183" t="s">
        <v>49</v>
      </c>
      <c r="C7" s="182" t="s">
        <v>48</v>
      </c>
      <c r="D7" s="184">
        <v>1004</v>
      </c>
      <c r="E7" s="185">
        <v>933.0708857994255</v>
      </c>
      <c r="F7" s="186">
        <v>912</v>
      </c>
      <c r="G7" s="185">
        <v>875.9225769068022</v>
      </c>
      <c r="H7" s="186">
        <v>1601</v>
      </c>
      <c r="I7" s="185">
        <v>1554.3933059865442</v>
      </c>
      <c r="J7" s="186">
        <v>784</v>
      </c>
      <c r="K7" s="185">
        <v>761.1240595934962</v>
      </c>
      <c r="L7" s="186">
        <v>124</v>
      </c>
      <c r="M7" s="185">
        <v>121.54864999999998</v>
      </c>
      <c r="N7" s="183">
        <v>0</v>
      </c>
      <c r="O7" s="187">
        <v>0</v>
      </c>
      <c r="P7" s="188">
        <f>SUM(D7,F7,H7,J7,L7,N7)</f>
        <v>4425</v>
      </c>
      <c r="Q7" s="189">
        <f>SUM(E7,G7,I7,K7,M7,O7)</f>
        <v>4246.059478286267</v>
      </c>
      <c r="R7" s="183">
        <v>167</v>
      </c>
      <c r="S7" s="183">
        <v>164.84</v>
      </c>
      <c r="T7" s="183">
        <v>16</v>
      </c>
      <c r="U7" s="187">
        <v>16</v>
      </c>
      <c r="V7" s="183">
        <v>191</v>
      </c>
      <c r="W7" s="187">
        <v>190</v>
      </c>
      <c r="X7" s="183">
        <v>0</v>
      </c>
      <c r="Y7" s="187">
        <v>0</v>
      </c>
      <c r="Z7" s="190">
        <f>SUM(R7,T7,V7,X7,)</f>
        <v>374</v>
      </c>
      <c r="AA7" s="190">
        <f>SUM(S7,U7,W7,Y7)</f>
        <v>370.84000000000003</v>
      </c>
      <c r="AB7" s="191">
        <f>P7+Z7</f>
        <v>4799</v>
      </c>
      <c r="AC7" s="192">
        <f>Q7+AA7</f>
        <v>4616.899478286267</v>
      </c>
      <c r="AD7" s="193">
        <v>11330862.279999996</v>
      </c>
      <c r="AE7" s="194">
        <v>232435.32</v>
      </c>
      <c r="AF7" s="194">
        <v>591738.05</v>
      </c>
      <c r="AG7" s="194">
        <v>52011.4</v>
      </c>
      <c r="AH7" s="194">
        <v>2170653.13</v>
      </c>
      <c r="AI7" s="194">
        <v>997019.7</v>
      </c>
      <c r="AJ7" s="195">
        <f>SUM(AD7:AI7)</f>
        <v>15374719.879999995</v>
      </c>
      <c r="AK7" s="196">
        <v>2472288.42</v>
      </c>
      <c r="AL7" s="196">
        <v>1479929.04</v>
      </c>
      <c r="AM7" s="197">
        <f>SUM(AK7:AL7)</f>
        <v>3952217.46</v>
      </c>
      <c r="AN7" s="197">
        <f>SUM(AM7,AJ7)</f>
        <v>19326937.339999996</v>
      </c>
      <c r="AO7" s="198"/>
    </row>
    <row r="8" spans="1:41" ht="75">
      <c r="A8" s="182" t="s">
        <v>76</v>
      </c>
      <c r="B8" s="183" t="s">
        <v>51</v>
      </c>
      <c r="C8" s="182" t="s">
        <v>48</v>
      </c>
      <c r="D8" s="186">
        <v>13595</v>
      </c>
      <c r="E8" s="185">
        <v>11887.2312576577</v>
      </c>
      <c r="F8" s="186">
        <v>3018</v>
      </c>
      <c r="G8" s="185">
        <v>2818.065331831832</v>
      </c>
      <c r="H8" s="186">
        <v>2495</v>
      </c>
      <c r="I8" s="185">
        <v>2315.779924594591</v>
      </c>
      <c r="J8" s="186">
        <v>626</v>
      </c>
      <c r="K8" s="185">
        <v>610.1645899999999</v>
      </c>
      <c r="L8" s="186">
        <v>34</v>
      </c>
      <c r="M8" s="185">
        <v>34</v>
      </c>
      <c r="N8" s="183">
        <v>0</v>
      </c>
      <c r="O8" s="185">
        <v>0</v>
      </c>
      <c r="P8" s="188">
        <f aca="true" t="shared" si="0" ref="P8:Q19">SUM(D8,F8,H8,J8,L8,N8)</f>
        <v>19768</v>
      </c>
      <c r="Q8" s="189">
        <f t="shared" si="0"/>
        <v>17665.24110408412</v>
      </c>
      <c r="R8" s="23" t="s">
        <v>90</v>
      </c>
      <c r="S8" s="187">
        <v>609.5</v>
      </c>
      <c r="T8" s="183">
        <v>0</v>
      </c>
      <c r="U8" s="187">
        <v>0</v>
      </c>
      <c r="V8" s="183">
        <v>0</v>
      </c>
      <c r="W8" s="187">
        <v>0</v>
      </c>
      <c r="X8" s="183">
        <v>0</v>
      </c>
      <c r="Y8" s="187">
        <v>0</v>
      </c>
      <c r="Z8" s="190">
        <f aca="true" t="shared" si="1" ref="Z8:Z19">SUM(R8,T8,V8,X8,)</f>
        <v>0</v>
      </c>
      <c r="AA8" s="199">
        <f aca="true" t="shared" si="2" ref="AA8:AA19">SUM(S8,U8,W8,Y8)</f>
        <v>609.5</v>
      </c>
      <c r="AB8" s="191">
        <f aca="true" t="shared" si="3" ref="AB8:AC19">P8+Z8</f>
        <v>19768</v>
      </c>
      <c r="AC8" s="192">
        <f t="shared" si="3"/>
        <v>18274.74110408412</v>
      </c>
      <c r="AD8" s="193">
        <v>33827261.19</v>
      </c>
      <c r="AE8" s="194">
        <v>413347.78</v>
      </c>
      <c r="AF8" s="194">
        <v>476750.27</v>
      </c>
      <c r="AG8" s="194">
        <v>392486.08</v>
      </c>
      <c r="AH8" s="194">
        <v>5666074.69</v>
      </c>
      <c r="AI8" s="194">
        <v>2320918.78</v>
      </c>
      <c r="AJ8" s="195">
        <f aca="true" t="shared" si="4" ref="AJ8:AJ19">SUM(AD8:AI8)</f>
        <v>43096838.79</v>
      </c>
      <c r="AK8" s="196">
        <v>1474946.68</v>
      </c>
      <c r="AL8" s="196">
        <v>0</v>
      </c>
      <c r="AM8" s="197">
        <f aca="true" t="shared" si="5" ref="AM8:AM19">SUM(AK8:AL8)</f>
        <v>1474946.68</v>
      </c>
      <c r="AN8" s="197">
        <f aca="true" t="shared" si="6" ref="AN8:AN19">SUM(AM8,AJ8)</f>
        <v>44571785.47</v>
      </c>
      <c r="AO8" s="200" t="s">
        <v>122</v>
      </c>
    </row>
    <row r="9" spans="1:41" ht="45">
      <c r="A9" s="182" t="s">
        <v>55</v>
      </c>
      <c r="B9" s="183" t="s">
        <v>51</v>
      </c>
      <c r="C9" s="182" t="s">
        <v>48</v>
      </c>
      <c r="D9" s="183">
        <v>192</v>
      </c>
      <c r="E9" s="183">
        <v>172.02</v>
      </c>
      <c r="F9" s="183">
        <v>131</v>
      </c>
      <c r="G9" s="183">
        <v>125.62</v>
      </c>
      <c r="H9" s="183">
        <v>261</v>
      </c>
      <c r="I9" s="183">
        <v>253.28</v>
      </c>
      <c r="J9" s="183">
        <v>60</v>
      </c>
      <c r="K9" s="183">
        <v>59.33</v>
      </c>
      <c r="L9" s="183">
        <v>6</v>
      </c>
      <c r="M9" s="187">
        <v>6</v>
      </c>
      <c r="N9" s="183">
        <v>0</v>
      </c>
      <c r="O9" s="187">
        <v>0</v>
      </c>
      <c r="P9" s="188">
        <f t="shared" si="0"/>
        <v>650</v>
      </c>
      <c r="Q9" s="189">
        <f t="shared" si="0"/>
        <v>616.25</v>
      </c>
      <c r="R9" s="183">
        <v>9</v>
      </c>
      <c r="S9" s="187">
        <v>7.6</v>
      </c>
      <c r="T9" s="183">
        <v>0</v>
      </c>
      <c r="U9" s="187">
        <v>0</v>
      </c>
      <c r="V9" s="183">
        <v>15</v>
      </c>
      <c r="W9" s="187">
        <v>14</v>
      </c>
      <c r="X9" s="183">
        <v>0</v>
      </c>
      <c r="Y9" s="187">
        <v>0</v>
      </c>
      <c r="Z9" s="190">
        <f t="shared" si="1"/>
        <v>24</v>
      </c>
      <c r="AA9" s="199">
        <f t="shared" si="2"/>
        <v>21.6</v>
      </c>
      <c r="AB9" s="191">
        <f t="shared" si="3"/>
        <v>674</v>
      </c>
      <c r="AC9" s="192">
        <f t="shared" si="3"/>
        <v>637.85</v>
      </c>
      <c r="AD9" s="193">
        <v>1528256.7000000011</v>
      </c>
      <c r="AE9" s="194">
        <v>5767.83</v>
      </c>
      <c r="AF9" s="194">
        <v>2600</v>
      </c>
      <c r="AG9" s="194">
        <v>16987.8</v>
      </c>
      <c r="AH9" s="194">
        <v>268612.47</v>
      </c>
      <c r="AI9" s="194">
        <v>127384.73</v>
      </c>
      <c r="AJ9" s="195">
        <f t="shared" si="4"/>
        <v>1949609.5300000012</v>
      </c>
      <c r="AK9" s="196">
        <v>134215.86</v>
      </c>
      <c r="AL9" s="196"/>
      <c r="AM9" s="197">
        <f t="shared" si="5"/>
        <v>134215.86</v>
      </c>
      <c r="AN9" s="197">
        <f t="shared" si="6"/>
        <v>2083825.390000001</v>
      </c>
      <c r="AO9" s="198"/>
    </row>
    <row r="10" spans="1:41" ht="75">
      <c r="A10" s="23" t="s">
        <v>56</v>
      </c>
      <c r="B10" s="183" t="s">
        <v>51</v>
      </c>
      <c r="C10" s="182" t="s">
        <v>48</v>
      </c>
      <c r="D10" s="183">
        <v>33941</v>
      </c>
      <c r="E10" s="185">
        <v>32378.362348330393</v>
      </c>
      <c r="F10" s="183">
        <v>6189</v>
      </c>
      <c r="G10" s="185">
        <v>5922.913331643058</v>
      </c>
      <c r="H10" s="183">
        <v>3637</v>
      </c>
      <c r="I10" s="185">
        <v>3409.008824627356</v>
      </c>
      <c r="J10" s="183">
        <v>611</v>
      </c>
      <c r="K10" s="185">
        <v>595.5117484141875</v>
      </c>
      <c r="L10" s="183">
        <v>39</v>
      </c>
      <c r="M10" s="185">
        <v>38.8780487804878</v>
      </c>
      <c r="N10" s="183">
        <v>0</v>
      </c>
      <c r="O10" s="185">
        <v>0</v>
      </c>
      <c r="P10" s="188">
        <f t="shared" si="0"/>
        <v>44417</v>
      </c>
      <c r="Q10" s="189">
        <f t="shared" si="0"/>
        <v>42344.67430179549</v>
      </c>
      <c r="R10" s="156">
        <v>349.41</v>
      </c>
      <c r="S10" s="156">
        <v>349.41</v>
      </c>
      <c r="T10" s="156">
        <v>0</v>
      </c>
      <c r="U10" s="156">
        <v>0</v>
      </c>
      <c r="V10" s="156">
        <v>19.25</v>
      </c>
      <c r="W10" s="156">
        <v>19.25</v>
      </c>
      <c r="X10" s="156">
        <v>4.57</v>
      </c>
      <c r="Y10" s="156">
        <v>4.57</v>
      </c>
      <c r="Z10" s="190">
        <f t="shared" si="1"/>
        <v>373.23</v>
      </c>
      <c r="AA10" s="190">
        <f t="shared" si="2"/>
        <v>373.23</v>
      </c>
      <c r="AB10" s="191">
        <f t="shared" si="3"/>
        <v>44790.23</v>
      </c>
      <c r="AC10" s="191">
        <f t="shared" si="3"/>
        <v>42717.90430179549</v>
      </c>
      <c r="AD10" s="193">
        <v>97609122.09999993</v>
      </c>
      <c r="AE10" s="194">
        <v>0</v>
      </c>
      <c r="AF10" s="194">
        <v>0</v>
      </c>
      <c r="AG10" s="194">
        <v>4800737.02</v>
      </c>
      <c r="AH10" s="194">
        <v>19762244.860000014</v>
      </c>
      <c r="AI10" s="194">
        <v>7651980.689999995</v>
      </c>
      <c r="AJ10" s="195">
        <f t="shared" si="4"/>
        <v>129824084.66999994</v>
      </c>
      <c r="AK10" s="196">
        <v>2395523.38</v>
      </c>
      <c r="AL10" s="196">
        <v>19737.5</v>
      </c>
      <c r="AM10" s="197">
        <f t="shared" si="5"/>
        <v>2415260.88</v>
      </c>
      <c r="AN10" s="197">
        <f t="shared" si="6"/>
        <v>132239345.54999994</v>
      </c>
      <c r="AO10" s="200"/>
    </row>
    <row r="11" spans="1:41" ht="75">
      <c r="A11" s="182" t="s">
        <v>58</v>
      </c>
      <c r="B11" s="183" t="s">
        <v>51</v>
      </c>
      <c r="C11" s="182" t="s">
        <v>48</v>
      </c>
      <c r="D11" s="186">
        <v>286</v>
      </c>
      <c r="E11" s="185">
        <v>269.9446051351352</v>
      </c>
      <c r="F11" s="186">
        <v>142</v>
      </c>
      <c r="G11" s="185">
        <v>134.64114999999998</v>
      </c>
      <c r="H11" s="186">
        <v>62</v>
      </c>
      <c r="I11" s="185">
        <v>60.0878308108108</v>
      </c>
      <c r="J11" s="186">
        <v>9</v>
      </c>
      <c r="K11" s="185">
        <v>8.82222</v>
      </c>
      <c r="L11" s="186">
        <v>2</v>
      </c>
      <c r="M11" s="187">
        <v>1.7783799999999998</v>
      </c>
      <c r="N11" s="183">
        <v>0</v>
      </c>
      <c r="O11" s="185">
        <v>0</v>
      </c>
      <c r="P11" s="188">
        <f t="shared" si="0"/>
        <v>501</v>
      </c>
      <c r="Q11" s="189">
        <f t="shared" si="0"/>
        <v>475.27418594594604</v>
      </c>
      <c r="R11" s="183">
        <v>202</v>
      </c>
      <c r="S11" s="183">
        <v>134.34</v>
      </c>
      <c r="T11" s="183">
        <v>0</v>
      </c>
      <c r="U11" s="187">
        <v>0</v>
      </c>
      <c r="V11" s="183">
        <v>0</v>
      </c>
      <c r="W11" s="187">
        <v>0</v>
      </c>
      <c r="X11" s="183">
        <v>0</v>
      </c>
      <c r="Y11" s="187">
        <v>0</v>
      </c>
      <c r="Z11" s="190">
        <f t="shared" si="1"/>
        <v>202</v>
      </c>
      <c r="AA11" s="190">
        <f t="shared" si="2"/>
        <v>134.34</v>
      </c>
      <c r="AB11" s="191">
        <f t="shared" si="3"/>
        <v>703</v>
      </c>
      <c r="AC11" s="192">
        <f t="shared" si="3"/>
        <v>609.614185945946</v>
      </c>
      <c r="AD11" s="193">
        <v>848806.01</v>
      </c>
      <c r="AE11" s="194">
        <v>17126.37</v>
      </c>
      <c r="AF11" s="194">
        <v>57750</v>
      </c>
      <c r="AG11" s="194">
        <v>33101.52</v>
      </c>
      <c r="AH11" s="194">
        <v>139072.48</v>
      </c>
      <c r="AI11" s="194">
        <v>65618.89</v>
      </c>
      <c r="AJ11" s="195">
        <f t="shared" si="4"/>
        <v>1161475.27</v>
      </c>
      <c r="AK11" s="196">
        <v>204937.85</v>
      </c>
      <c r="AL11" s="196">
        <v>0</v>
      </c>
      <c r="AM11" s="197">
        <f t="shared" si="5"/>
        <v>204937.85</v>
      </c>
      <c r="AN11" s="197">
        <f t="shared" si="6"/>
        <v>1366413.12</v>
      </c>
      <c r="AO11" s="200" t="s">
        <v>123</v>
      </c>
    </row>
    <row r="12" spans="1:41" ht="300">
      <c r="A12" s="182" t="s">
        <v>62</v>
      </c>
      <c r="B12" s="183" t="s">
        <v>63</v>
      </c>
      <c r="C12" s="182" t="s">
        <v>48</v>
      </c>
      <c r="D12" s="183">
        <v>0</v>
      </c>
      <c r="E12" s="185">
        <v>0</v>
      </c>
      <c r="F12" s="183">
        <v>0</v>
      </c>
      <c r="G12" s="187">
        <v>0</v>
      </c>
      <c r="H12" s="183">
        <v>0</v>
      </c>
      <c r="I12" s="187">
        <v>0</v>
      </c>
      <c r="J12" s="183">
        <v>0</v>
      </c>
      <c r="K12" s="187">
        <v>0</v>
      </c>
      <c r="L12" s="183">
        <v>0</v>
      </c>
      <c r="M12" s="187">
        <v>0</v>
      </c>
      <c r="N12" s="183">
        <v>74</v>
      </c>
      <c r="O12" s="183">
        <v>68.32</v>
      </c>
      <c r="P12" s="188">
        <f t="shared" si="0"/>
        <v>74</v>
      </c>
      <c r="Q12" s="189">
        <f t="shared" si="0"/>
        <v>68.32</v>
      </c>
      <c r="R12" s="183">
        <v>4</v>
      </c>
      <c r="S12" s="187">
        <v>4</v>
      </c>
      <c r="T12" s="183">
        <v>0</v>
      </c>
      <c r="U12" s="187">
        <v>0</v>
      </c>
      <c r="V12" s="183">
        <v>0</v>
      </c>
      <c r="W12" s="187">
        <v>0</v>
      </c>
      <c r="X12" s="183">
        <v>0</v>
      </c>
      <c r="Y12" s="187">
        <v>0</v>
      </c>
      <c r="Z12" s="190">
        <f t="shared" si="1"/>
        <v>4</v>
      </c>
      <c r="AA12" s="199">
        <f t="shared" si="2"/>
        <v>4</v>
      </c>
      <c r="AB12" s="191">
        <f t="shared" si="3"/>
        <v>78</v>
      </c>
      <c r="AC12" s="192">
        <f t="shared" si="3"/>
        <v>72.32</v>
      </c>
      <c r="AD12" s="193">
        <v>192060</v>
      </c>
      <c r="AE12" s="194">
        <v>57</v>
      </c>
      <c r="AF12" s="194">
        <v>0</v>
      </c>
      <c r="AG12" s="194">
        <v>0</v>
      </c>
      <c r="AH12" s="194">
        <v>35701</v>
      </c>
      <c r="AI12" s="194">
        <v>15632</v>
      </c>
      <c r="AJ12" s="195">
        <f t="shared" si="4"/>
        <v>243450</v>
      </c>
      <c r="AK12" s="196">
        <v>4423</v>
      </c>
      <c r="AL12" s="196">
        <v>0</v>
      </c>
      <c r="AM12" s="197">
        <f t="shared" si="5"/>
        <v>4423</v>
      </c>
      <c r="AN12" s="197">
        <f t="shared" si="6"/>
        <v>247873</v>
      </c>
      <c r="AO12" s="200" t="s">
        <v>64</v>
      </c>
    </row>
    <row r="13" spans="1:41" ht="75">
      <c r="A13" s="182" t="s">
        <v>66</v>
      </c>
      <c r="B13" s="183" t="s">
        <v>63</v>
      </c>
      <c r="C13" s="182" t="s">
        <v>48</v>
      </c>
      <c r="D13" s="183">
        <v>0</v>
      </c>
      <c r="E13" s="185">
        <v>0</v>
      </c>
      <c r="F13" s="183">
        <v>0</v>
      </c>
      <c r="G13" s="187">
        <v>0</v>
      </c>
      <c r="H13" s="183">
        <v>0</v>
      </c>
      <c r="I13" s="187">
        <v>0</v>
      </c>
      <c r="J13" s="183">
        <v>0</v>
      </c>
      <c r="K13" s="187">
        <v>0</v>
      </c>
      <c r="L13" s="183">
        <v>0</v>
      </c>
      <c r="M13" s="187">
        <v>0</v>
      </c>
      <c r="N13" s="183">
        <v>367</v>
      </c>
      <c r="O13" s="183">
        <v>343.89</v>
      </c>
      <c r="P13" s="188">
        <f t="shared" si="0"/>
        <v>367</v>
      </c>
      <c r="Q13" s="189">
        <f t="shared" si="0"/>
        <v>343.89</v>
      </c>
      <c r="R13" s="183">
        <v>23</v>
      </c>
      <c r="S13" s="187">
        <v>22.4</v>
      </c>
      <c r="T13" s="183">
        <v>0</v>
      </c>
      <c r="U13" s="187">
        <v>0</v>
      </c>
      <c r="V13" s="183">
        <v>0</v>
      </c>
      <c r="W13" s="187">
        <v>0</v>
      </c>
      <c r="X13" s="183">
        <v>0</v>
      </c>
      <c r="Y13" s="187">
        <v>0</v>
      </c>
      <c r="Z13" s="190">
        <f t="shared" si="1"/>
        <v>23</v>
      </c>
      <c r="AA13" s="199">
        <f t="shared" si="2"/>
        <v>22.4</v>
      </c>
      <c r="AB13" s="191">
        <f t="shared" si="3"/>
        <v>390</v>
      </c>
      <c r="AC13" s="192">
        <f t="shared" si="3"/>
        <v>366.28999999999996</v>
      </c>
      <c r="AD13" s="193">
        <v>767730.01</v>
      </c>
      <c r="AE13" s="194">
        <v>857.65</v>
      </c>
      <c r="AF13" s="194">
        <v>0</v>
      </c>
      <c r="AG13" s="194">
        <v>6335.42</v>
      </c>
      <c r="AH13" s="194">
        <v>140183.94</v>
      </c>
      <c r="AI13" s="194">
        <v>54413.01</v>
      </c>
      <c r="AJ13" s="195">
        <f t="shared" si="4"/>
        <v>969520.03</v>
      </c>
      <c r="AK13" s="196">
        <v>51631.08</v>
      </c>
      <c r="AL13" s="196">
        <v>0</v>
      </c>
      <c r="AM13" s="197">
        <f t="shared" si="5"/>
        <v>51631.08</v>
      </c>
      <c r="AN13" s="197">
        <f t="shared" si="6"/>
        <v>1021151.11</v>
      </c>
      <c r="AO13" s="198"/>
    </row>
    <row r="14" spans="1:41" ht="75">
      <c r="A14" s="182" t="s">
        <v>67</v>
      </c>
      <c r="B14" s="183" t="s">
        <v>63</v>
      </c>
      <c r="C14" s="182" t="s">
        <v>48</v>
      </c>
      <c r="D14" s="183">
        <v>11</v>
      </c>
      <c r="E14" s="185">
        <v>11</v>
      </c>
      <c r="F14" s="183">
        <v>17</v>
      </c>
      <c r="G14" s="187">
        <v>16.5</v>
      </c>
      <c r="H14" s="183">
        <v>25</v>
      </c>
      <c r="I14" s="183">
        <v>24.69</v>
      </c>
      <c r="J14" s="183">
        <v>12</v>
      </c>
      <c r="K14" s="187">
        <v>11.2</v>
      </c>
      <c r="L14" s="183">
        <v>3</v>
      </c>
      <c r="M14" s="187">
        <v>3</v>
      </c>
      <c r="N14" s="183">
        <v>1</v>
      </c>
      <c r="O14" s="187">
        <v>0.4</v>
      </c>
      <c r="P14" s="188">
        <f t="shared" si="0"/>
        <v>69</v>
      </c>
      <c r="Q14" s="189">
        <f t="shared" si="0"/>
        <v>66.79</v>
      </c>
      <c r="R14" s="183">
        <v>8</v>
      </c>
      <c r="S14" s="187">
        <v>8</v>
      </c>
      <c r="T14" s="183">
        <v>0</v>
      </c>
      <c r="U14" s="187">
        <v>0</v>
      </c>
      <c r="V14" s="183">
        <v>0</v>
      </c>
      <c r="W14" s="187">
        <v>0</v>
      </c>
      <c r="X14" s="183">
        <v>0</v>
      </c>
      <c r="Y14" s="187">
        <v>0</v>
      </c>
      <c r="Z14" s="190">
        <f t="shared" si="1"/>
        <v>8</v>
      </c>
      <c r="AA14" s="199">
        <f t="shared" si="2"/>
        <v>8</v>
      </c>
      <c r="AB14" s="191">
        <f t="shared" si="3"/>
        <v>77</v>
      </c>
      <c r="AC14" s="192">
        <f t="shared" si="3"/>
        <v>74.79</v>
      </c>
      <c r="AD14" s="193">
        <v>191211.79</v>
      </c>
      <c r="AE14" s="194">
        <v>1958.02</v>
      </c>
      <c r="AF14" s="194">
        <v>6700</v>
      </c>
      <c r="AG14" s="194">
        <v>0</v>
      </c>
      <c r="AH14" s="194">
        <v>36013.84</v>
      </c>
      <c r="AI14" s="194">
        <v>17158.85</v>
      </c>
      <c r="AJ14" s="195">
        <f t="shared" si="4"/>
        <v>253042.5</v>
      </c>
      <c r="AK14" s="196">
        <v>22337</v>
      </c>
      <c r="AL14" s="196">
        <v>0</v>
      </c>
      <c r="AM14" s="197">
        <f t="shared" si="5"/>
        <v>22337</v>
      </c>
      <c r="AN14" s="197">
        <f t="shared" si="6"/>
        <v>275379.5</v>
      </c>
      <c r="AO14" s="198"/>
    </row>
    <row r="15" spans="1:41" ht="156">
      <c r="A15" s="182" t="s">
        <v>68</v>
      </c>
      <c r="B15" s="183" t="s">
        <v>63</v>
      </c>
      <c r="C15" s="182" t="s">
        <v>48</v>
      </c>
      <c r="D15" s="183">
        <v>0</v>
      </c>
      <c r="E15" s="185">
        <v>0</v>
      </c>
      <c r="F15" s="183">
        <v>0</v>
      </c>
      <c r="G15" s="187">
        <v>0</v>
      </c>
      <c r="H15" s="183">
        <v>0</v>
      </c>
      <c r="I15" s="187">
        <v>0</v>
      </c>
      <c r="J15" s="183">
        <v>0</v>
      </c>
      <c r="K15" s="187">
        <v>0</v>
      </c>
      <c r="L15" s="183">
        <v>0</v>
      </c>
      <c r="M15" s="187">
        <v>0</v>
      </c>
      <c r="N15" s="183">
        <v>29</v>
      </c>
      <c r="O15" s="187">
        <v>28.8</v>
      </c>
      <c r="P15" s="188">
        <f t="shared" si="0"/>
        <v>29</v>
      </c>
      <c r="Q15" s="189">
        <f t="shared" si="0"/>
        <v>28.8</v>
      </c>
      <c r="R15" s="183">
        <v>0</v>
      </c>
      <c r="S15" s="187">
        <v>0</v>
      </c>
      <c r="T15" s="183">
        <v>0</v>
      </c>
      <c r="U15" s="187">
        <v>0</v>
      </c>
      <c r="V15" s="183">
        <v>0</v>
      </c>
      <c r="W15" s="187">
        <v>0</v>
      </c>
      <c r="X15" s="183">
        <v>0</v>
      </c>
      <c r="Y15" s="187">
        <v>0</v>
      </c>
      <c r="Z15" s="190">
        <f t="shared" si="1"/>
        <v>0</v>
      </c>
      <c r="AA15" s="199">
        <f t="shared" si="2"/>
        <v>0</v>
      </c>
      <c r="AB15" s="191">
        <f t="shared" si="3"/>
        <v>29</v>
      </c>
      <c r="AC15" s="192">
        <f t="shared" si="3"/>
        <v>28.8</v>
      </c>
      <c r="AD15" s="193">
        <v>140606.2</v>
      </c>
      <c r="AE15" s="196">
        <v>0</v>
      </c>
      <c r="AF15" s="196">
        <v>0</v>
      </c>
      <c r="AG15" s="196">
        <v>0</v>
      </c>
      <c r="AH15" s="194">
        <v>31691.53</v>
      </c>
      <c r="AI15" s="194">
        <v>16906.37</v>
      </c>
      <c r="AJ15" s="195">
        <f t="shared" si="4"/>
        <v>189204.1</v>
      </c>
      <c r="AK15" s="196">
        <v>0</v>
      </c>
      <c r="AL15" s="196">
        <v>0</v>
      </c>
      <c r="AM15" s="197">
        <f t="shared" si="5"/>
        <v>0</v>
      </c>
      <c r="AN15" s="197">
        <f t="shared" si="6"/>
        <v>189204.1</v>
      </c>
      <c r="AO15" s="200" t="s">
        <v>69</v>
      </c>
    </row>
    <row r="16" spans="1:41" ht="75">
      <c r="A16" s="182" t="s">
        <v>70</v>
      </c>
      <c r="B16" s="183" t="s">
        <v>63</v>
      </c>
      <c r="C16" s="182" t="s">
        <v>48</v>
      </c>
      <c r="D16" s="183">
        <v>810</v>
      </c>
      <c r="E16" s="183">
        <v>765.63</v>
      </c>
      <c r="F16" s="183">
        <v>264</v>
      </c>
      <c r="G16" s="183">
        <v>254.21</v>
      </c>
      <c r="H16" s="183">
        <v>396</v>
      </c>
      <c r="I16" s="183">
        <v>378.97</v>
      </c>
      <c r="J16" s="183">
        <v>114</v>
      </c>
      <c r="K16" s="183">
        <v>111.87</v>
      </c>
      <c r="L16" s="183">
        <v>19</v>
      </c>
      <c r="M16" s="187">
        <v>13.2</v>
      </c>
      <c r="N16" s="183">
        <v>0</v>
      </c>
      <c r="O16" s="187">
        <v>0</v>
      </c>
      <c r="P16" s="188">
        <f t="shared" si="0"/>
        <v>1603</v>
      </c>
      <c r="Q16" s="189">
        <f t="shared" si="0"/>
        <v>1523.8799999999999</v>
      </c>
      <c r="R16" s="183">
        <v>31</v>
      </c>
      <c r="S16" s="187">
        <v>25.4</v>
      </c>
      <c r="T16" s="183">
        <v>0</v>
      </c>
      <c r="U16" s="187">
        <v>0</v>
      </c>
      <c r="V16" s="183">
        <v>75</v>
      </c>
      <c r="W16" s="187">
        <v>73.7</v>
      </c>
      <c r="X16" s="183">
        <v>0</v>
      </c>
      <c r="Y16" s="187">
        <v>0</v>
      </c>
      <c r="Z16" s="190">
        <f t="shared" si="1"/>
        <v>106</v>
      </c>
      <c r="AA16" s="199">
        <f t="shared" si="2"/>
        <v>99.1</v>
      </c>
      <c r="AB16" s="191">
        <f t="shared" si="3"/>
        <v>1709</v>
      </c>
      <c r="AC16" s="192">
        <f t="shared" si="3"/>
        <v>1622.9799999999998</v>
      </c>
      <c r="AD16" s="193">
        <v>3505121.93</v>
      </c>
      <c r="AE16" s="196">
        <v>0</v>
      </c>
      <c r="AF16" s="196">
        <v>0</v>
      </c>
      <c r="AG16" s="194">
        <v>73006.36</v>
      </c>
      <c r="AH16" s="196">
        <v>0</v>
      </c>
      <c r="AI16" s="194">
        <v>277377.53</v>
      </c>
      <c r="AJ16" s="195">
        <f t="shared" si="4"/>
        <v>3855505.8200000003</v>
      </c>
      <c r="AK16" s="196">
        <v>1048429.29</v>
      </c>
      <c r="AL16" s="196">
        <v>0</v>
      </c>
      <c r="AM16" s="197">
        <f t="shared" si="5"/>
        <v>1048429.29</v>
      </c>
      <c r="AN16" s="197">
        <f t="shared" si="6"/>
        <v>4903935.11</v>
      </c>
      <c r="AO16" s="198"/>
    </row>
    <row r="17" spans="1:41" ht="75">
      <c r="A17" s="182" t="s">
        <v>71</v>
      </c>
      <c r="B17" s="183" t="s">
        <v>63</v>
      </c>
      <c r="C17" s="182" t="s">
        <v>48</v>
      </c>
      <c r="D17" s="183">
        <v>20</v>
      </c>
      <c r="E17" s="183">
        <v>18.79</v>
      </c>
      <c r="F17" s="183">
        <v>46</v>
      </c>
      <c r="G17" s="183">
        <v>45.53</v>
      </c>
      <c r="H17" s="183">
        <v>15</v>
      </c>
      <c r="I17" s="183">
        <v>14.06</v>
      </c>
      <c r="J17" s="183">
        <v>6</v>
      </c>
      <c r="K17" s="187">
        <v>6</v>
      </c>
      <c r="L17" s="183">
        <v>1</v>
      </c>
      <c r="M17" s="187">
        <v>1</v>
      </c>
      <c r="N17" s="183">
        <v>0</v>
      </c>
      <c r="O17" s="187">
        <v>0</v>
      </c>
      <c r="P17" s="188">
        <f t="shared" si="0"/>
        <v>88</v>
      </c>
      <c r="Q17" s="189">
        <f t="shared" si="0"/>
        <v>85.38</v>
      </c>
      <c r="R17" s="183">
        <v>8</v>
      </c>
      <c r="S17" s="187">
        <v>8</v>
      </c>
      <c r="T17" s="183">
        <v>0</v>
      </c>
      <c r="U17" s="187">
        <v>0</v>
      </c>
      <c r="V17" s="183">
        <v>0</v>
      </c>
      <c r="W17" s="187">
        <v>0</v>
      </c>
      <c r="X17" s="183">
        <v>0</v>
      </c>
      <c r="Y17" s="187">
        <v>0</v>
      </c>
      <c r="Z17" s="190">
        <f t="shared" si="1"/>
        <v>8</v>
      </c>
      <c r="AA17" s="199">
        <f t="shared" si="2"/>
        <v>8</v>
      </c>
      <c r="AB17" s="191">
        <f t="shared" si="3"/>
        <v>96</v>
      </c>
      <c r="AC17" s="192">
        <f t="shared" si="3"/>
        <v>93.38</v>
      </c>
      <c r="AD17" s="193">
        <v>188765.76</v>
      </c>
      <c r="AE17" s="194">
        <v>21309.64</v>
      </c>
      <c r="AF17" s="194">
        <v>60869.72</v>
      </c>
      <c r="AG17" s="194">
        <v>8136.55</v>
      </c>
      <c r="AH17" s="194">
        <v>35055.21</v>
      </c>
      <c r="AI17" s="194">
        <v>19475.85</v>
      </c>
      <c r="AJ17" s="195">
        <f t="shared" si="4"/>
        <v>333612.73</v>
      </c>
      <c r="AK17" s="196">
        <v>24258.92</v>
      </c>
      <c r="AL17" s="196">
        <v>0</v>
      </c>
      <c r="AM17" s="197">
        <f t="shared" si="5"/>
        <v>24258.92</v>
      </c>
      <c r="AN17" s="197">
        <f t="shared" si="6"/>
        <v>357871.64999999997</v>
      </c>
      <c r="AO17" s="198"/>
    </row>
    <row r="18" spans="1:41" ht="409.5">
      <c r="A18" s="201" t="s">
        <v>72</v>
      </c>
      <c r="B18" s="201" t="s">
        <v>63</v>
      </c>
      <c r="C18" s="202" t="s">
        <v>48</v>
      </c>
      <c r="D18" s="156">
        <v>0</v>
      </c>
      <c r="E18" s="158">
        <v>0</v>
      </c>
      <c r="F18" s="156">
        <v>0</v>
      </c>
      <c r="G18" s="158">
        <v>0</v>
      </c>
      <c r="H18" s="156">
        <v>0</v>
      </c>
      <c r="I18" s="158">
        <v>0</v>
      </c>
      <c r="J18" s="156">
        <v>0</v>
      </c>
      <c r="K18" s="158">
        <v>0</v>
      </c>
      <c r="L18" s="156">
        <v>0</v>
      </c>
      <c r="M18" s="158">
        <v>0</v>
      </c>
      <c r="N18" s="156">
        <v>18494</v>
      </c>
      <c r="O18" s="158">
        <v>16646</v>
      </c>
      <c r="P18" s="188">
        <f t="shared" si="0"/>
        <v>18494</v>
      </c>
      <c r="Q18" s="189">
        <f t="shared" si="0"/>
        <v>16646</v>
      </c>
      <c r="R18" s="156">
        <v>1581</v>
      </c>
      <c r="S18" s="158">
        <v>1581</v>
      </c>
      <c r="T18" s="156">
        <v>7</v>
      </c>
      <c r="U18" s="158">
        <v>7</v>
      </c>
      <c r="V18" s="156">
        <v>0</v>
      </c>
      <c r="W18" s="158">
        <v>0</v>
      </c>
      <c r="X18" s="156">
        <v>0</v>
      </c>
      <c r="Y18" s="158">
        <v>0</v>
      </c>
      <c r="Z18" s="190">
        <f t="shared" si="1"/>
        <v>1588</v>
      </c>
      <c r="AA18" s="203">
        <f t="shared" si="2"/>
        <v>1588</v>
      </c>
      <c r="AB18" s="191">
        <f t="shared" si="3"/>
        <v>20082</v>
      </c>
      <c r="AC18" s="191">
        <f t="shared" si="3"/>
        <v>18234</v>
      </c>
      <c r="AD18" s="90" t="s">
        <v>90</v>
      </c>
      <c r="AE18" s="90" t="s">
        <v>90</v>
      </c>
      <c r="AF18" s="90" t="s">
        <v>90</v>
      </c>
      <c r="AG18" s="90" t="s">
        <v>90</v>
      </c>
      <c r="AH18" s="90" t="s">
        <v>90</v>
      </c>
      <c r="AI18" s="90" t="s">
        <v>90</v>
      </c>
      <c r="AJ18" s="195">
        <f t="shared" si="4"/>
        <v>0</v>
      </c>
      <c r="AK18" s="90" t="s">
        <v>90</v>
      </c>
      <c r="AL18" s="90" t="s">
        <v>90</v>
      </c>
      <c r="AM18" s="197">
        <f t="shared" si="5"/>
        <v>0</v>
      </c>
      <c r="AN18" s="197">
        <f t="shared" si="6"/>
        <v>0</v>
      </c>
      <c r="AO18" s="204" t="s">
        <v>128</v>
      </c>
    </row>
    <row r="19" spans="1:41" ht="90">
      <c r="A19" s="183" t="s">
        <v>124</v>
      </c>
      <c r="B19" s="183" t="s">
        <v>63</v>
      </c>
      <c r="C19" s="205" t="s">
        <v>48</v>
      </c>
      <c r="D19" s="183">
        <v>13</v>
      </c>
      <c r="E19" s="183">
        <v>11.85</v>
      </c>
      <c r="F19" s="183">
        <v>42</v>
      </c>
      <c r="G19" s="183">
        <v>40.93</v>
      </c>
      <c r="H19" s="183">
        <v>104</v>
      </c>
      <c r="I19" s="183">
        <v>101.61</v>
      </c>
      <c r="J19" s="183">
        <v>37</v>
      </c>
      <c r="K19" s="185">
        <v>37</v>
      </c>
      <c r="L19" s="183">
        <v>4</v>
      </c>
      <c r="M19" s="185">
        <v>3.6</v>
      </c>
      <c r="N19" s="183">
        <v>9</v>
      </c>
      <c r="O19" s="185">
        <v>9</v>
      </c>
      <c r="P19" s="188">
        <f t="shared" si="0"/>
        <v>209</v>
      </c>
      <c r="Q19" s="189">
        <f t="shared" si="0"/>
        <v>203.98999999999998</v>
      </c>
      <c r="R19" s="183">
        <v>5</v>
      </c>
      <c r="S19" s="187">
        <v>5</v>
      </c>
      <c r="T19" s="183">
        <v>0</v>
      </c>
      <c r="U19" s="187">
        <v>0</v>
      </c>
      <c r="V19" s="183">
        <v>8</v>
      </c>
      <c r="W19" s="187">
        <v>7.8</v>
      </c>
      <c r="X19" s="183">
        <v>0</v>
      </c>
      <c r="Y19" s="187">
        <v>0</v>
      </c>
      <c r="Z19" s="190">
        <f t="shared" si="1"/>
        <v>13</v>
      </c>
      <c r="AA19" s="199">
        <f t="shared" si="2"/>
        <v>12.8</v>
      </c>
      <c r="AB19" s="191">
        <f t="shared" si="3"/>
        <v>222</v>
      </c>
      <c r="AC19" s="192">
        <f t="shared" si="3"/>
        <v>216.79</v>
      </c>
      <c r="AD19" s="193">
        <v>658175.82</v>
      </c>
      <c r="AE19" s="194">
        <v>54274.99</v>
      </c>
      <c r="AF19" s="196">
        <v>0</v>
      </c>
      <c r="AG19" s="194">
        <v>3878.23</v>
      </c>
      <c r="AH19" s="194">
        <v>129144.45</v>
      </c>
      <c r="AI19" s="194">
        <v>61398.98</v>
      </c>
      <c r="AJ19" s="195">
        <f t="shared" si="4"/>
        <v>906872.4699999999</v>
      </c>
      <c r="AK19" s="196">
        <v>63206.64</v>
      </c>
      <c r="AL19" s="196">
        <v>0</v>
      </c>
      <c r="AM19" s="197">
        <f t="shared" si="5"/>
        <v>63206.64</v>
      </c>
      <c r="AN19" s="197">
        <f t="shared" si="6"/>
        <v>970079.1099999999</v>
      </c>
      <c r="AO19" s="198"/>
    </row>
  </sheetData>
  <mergeCells count="32">
    <mergeCell ref="AJ5:AJ6"/>
    <mergeCell ref="AK5:AK6"/>
    <mergeCell ref="AL5:AL6"/>
    <mergeCell ref="AM5:AM6"/>
    <mergeCell ref="AF5:AF6"/>
    <mergeCell ref="AG5:AG6"/>
    <mergeCell ref="AH5:AH6"/>
    <mergeCell ref="AI5:AI6"/>
    <mergeCell ref="AN4:AN6"/>
    <mergeCell ref="AO4:AO6"/>
    <mergeCell ref="D5:E5"/>
    <mergeCell ref="F5:G5"/>
    <mergeCell ref="H5:I5"/>
    <mergeCell ref="J5:K5"/>
    <mergeCell ref="L5:M5"/>
    <mergeCell ref="N5:O5"/>
    <mergeCell ref="P5:Q5"/>
    <mergeCell ref="R5:S5"/>
    <mergeCell ref="R4:AA4"/>
    <mergeCell ref="AB4:AC5"/>
    <mergeCell ref="AD4:AJ4"/>
    <mergeCell ref="AK4:AM4"/>
    <mergeCell ref="T5:U5"/>
    <mergeCell ref="V5:W5"/>
    <mergeCell ref="X5:Y5"/>
    <mergeCell ref="Z5:AA5"/>
    <mergeCell ref="AD5:AD6"/>
    <mergeCell ref="AE5:AE6"/>
    <mergeCell ref="A4:A6"/>
    <mergeCell ref="B4:B6"/>
    <mergeCell ref="C4:C6"/>
    <mergeCell ref="D4:Q4"/>
  </mergeCells>
  <conditionalFormatting sqref="B7:B19">
    <cfRule type="expression" priority="1" dxfId="22" stopIfTrue="1">
      <formula>AND(NOT(ISBLANK($A7)),ISBLANK(B7))</formula>
    </cfRule>
  </conditionalFormatting>
  <conditionalFormatting sqref="C7:C19">
    <cfRule type="expression" priority="2" dxfId="22" stopIfTrue="1">
      <formula>AND(NOT(ISBLANK(A7)),ISBLANK(C7))</formula>
    </cfRule>
  </conditionalFormatting>
  <conditionalFormatting sqref="N7:N19 X7:X19 F7:F19 H7:H19 J7:J19 L7:L19 D7:D19 T7:T19 V7:V19 R7:R19">
    <cfRule type="expression" priority="3" dxfId="22" stopIfTrue="1">
      <formula>AND(NOT(ISBLANK(E7)),ISBLANK(D7))</formula>
    </cfRule>
  </conditionalFormatting>
  <conditionalFormatting sqref="O7:O19 S7:S19 G7:G19 I7:I19 K7:K19 M7:M19 E7:E19 U7:U19 W7:W19 Y7:Y19 AD18:AI18 AK18:AL18">
    <cfRule type="expression" priority="4" dxfId="22" stopIfTrue="1">
      <formula>AND(NOT(ISBLANK(D7)),ISBLANK(E7))</formula>
    </cfRule>
  </conditionalFormatting>
  <dataValidations count="8">
    <dataValidation type="custom" allowBlank="1" showInputMessage="1" showErrorMessage="1" errorTitle="FTE" error="The value entered in the FTE field must be less than or equal to the value entered in the headcount field." sqref="O7:O18 S7:S18 E7:E18 G7:G18 I7:I18 K7:K18 M7:M18 W7:W18 Y7:Y18 U7:U18 AD18:AI18 AK18:AL18">
      <formula1>O7&lt;=N7</formula1>
    </dataValidation>
    <dataValidation type="custom" allowBlank="1" showInputMessage="1" showErrorMessage="1" errorTitle="Headcount" error="The value entered in the headcount field must be greater than or equal to the value entered in the FTE field." sqref="N7:N18 T7:T18 D7:D18 H7:H18 J7:J18 L7:L18 F7:F18 V7:V18 X7:X18 R7:R18">
      <formula1>N7&gt;=O7</formula1>
    </dataValidation>
    <dataValidation operator="lessThanOrEqual" allowBlank="1" showInputMessage="1" showErrorMessage="1" error="FTE cannot be greater than Headcount&#10;" sqref="AB6:AC19 AO4 P7:Q19 R4 A4:C4 P5 AB4 AO7:AO19"/>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19">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19">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19">
      <formula1>INDIRECT("Main_Department")</formula1>
    </dataValidation>
    <dataValidation type="decimal" operator="greaterThanOrEqual" allowBlank="1" showInputMessage="1" showErrorMessage="1" sqref="AD7:AI17 AK7:AL17 AF19 AL19">
      <formula1>0</formula1>
    </dataValidation>
    <dataValidation type="decimal" operator="greaterThan" allowBlank="1" showInputMessage="1" showErrorMessage="1" sqref="AD19:AE19 AG19:AI19">
      <formula1>0</formula1>
    </dataValidation>
  </dataValidations>
  <printOptions/>
  <pageMargins left="0.75" right="0.75" top="1" bottom="1" header="0.5" footer="0.5"/>
  <pageSetup orientation="portrait" paperSize="9"/>
  <legacyDrawing r:id="rId2"/>
</worksheet>
</file>

<file path=xl/worksheets/sheet13.xml><?xml version="1.0" encoding="utf-8"?>
<worksheet xmlns="http://schemas.openxmlformats.org/spreadsheetml/2006/main" xmlns:r="http://schemas.openxmlformats.org/officeDocument/2006/relationships">
  <dimension ref="A1:AL19"/>
  <sheetViews>
    <sheetView workbookViewId="0" topLeftCell="A1">
      <selection activeCell="G11" sqref="G11"/>
    </sheetView>
  </sheetViews>
  <sheetFormatPr defaultColWidth="8.88671875" defaultRowHeight="15"/>
  <sheetData>
    <row r="1" ht="15">
      <c r="A1" s="2" t="s">
        <v>92</v>
      </c>
    </row>
    <row r="2" ht="15">
      <c r="A2" s="24" t="s">
        <v>93</v>
      </c>
    </row>
    <row r="3" ht="15">
      <c r="A3" s="24" t="s">
        <v>94</v>
      </c>
    </row>
    <row r="4" spans="1:38" ht="15">
      <c r="A4" s="349" t="s">
        <v>22</v>
      </c>
      <c r="B4" s="351"/>
      <c r="C4" s="351"/>
      <c r="D4" s="351"/>
      <c r="E4" s="351"/>
      <c r="F4" s="351"/>
      <c r="G4" s="351"/>
      <c r="H4" s="351"/>
      <c r="I4" s="351"/>
      <c r="J4" s="351"/>
      <c r="K4" s="351"/>
      <c r="L4" s="351"/>
      <c r="M4" s="351"/>
      <c r="N4" s="350"/>
      <c r="O4" s="352" t="s">
        <v>29</v>
      </c>
      <c r="P4" s="353"/>
      <c r="Q4" s="353"/>
      <c r="R4" s="353"/>
      <c r="S4" s="353"/>
      <c r="T4" s="353"/>
      <c r="U4" s="353"/>
      <c r="V4" s="353"/>
      <c r="W4" s="353"/>
      <c r="X4" s="354"/>
      <c r="Y4" s="290" t="s">
        <v>39</v>
      </c>
      <c r="Z4" s="291"/>
      <c r="AA4" s="355" t="s">
        <v>25</v>
      </c>
      <c r="AB4" s="356"/>
      <c r="AC4" s="356"/>
      <c r="AD4" s="356"/>
      <c r="AE4" s="356"/>
      <c r="AF4" s="356"/>
      <c r="AG4" s="357"/>
      <c r="AH4" s="343" t="s">
        <v>115</v>
      </c>
      <c r="AI4" s="343"/>
      <c r="AJ4" s="343"/>
      <c r="AK4" s="333" t="s">
        <v>38</v>
      </c>
      <c r="AL4" s="344" t="s">
        <v>129</v>
      </c>
    </row>
    <row r="5" spans="1:38" ht="15">
      <c r="A5" s="347" t="s">
        <v>116</v>
      </c>
      <c r="B5" s="348"/>
      <c r="C5" s="347" t="s">
        <v>117</v>
      </c>
      <c r="D5" s="348"/>
      <c r="E5" s="347" t="s">
        <v>118</v>
      </c>
      <c r="F5" s="348"/>
      <c r="G5" s="347" t="s">
        <v>20</v>
      </c>
      <c r="H5" s="348"/>
      <c r="I5" s="347" t="s">
        <v>119</v>
      </c>
      <c r="J5" s="348"/>
      <c r="K5" s="347" t="s">
        <v>19</v>
      </c>
      <c r="L5" s="348"/>
      <c r="M5" s="349" t="s">
        <v>23</v>
      </c>
      <c r="N5" s="350"/>
      <c r="O5" s="349" t="s">
        <v>27</v>
      </c>
      <c r="P5" s="354"/>
      <c r="Q5" s="352" t="s">
        <v>17</v>
      </c>
      <c r="R5" s="354"/>
      <c r="S5" s="352" t="s">
        <v>18</v>
      </c>
      <c r="T5" s="354"/>
      <c r="U5" s="352" t="s">
        <v>28</v>
      </c>
      <c r="V5" s="354"/>
      <c r="W5" s="349" t="s">
        <v>24</v>
      </c>
      <c r="X5" s="350"/>
      <c r="Y5" s="285"/>
      <c r="Z5" s="286"/>
      <c r="AA5" s="340" t="s">
        <v>31</v>
      </c>
      <c r="AB5" s="340" t="s">
        <v>30</v>
      </c>
      <c r="AC5" s="340" t="s">
        <v>32</v>
      </c>
      <c r="AD5" s="340" t="s">
        <v>33</v>
      </c>
      <c r="AE5" s="340" t="s">
        <v>34</v>
      </c>
      <c r="AF5" s="340" t="s">
        <v>35</v>
      </c>
      <c r="AG5" s="342" t="s">
        <v>37</v>
      </c>
      <c r="AH5" s="340" t="s">
        <v>120</v>
      </c>
      <c r="AI5" s="340" t="s">
        <v>121</v>
      </c>
      <c r="AJ5" s="340" t="s">
        <v>36</v>
      </c>
      <c r="AK5" s="334"/>
      <c r="AL5" s="345"/>
    </row>
    <row r="6" spans="1:38" ht="30">
      <c r="A6" s="206" t="s">
        <v>16</v>
      </c>
      <c r="B6" s="206" t="s">
        <v>21</v>
      </c>
      <c r="C6" s="206" t="s">
        <v>16</v>
      </c>
      <c r="D6" s="206" t="s">
        <v>21</v>
      </c>
      <c r="E6" s="206" t="s">
        <v>16</v>
      </c>
      <c r="F6" s="206" t="s">
        <v>21</v>
      </c>
      <c r="G6" s="206" t="s">
        <v>16</v>
      </c>
      <c r="H6" s="206" t="s">
        <v>21</v>
      </c>
      <c r="I6" s="206" t="s">
        <v>16</v>
      </c>
      <c r="J6" s="206" t="s">
        <v>21</v>
      </c>
      <c r="K6" s="206" t="s">
        <v>16</v>
      </c>
      <c r="L6" s="206" t="s">
        <v>21</v>
      </c>
      <c r="M6" s="206" t="s">
        <v>16</v>
      </c>
      <c r="N6" s="206" t="s">
        <v>21</v>
      </c>
      <c r="O6" s="208" t="s">
        <v>16</v>
      </c>
      <c r="P6" s="208" t="s">
        <v>21</v>
      </c>
      <c r="Q6" s="208" t="s">
        <v>16</v>
      </c>
      <c r="R6" s="208" t="s">
        <v>21</v>
      </c>
      <c r="S6" s="208" t="s">
        <v>16</v>
      </c>
      <c r="T6" s="208" t="s">
        <v>21</v>
      </c>
      <c r="U6" s="208" t="s">
        <v>16</v>
      </c>
      <c r="V6" s="208" t="s">
        <v>21</v>
      </c>
      <c r="W6" s="207" t="s">
        <v>16</v>
      </c>
      <c r="X6" s="207" t="s">
        <v>21</v>
      </c>
      <c r="Y6" s="181" t="s">
        <v>16</v>
      </c>
      <c r="Z6" s="180" t="s">
        <v>21</v>
      </c>
      <c r="AA6" s="341"/>
      <c r="AB6" s="341"/>
      <c r="AC6" s="341"/>
      <c r="AD6" s="341"/>
      <c r="AE6" s="341"/>
      <c r="AF6" s="341"/>
      <c r="AG6" s="342"/>
      <c r="AH6" s="341"/>
      <c r="AI6" s="341"/>
      <c r="AJ6" s="341"/>
      <c r="AK6" s="335"/>
      <c r="AL6" s="346"/>
    </row>
    <row r="7" spans="1:38" ht="15">
      <c r="A7" s="209">
        <v>1003</v>
      </c>
      <c r="B7" s="210">
        <v>930.8194188110084</v>
      </c>
      <c r="C7" s="209">
        <v>917</v>
      </c>
      <c r="D7" s="210">
        <v>882.5388983353732</v>
      </c>
      <c r="E7" s="209">
        <v>1601</v>
      </c>
      <c r="F7" s="210">
        <v>1554.6463835541115</v>
      </c>
      <c r="G7" s="209">
        <v>768</v>
      </c>
      <c r="H7" s="210">
        <v>745.2763085124151</v>
      </c>
      <c r="I7" s="209">
        <v>121</v>
      </c>
      <c r="J7" s="210">
        <v>118.65675999999999</v>
      </c>
      <c r="K7" s="211">
        <v>0</v>
      </c>
      <c r="L7" s="210">
        <v>0</v>
      </c>
      <c r="M7" s="212">
        <v>4410</v>
      </c>
      <c r="N7" s="213">
        <v>4231.937769212908</v>
      </c>
      <c r="O7" s="125">
        <v>175</v>
      </c>
      <c r="P7" s="126">
        <v>173.09</v>
      </c>
      <c r="Q7" s="125">
        <v>13</v>
      </c>
      <c r="R7" s="126">
        <v>13</v>
      </c>
      <c r="S7" s="125">
        <v>190</v>
      </c>
      <c r="T7" s="126">
        <v>188.25</v>
      </c>
      <c r="U7" s="125">
        <v>0</v>
      </c>
      <c r="V7" s="126">
        <v>0</v>
      </c>
      <c r="W7" s="214">
        <v>378</v>
      </c>
      <c r="X7" s="215">
        <v>374.34</v>
      </c>
      <c r="Y7" s="216">
        <v>4788</v>
      </c>
      <c r="Z7" s="217">
        <v>4606.277769212908</v>
      </c>
      <c r="AA7" s="48">
        <v>12679529.094999999</v>
      </c>
      <c r="AB7" s="48">
        <v>268530.71</v>
      </c>
      <c r="AC7" s="49">
        <v>47037.04</v>
      </c>
      <c r="AD7" s="48">
        <v>53356.15</v>
      </c>
      <c r="AE7" s="48">
        <v>2487314.1624999996</v>
      </c>
      <c r="AF7" s="48">
        <v>1108499.1425</v>
      </c>
      <c r="AG7" s="218">
        <v>16644266.299999999</v>
      </c>
      <c r="AH7" s="48">
        <v>2711836.18</v>
      </c>
      <c r="AI7" s="48">
        <v>482095.37</v>
      </c>
      <c r="AJ7" s="218">
        <v>3193931.55</v>
      </c>
      <c r="AK7" s="218">
        <v>19838197.849999998</v>
      </c>
      <c r="AL7" s="219"/>
    </row>
    <row r="8" spans="1:38" ht="60">
      <c r="A8" s="209">
        <v>13646</v>
      </c>
      <c r="B8" s="210">
        <v>11928.341585465532</v>
      </c>
      <c r="C8" s="209">
        <v>3035</v>
      </c>
      <c r="D8" s="210">
        <v>2833.849531831832</v>
      </c>
      <c r="E8" s="209">
        <v>2490</v>
      </c>
      <c r="F8" s="210">
        <v>2310.163044324321</v>
      </c>
      <c r="G8" s="209">
        <v>640</v>
      </c>
      <c r="H8" s="210">
        <v>623.5012213513512</v>
      </c>
      <c r="I8" s="209">
        <v>34</v>
      </c>
      <c r="J8" s="210">
        <v>33.972972972972975</v>
      </c>
      <c r="K8" s="211">
        <v>0</v>
      </c>
      <c r="L8" s="210">
        <v>0</v>
      </c>
      <c r="M8" s="212">
        <v>19845</v>
      </c>
      <c r="N8" s="213">
        <v>17729.828355946007</v>
      </c>
      <c r="O8" s="90" t="s">
        <v>90</v>
      </c>
      <c r="P8" s="220">
        <v>505.2</v>
      </c>
      <c r="Q8" s="135">
        <v>0</v>
      </c>
      <c r="R8" s="220">
        <v>0</v>
      </c>
      <c r="S8" s="135">
        <v>0</v>
      </c>
      <c r="T8" s="220">
        <v>0</v>
      </c>
      <c r="U8" s="137">
        <v>0</v>
      </c>
      <c r="V8" s="220">
        <v>0</v>
      </c>
      <c r="W8" s="221">
        <v>0</v>
      </c>
      <c r="X8" s="222">
        <v>505.2</v>
      </c>
      <c r="Y8" s="216">
        <v>19845</v>
      </c>
      <c r="Z8" s="217">
        <v>18235.028355946008</v>
      </c>
      <c r="AA8" s="104">
        <v>33880791.51</v>
      </c>
      <c r="AB8" s="48">
        <v>588590.78</v>
      </c>
      <c r="AC8" s="48">
        <v>100396.91</v>
      </c>
      <c r="AD8" s="48">
        <v>388678.62</v>
      </c>
      <c r="AE8" s="48">
        <v>6029868.53</v>
      </c>
      <c r="AF8" s="48">
        <v>2268438.73</v>
      </c>
      <c r="AG8" s="218">
        <v>43256765.07999999</v>
      </c>
      <c r="AH8" s="223">
        <v>1409755.15</v>
      </c>
      <c r="AI8" s="48">
        <v>0</v>
      </c>
      <c r="AJ8" s="218">
        <v>1409755.15</v>
      </c>
      <c r="AK8" s="218">
        <v>44666520.22999999</v>
      </c>
      <c r="AL8" s="224" t="s">
        <v>130</v>
      </c>
    </row>
    <row r="9" spans="1:38" ht="15">
      <c r="A9" s="132">
        <v>196</v>
      </c>
      <c r="B9" s="133">
        <v>175.23</v>
      </c>
      <c r="C9" s="132">
        <v>128</v>
      </c>
      <c r="D9" s="133">
        <v>122.53</v>
      </c>
      <c r="E9" s="132">
        <v>262</v>
      </c>
      <c r="F9" s="133">
        <v>254.09</v>
      </c>
      <c r="G9" s="132">
        <v>61</v>
      </c>
      <c r="H9" s="133">
        <v>60.16</v>
      </c>
      <c r="I9" s="132">
        <v>6</v>
      </c>
      <c r="J9" s="133">
        <v>6</v>
      </c>
      <c r="K9" s="132">
        <v>0</v>
      </c>
      <c r="L9" s="133">
        <v>0</v>
      </c>
      <c r="M9" s="212">
        <v>653</v>
      </c>
      <c r="N9" s="213">
        <v>618.01</v>
      </c>
      <c r="O9" s="117">
        <v>8</v>
      </c>
      <c r="P9" s="134">
        <v>6.6</v>
      </c>
      <c r="Q9" s="63">
        <v>0</v>
      </c>
      <c r="R9" s="134">
        <v>0</v>
      </c>
      <c r="S9" s="63">
        <v>16</v>
      </c>
      <c r="T9" s="134">
        <v>15</v>
      </c>
      <c r="U9" s="63">
        <v>0</v>
      </c>
      <c r="V9" s="134">
        <v>0</v>
      </c>
      <c r="W9" s="214">
        <v>24</v>
      </c>
      <c r="X9" s="215">
        <v>21.6</v>
      </c>
      <c r="Y9" s="216">
        <v>677</v>
      </c>
      <c r="Z9" s="217">
        <v>639.61</v>
      </c>
      <c r="AA9" s="98">
        <v>1526157.72</v>
      </c>
      <c r="AB9" s="98">
        <v>10669.79</v>
      </c>
      <c r="AC9" s="98">
        <v>7800</v>
      </c>
      <c r="AD9" s="98">
        <v>16942.91</v>
      </c>
      <c r="AE9" s="98">
        <v>275970.42</v>
      </c>
      <c r="AF9" s="98">
        <v>131487.8</v>
      </c>
      <c r="AG9" s="218">
        <v>1969028.64</v>
      </c>
      <c r="AH9" s="108">
        <v>88796.37</v>
      </c>
      <c r="AI9" s="48">
        <v>0</v>
      </c>
      <c r="AJ9" s="218">
        <v>88796.37</v>
      </c>
      <c r="AK9" s="218">
        <v>2057825.01</v>
      </c>
      <c r="AL9" s="219"/>
    </row>
    <row r="10" spans="1:38" ht="60">
      <c r="A10" s="225">
        <v>34108</v>
      </c>
      <c r="B10" s="226">
        <v>32540.242416954443</v>
      </c>
      <c r="C10" s="225">
        <v>6278</v>
      </c>
      <c r="D10" s="226">
        <v>6001.706066291404</v>
      </c>
      <c r="E10" s="225">
        <v>3677</v>
      </c>
      <c r="F10" s="226">
        <v>3443.5116960648606</v>
      </c>
      <c r="G10" s="225">
        <v>612</v>
      </c>
      <c r="H10" s="226">
        <v>596.5117484141874</v>
      </c>
      <c r="I10" s="225">
        <v>38</v>
      </c>
      <c r="J10" s="226">
        <v>37.8780487804878</v>
      </c>
      <c r="K10" s="135">
        <v>0</v>
      </c>
      <c r="L10" s="136">
        <v>0</v>
      </c>
      <c r="M10" s="212">
        <v>44713</v>
      </c>
      <c r="N10" s="213">
        <v>42619.849976505386</v>
      </c>
      <c r="O10" s="90" t="s">
        <v>90</v>
      </c>
      <c r="P10" s="227">
        <v>294.83</v>
      </c>
      <c r="Q10" s="225">
        <v>0</v>
      </c>
      <c r="R10" s="227">
        <v>0</v>
      </c>
      <c r="S10" s="225">
        <v>9</v>
      </c>
      <c r="T10" s="227">
        <v>9</v>
      </c>
      <c r="U10" s="225">
        <v>4</v>
      </c>
      <c r="V10" s="227">
        <v>4</v>
      </c>
      <c r="W10" s="228">
        <v>13</v>
      </c>
      <c r="X10" s="215">
        <v>307.83</v>
      </c>
      <c r="Y10" s="216">
        <v>44726</v>
      </c>
      <c r="Z10" s="217">
        <v>42927.67997650539</v>
      </c>
      <c r="AA10" s="104">
        <v>105691642.97000004</v>
      </c>
      <c r="AB10" s="48">
        <v>0</v>
      </c>
      <c r="AC10" s="48">
        <v>0</v>
      </c>
      <c r="AD10" s="48">
        <v>4691546.87</v>
      </c>
      <c r="AE10" s="48">
        <v>19795167.650000006</v>
      </c>
      <c r="AF10" s="48">
        <v>8543039.919999996</v>
      </c>
      <c r="AG10" s="218">
        <v>138721397.41000006</v>
      </c>
      <c r="AH10" s="104">
        <v>2548696.91</v>
      </c>
      <c r="AI10" s="48">
        <v>14565.56</v>
      </c>
      <c r="AJ10" s="218">
        <v>2563262.47</v>
      </c>
      <c r="AK10" s="218">
        <v>141284659.88000005</v>
      </c>
      <c r="AL10" s="200" t="s">
        <v>110</v>
      </c>
    </row>
    <row r="11" spans="1:38" ht="60">
      <c r="A11" s="209">
        <v>283</v>
      </c>
      <c r="B11" s="210">
        <v>267.6881181081082</v>
      </c>
      <c r="C11" s="209">
        <v>142</v>
      </c>
      <c r="D11" s="210">
        <v>134.94115297297293</v>
      </c>
      <c r="E11" s="209">
        <v>64</v>
      </c>
      <c r="F11" s="210">
        <v>62.0878308108108</v>
      </c>
      <c r="G11" s="209">
        <v>10</v>
      </c>
      <c r="H11" s="210">
        <v>9.795192972972973</v>
      </c>
      <c r="I11" s="209">
        <v>1</v>
      </c>
      <c r="J11" s="210">
        <v>0.77838</v>
      </c>
      <c r="K11" s="211">
        <v>0</v>
      </c>
      <c r="L11" s="210">
        <v>0</v>
      </c>
      <c r="M11" s="212">
        <v>500</v>
      </c>
      <c r="N11" s="213">
        <v>475.29067486486497</v>
      </c>
      <c r="O11" s="229">
        <v>180</v>
      </c>
      <c r="P11" s="227">
        <v>136.61</v>
      </c>
      <c r="Q11" s="225">
        <v>0</v>
      </c>
      <c r="R11" s="227">
        <v>0</v>
      </c>
      <c r="S11" s="225">
        <v>0</v>
      </c>
      <c r="T11" s="227">
        <v>0</v>
      </c>
      <c r="U11" s="225">
        <v>0</v>
      </c>
      <c r="V11" s="227">
        <v>0</v>
      </c>
      <c r="W11" s="214">
        <v>180</v>
      </c>
      <c r="X11" s="215">
        <v>136.61</v>
      </c>
      <c r="Y11" s="216">
        <v>680</v>
      </c>
      <c r="Z11" s="217">
        <v>611.900674864865</v>
      </c>
      <c r="AA11" s="104">
        <v>829311.21</v>
      </c>
      <c r="AB11" s="48">
        <v>22913.87</v>
      </c>
      <c r="AC11" s="48">
        <v>15330</v>
      </c>
      <c r="AD11" s="48">
        <v>33812.97</v>
      </c>
      <c r="AE11" s="48">
        <v>135968.91</v>
      </c>
      <c r="AF11" s="48">
        <v>62543.76</v>
      </c>
      <c r="AG11" s="218">
        <v>1099880.72</v>
      </c>
      <c r="AH11" s="104">
        <v>280703.38</v>
      </c>
      <c r="AI11" s="48">
        <v>0</v>
      </c>
      <c r="AJ11" s="218">
        <v>280703.38</v>
      </c>
      <c r="AK11" s="218">
        <v>1380584.1</v>
      </c>
      <c r="AL11" s="230" t="s">
        <v>113</v>
      </c>
    </row>
    <row r="12" spans="1:38" ht="306">
      <c r="A12" s="132">
        <v>0</v>
      </c>
      <c r="B12" s="133">
        <v>0</v>
      </c>
      <c r="C12" s="132">
        <v>0</v>
      </c>
      <c r="D12" s="133">
        <v>0</v>
      </c>
      <c r="E12" s="132">
        <v>0</v>
      </c>
      <c r="F12" s="133">
        <v>0</v>
      </c>
      <c r="G12" s="132">
        <v>0</v>
      </c>
      <c r="H12" s="133">
        <v>0</v>
      </c>
      <c r="I12" s="132">
        <v>0</v>
      </c>
      <c r="J12" s="133">
        <v>0</v>
      </c>
      <c r="K12" s="231">
        <v>72</v>
      </c>
      <c r="L12" s="231">
        <v>66.38</v>
      </c>
      <c r="M12" s="212">
        <v>72</v>
      </c>
      <c r="N12" s="232">
        <v>66.38</v>
      </c>
      <c r="O12" s="114">
        <v>2</v>
      </c>
      <c r="P12" s="126">
        <v>2</v>
      </c>
      <c r="Q12" s="225">
        <v>0</v>
      </c>
      <c r="R12" s="227">
        <v>0</v>
      </c>
      <c r="S12" s="225">
        <v>0</v>
      </c>
      <c r="T12" s="227">
        <v>0</v>
      </c>
      <c r="U12" s="225">
        <v>0</v>
      </c>
      <c r="V12" s="227">
        <v>0</v>
      </c>
      <c r="W12" s="214">
        <v>2</v>
      </c>
      <c r="X12" s="215">
        <v>2</v>
      </c>
      <c r="Y12" s="216">
        <v>74</v>
      </c>
      <c r="Z12" s="233">
        <v>68.38</v>
      </c>
      <c r="AA12" s="104">
        <v>247411</v>
      </c>
      <c r="AB12" s="48">
        <v>57</v>
      </c>
      <c r="AC12" s="48">
        <v>0</v>
      </c>
      <c r="AD12" s="48">
        <v>0</v>
      </c>
      <c r="AE12" s="48">
        <v>35627</v>
      </c>
      <c r="AF12" s="48">
        <v>19413</v>
      </c>
      <c r="AG12" s="218">
        <v>302508</v>
      </c>
      <c r="AH12" s="234">
        <v>7402</v>
      </c>
      <c r="AI12" s="48">
        <v>0</v>
      </c>
      <c r="AJ12" s="218">
        <v>7402</v>
      </c>
      <c r="AK12" s="235">
        <v>309910</v>
      </c>
      <c r="AL12" s="236" t="s">
        <v>64</v>
      </c>
    </row>
    <row r="13" spans="1:38" ht="15">
      <c r="A13" s="132">
        <v>0</v>
      </c>
      <c r="B13" s="133">
        <v>0</v>
      </c>
      <c r="C13" s="132">
        <v>0</v>
      </c>
      <c r="D13" s="133">
        <v>0</v>
      </c>
      <c r="E13" s="132">
        <v>0</v>
      </c>
      <c r="F13" s="133">
        <v>0</v>
      </c>
      <c r="G13" s="132">
        <v>0</v>
      </c>
      <c r="H13" s="133">
        <v>0</v>
      </c>
      <c r="I13" s="132">
        <v>0</v>
      </c>
      <c r="J13" s="133">
        <v>0</v>
      </c>
      <c r="K13" s="237">
        <v>362</v>
      </c>
      <c r="L13" s="238">
        <v>337.69</v>
      </c>
      <c r="M13" s="212">
        <v>362</v>
      </c>
      <c r="N13" s="213">
        <v>337.69</v>
      </c>
      <c r="O13" s="114">
        <v>23</v>
      </c>
      <c r="P13" s="126">
        <v>22.4</v>
      </c>
      <c r="Q13" s="68">
        <v>0</v>
      </c>
      <c r="R13" s="126">
        <v>0</v>
      </c>
      <c r="S13" s="68">
        <v>0</v>
      </c>
      <c r="T13" s="126">
        <v>0</v>
      </c>
      <c r="U13" s="68">
        <v>0</v>
      </c>
      <c r="V13" s="126">
        <v>0</v>
      </c>
      <c r="W13" s="228">
        <v>23</v>
      </c>
      <c r="X13" s="215">
        <v>22.4</v>
      </c>
      <c r="Y13" s="216">
        <v>385</v>
      </c>
      <c r="Z13" s="217">
        <v>360.09</v>
      </c>
      <c r="AA13" s="104">
        <v>766365.36</v>
      </c>
      <c r="AB13" s="48">
        <v>857.73</v>
      </c>
      <c r="AC13" s="48">
        <v>0</v>
      </c>
      <c r="AD13" s="48">
        <v>5459.19</v>
      </c>
      <c r="AE13" s="48">
        <v>137561.78</v>
      </c>
      <c r="AF13" s="48">
        <v>53057.93</v>
      </c>
      <c r="AG13" s="218">
        <v>963301.99</v>
      </c>
      <c r="AH13" s="104">
        <v>80027.9</v>
      </c>
      <c r="AI13" s="239">
        <v>2000</v>
      </c>
      <c r="AJ13" s="218">
        <v>82027.9</v>
      </c>
      <c r="AK13" s="218">
        <v>1045329.89</v>
      </c>
      <c r="AL13" s="240" t="s">
        <v>131</v>
      </c>
    </row>
    <row r="14" spans="1:38" ht="15">
      <c r="A14" s="135">
        <v>11</v>
      </c>
      <c r="B14" s="136">
        <v>11</v>
      </c>
      <c r="C14" s="135">
        <v>19</v>
      </c>
      <c r="D14" s="136">
        <v>18</v>
      </c>
      <c r="E14" s="135">
        <v>25</v>
      </c>
      <c r="F14" s="136">
        <v>24.69</v>
      </c>
      <c r="G14" s="135">
        <v>13</v>
      </c>
      <c r="H14" s="136">
        <v>12.2</v>
      </c>
      <c r="I14" s="135">
        <v>3</v>
      </c>
      <c r="J14" s="136">
        <v>3</v>
      </c>
      <c r="K14" s="135">
        <v>1</v>
      </c>
      <c r="L14" s="136">
        <v>0.4</v>
      </c>
      <c r="M14" s="212">
        <v>72</v>
      </c>
      <c r="N14" s="213">
        <v>69.29</v>
      </c>
      <c r="O14" s="117"/>
      <c r="P14" s="134">
        <v>0</v>
      </c>
      <c r="Q14" s="63">
        <v>0</v>
      </c>
      <c r="R14" s="134">
        <v>0</v>
      </c>
      <c r="S14" s="63">
        <v>0</v>
      </c>
      <c r="T14" s="134">
        <v>0</v>
      </c>
      <c r="U14" s="63">
        <v>0</v>
      </c>
      <c r="V14" s="134">
        <v>0</v>
      </c>
      <c r="W14" s="214">
        <v>0</v>
      </c>
      <c r="X14" s="215">
        <v>0</v>
      </c>
      <c r="Y14" s="216">
        <v>72</v>
      </c>
      <c r="Z14" s="217">
        <v>69.29</v>
      </c>
      <c r="AA14" s="104">
        <v>191657.46</v>
      </c>
      <c r="AB14" s="48">
        <v>2148.12</v>
      </c>
      <c r="AC14" s="48">
        <v>300</v>
      </c>
      <c r="AD14" s="48">
        <v>0</v>
      </c>
      <c r="AE14" s="48">
        <v>35960.95</v>
      </c>
      <c r="AF14" s="48">
        <v>16411.45</v>
      </c>
      <c r="AG14" s="218">
        <v>246477.98</v>
      </c>
      <c r="AH14" s="239"/>
      <c r="AI14" s="48">
        <v>0</v>
      </c>
      <c r="AJ14" s="218">
        <v>0</v>
      </c>
      <c r="AK14" s="218">
        <v>246477.98</v>
      </c>
      <c r="AL14" s="219"/>
    </row>
    <row r="15" spans="1:38" ht="156">
      <c r="A15" s="132">
        <v>0</v>
      </c>
      <c r="B15" s="133">
        <v>0</v>
      </c>
      <c r="C15" s="132">
        <v>0</v>
      </c>
      <c r="D15" s="133">
        <v>0</v>
      </c>
      <c r="E15" s="132">
        <v>0</v>
      </c>
      <c r="F15" s="133">
        <v>0</v>
      </c>
      <c r="G15" s="132">
        <v>0</v>
      </c>
      <c r="H15" s="133">
        <v>0</v>
      </c>
      <c r="I15" s="132">
        <v>0</v>
      </c>
      <c r="J15" s="133">
        <v>0</v>
      </c>
      <c r="K15" s="241">
        <v>29</v>
      </c>
      <c r="L15" s="242">
        <v>28.8</v>
      </c>
      <c r="M15" s="212">
        <v>29</v>
      </c>
      <c r="N15" s="213">
        <v>28.8</v>
      </c>
      <c r="O15" s="117">
        <v>0</v>
      </c>
      <c r="P15" s="134">
        <v>0</v>
      </c>
      <c r="Q15" s="63">
        <v>0</v>
      </c>
      <c r="R15" s="134">
        <v>0</v>
      </c>
      <c r="S15" s="63">
        <v>0</v>
      </c>
      <c r="T15" s="134">
        <v>0</v>
      </c>
      <c r="U15" s="63">
        <v>0</v>
      </c>
      <c r="V15" s="134">
        <v>0</v>
      </c>
      <c r="W15" s="214">
        <v>0</v>
      </c>
      <c r="X15" s="215">
        <v>0</v>
      </c>
      <c r="Y15" s="216">
        <v>29</v>
      </c>
      <c r="Z15" s="217">
        <v>28.8</v>
      </c>
      <c r="AA15" s="108">
        <v>136276.44</v>
      </c>
      <c r="AB15" s="48">
        <v>0</v>
      </c>
      <c r="AC15" s="48">
        <v>0</v>
      </c>
      <c r="AD15" s="48">
        <v>0</v>
      </c>
      <c r="AE15" s="98">
        <v>30275.01</v>
      </c>
      <c r="AF15" s="98">
        <v>16337.03</v>
      </c>
      <c r="AG15" s="218">
        <v>182888.48</v>
      </c>
      <c r="AH15" s="239"/>
      <c r="AI15" s="48">
        <v>0</v>
      </c>
      <c r="AJ15" s="218">
        <v>0</v>
      </c>
      <c r="AK15" s="218">
        <v>182888.48</v>
      </c>
      <c r="AL15" s="128" t="s">
        <v>69</v>
      </c>
    </row>
    <row r="16" spans="1:38" ht="15">
      <c r="A16" s="241">
        <v>798</v>
      </c>
      <c r="B16" s="242">
        <v>754.44</v>
      </c>
      <c r="C16" s="241">
        <v>265</v>
      </c>
      <c r="D16" s="242">
        <v>255.21</v>
      </c>
      <c r="E16" s="241">
        <v>398</v>
      </c>
      <c r="F16" s="242">
        <v>380.57</v>
      </c>
      <c r="G16" s="241">
        <v>112</v>
      </c>
      <c r="H16" s="242">
        <v>110.27</v>
      </c>
      <c r="I16" s="241">
        <v>19</v>
      </c>
      <c r="J16" s="242">
        <v>12.6</v>
      </c>
      <c r="K16" s="241">
        <v>0</v>
      </c>
      <c r="L16" s="242">
        <v>0</v>
      </c>
      <c r="M16" s="212">
        <v>1592</v>
      </c>
      <c r="N16" s="213">
        <v>1513.09</v>
      </c>
      <c r="O16" s="243">
        <v>32</v>
      </c>
      <c r="P16" s="244">
        <v>30.1</v>
      </c>
      <c r="Q16" s="241">
        <v>0</v>
      </c>
      <c r="R16" s="244">
        <v>0</v>
      </c>
      <c r="S16" s="241">
        <v>73</v>
      </c>
      <c r="T16" s="244">
        <v>71.7</v>
      </c>
      <c r="U16" s="241">
        <v>0</v>
      </c>
      <c r="V16" s="244">
        <v>0</v>
      </c>
      <c r="W16" s="228">
        <v>105</v>
      </c>
      <c r="X16" s="215">
        <v>101.8</v>
      </c>
      <c r="Y16" s="216">
        <v>1697</v>
      </c>
      <c r="Z16" s="217">
        <v>1614.89</v>
      </c>
      <c r="AA16" s="108">
        <v>3435557.91</v>
      </c>
      <c r="AB16" s="98"/>
      <c r="AC16" s="98"/>
      <c r="AD16" s="98">
        <v>64896.32</v>
      </c>
      <c r="AE16" s="98"/>
      <c r="AF16" s="98">
        <v>276564.47</v>
      </c>
      <c r="AG16" s="218">
        <v>3777018.7</v>
      </c>
      <c r="AH16" s="108">
        <v>1024995.56</v>
      </c>
      <c r="AI16" s="48">
        <v>0</v>
      </c>
      <c r="AJ16" s="218">
        <v>1024995.56</v>
      </c>
      <c r="AK16" s="218">
        <v>4802014.26</v>
      </c>
      <c r="AL16" s="219"/>
    </row>
    <row r="17" spans="1:38" ht="15">
      <c r="A17" s="135">
        <v>20</v>
      </c>
      <c r="B17" s="136">
        <v>18.79</v>
      </c>
      <c r="C17" s="135">
        <v>47</v>
      </c>
      <c r="D17" s="136">
        <v>46.73</v>
      </c>
      <c r="E17" s="135">
        <v>15</v>
      </c>
      <c r="F17" s="136">
        <v>14.06</v>
      </c>
      <c r="G17" s="135">
        <v>6</v>
      </c>
      <c r="H17" s="136">
        <v>6</v>
      </c>
      <c r="I17" s="135">
        <v>1</v>
      </c>
      <c r="J17" s="136">
        <v>1</v>
      </c>
      <c r="K17" s="135">
        <v>0</v>
      </c>
      <c r="L17" s="136">
        <v>0</v>
      </c>
      <c r="M17" s="212">
        <v>89</v>
      </c>
      <c r="N17" s="213">
        <v>86.58</v>
      </c>
      <c r="O17" s="114">
        <v>7</v>
      </c>
      <c r="P17" s="126">
        <v>7</v>
      </c>
      <c r="Q17" s="68">
        <v>0</v>
      </c>
      <c r="R17" s="126">
        <v>0</v>
      </c>
      <c r="S17" s="68">
        <v>0</v>
      </c>
      <c r="T17" s="126">
        <v>0</v>
      </c>
      <c r="U17" s="68">
        <v>0</v>
      </c>
      <c r="V17" s="126">
        <v>0</v>
      </c>
      <c r="W17" s="228">
        <v>7</v>
      </c>
      <c r="X17" s="215">
        <v>7</v>
      </c>
      <c r="Y17" s="216">
        <v>96</v>
      </c>
      <c r="Z17" s="217">
        <v>93.58</v>
      </c>
      <c r="AA17" s="104">
        <v>180070.22</v>
      </c>
      <c r="AB17" s="48">
        <v>17859.14</v>
      </c>
      <c r="AC17" s="48">
        <v>9030.24</v>
      </c>
      <c r="AD17" s="48">
        <v>4741.69</v>
      </c>
      <c r="AE17" s="48">
        <v>33453.08</v>
      </c>
      <c r="AF17" s="48">
        <v>18551.58</v>
      </c>
      <c r="AG17" s="218">
        <v>263705.95</v>
      </c>
      <c r="AH17" s="104">
        <v>37452.82</v>
      </c>
      <c r="AI17" s="48">
        <v>0</v>
      </c>
      <c r="AJ17" s="218">
        <v>37452.82</v>
      </c>
      <c r="AK17" s="218">
        <v>301158.77</v>
      </c>
      <c r="AL17" s="219"/>
    </row>
    <row r="18" spans="1:38" ht="324">
      <c r="A18" s="135">
        <v>0</v>
      </c>
      <c r="B18" s="136">
        <v>0</v>
      </c>
      <c r="C18" s="135">
        <v>0</v>
      </c>
      <c r="D18" s="136">
        <v>0</v>
      </c>
      <c r="E18" s="135">
        <v>0</v>
      </c>
      <c r="F18" s="136">
        <v>0</v>
      </c>
      <c r="G18" s="135">
        <v>0</v>
      </c>
      <c r="H18" s="136">
        <v>0</v>
      </c>
      <c r="I18" s="135">
        <v>0</v>
      </c>
      <c r="J18" s="136">
        <v>0</v>
      </c>
      <c r="K18" s="135">
        <v>18520</v>
      </c>
      <c r="L18" s="136">
        <v>16676</v>
      </c>
      <c r="M18" s="212">
        <v>18520</v>
      </c>
      <c r="N18" s="213">
        <v>16676</v>
      </c>
      <c r="O18" s="114">
        <v>1544</v>
      </c>
      <c r="P18" s="126">
        <v>1544</v>
      </c>
      <c r="Q18" s="68">
        <v>8</v>
      </c>
      <c r="R18" s="126">
        <v>8</v>
      </c>
      <c r="S18" s="68">
        <v>0</v>
      </c>
      <c r="T18" s="126">
        <v>0</v>
      </c>
      <c r="U18" s="68">
        <v>0</v>
      </c>
      <c r="V18" s="126">
        <v>0</v>
      </c>
      <c r="W18" s="228">
        <v>1552</v>
      </c>
      <c r="X18" s="215">
        <v>1552</v>
      </c>
      <c r="Y18" s="216">
        <v>20072</v>
      </c>
      <c r="Z18" s="217">
        <v>18228</v>
      </c>
      <c r="AA18" s="41" t="s">
        <v>90</v>
      </c>
      <c r="AB18" s="41" t="s">
        <v>90</v>
      </c>
      <c r="AC18" s="41" t="s">
        <v>90</v>
      </c>
      <c r="AD18" s="41" t="s">
        <v>90</v>
      </c>
      <c r="AE18" s="41" t="s">
        <v>90</v>
      </c>
      <c r="AF18" s="41" t="s">
        <v>90</v>
      </c>
      <c r="AG18" s="218">
        <v>0</v>
      </c>
      <c r="AH18" s="41" t="s">
        <v>90</v>
      </c>
      <c r="AI18" s="41" t="s">
        <v>90</v>
      </c>
      <c r="AJ18" s="218">
        <v>0</v>
      </c>
      <c r="AK18" s="218">
        <v>0</v>
      </c>
      <c r="AL18" s="129" t="s">
        <v>132</v>
      </c>
    </row>
    <row r="19" spans="1:38" ht="15">
      <c r="A19" s="225">
        <v>13</v>
      </c>
      <c r="B19" s="226">
        <v>11.85</v>
      </c>
      <c r="C19" s="225">
        <v>41</v>
      </c>
      <c r="D19" s="226">
        <v>39.93</v>
      </c>
      <c r="E19" s="225">
        <v>106</v>
      </c>
      <c r="F19" s="226">
        <v>103.61</v>
      </c>
      <c r="G19" s="225">
        <v>38</v>
      </c>
      <c r="H19" s="226">
        <v>38</v>
      </c>
      <c r="I19" s="225">
        <v>4</v>
      </c>
      <c r="J19" s="226">
        <v>3.6</v>
      </c>
      <c r="K19" s="225">
        <v>9</v>
      </c>
      <c r="L19" s="226">
        <v>9</v>
      </c>
      <c r="M19" s="212">
        <v>211</v>
      </c>
      <c r="N19" s="213">
        <v>205.99</v>
      </c>
      <c r="O19" s="229">
        <v>8</v>
      </c>
      <c r="P19" s="227">
        <v>8</v>
      </c>
      <c r="Q19" s="225">
        <v>0</v>
      </c>
      <c r="R19" s="227">
        <v>0</v>
      </c>
      <c r="S19" s="225">
        <v>8</v>
      </c>
      <c r="T19" s="227">
        <v>7.8</v>
      </c>
      <c r="U19" s="225">
        <v>0</v>
      </c>
      <c r="V19" s="227">
        <v>0</v>
      </c>
      <c r="W19" s="228">
        <v>16</v>
      </c>
      <c r="X19" s="215">
        <v>15.8</v>
      </c>
      <c r="Y19" s="216">
        <v>227</v>
      </c>
      <c r="Z19" s="217">
        <v>221.79</v>
      </c>
      <c r="AA19" s="104">
        <v>629801.32</v>
      </c>
      <c r="AB19" s="48">
        <v>47213.08</v>
      </c>
      <c r="AC19" s="48">
        <v>0</v>
      </c>
      <c r="AD19" s="48">
        <v>11442.77</v>
      </c>
      <c r="AE19" s="48">
        <v>130270.52</v>
      </c>
      <c r="AF19" s="48">
        <v>62193.26</v>
      </c>
      <c r="AG19" s="218">
        <v>880920.95</v>
      </c>
      <c r="AH19" s="245">
        <v>63585.4</v>
      </c>
      <c r="AI19" s="48">
        <v>0</v>
      </c>
      <c r="AJ19" s="218">
        <v>63585.4</v>
      </c>
      <c r="AK19" s="218">
        <v>944506.35</v>
      </c>
      <c r="AL19" s="219"/>
    </row>
  </sheetData>
  <mergeCells count="29">
    <mergeCell ref="A4:N4"/>
    <mergeCell ref="O4:X4"/>
    <mergeCell ref="Y4:Z5"/>
    <mergeCell ref="AA4:AG4"/>
    <mergeCell ref="O5:P5"/>
    <mergeCell ref="Q5:R5"/>
    <mergeCell ref="S5:T5"/>
    <mergeCell ref="U5:V5"/>
    <mergeCell ref="W5:X5"/>
    <mergeCell ref="AA5:AA6"/>
    <mergeCell ref="AH4:AJ4"/>
    <mergeCell ref="AK4:AK6"/>
    <mergeCell ref="AL4:AL6"/>
    <mergeCell ref="A5:B5"/>
    <mergeCell ref="C5:D5"/>
    <mergeCell ref="E5:F5"/>
    <mergeCell ref="G5:H5"/>
    <mergeCell ref="I5:J5"/>
    <mergeCell ref="K5:L5"/>
    <mergeCell ref="M5:N5"/>
    <mergeCell ref="AB5:AB6"/>
    <mergeCell ref="AC5:AC6"/>
    <mergeCell ref="AD5:AD6"/>
    <mergeCell ref="AE5:AE6"/>
    <mergeCell ref="AJ5:AJ6"/>
    <mergeCell ref="AF5:AF6"/>
    <mergeCell ref="AG5:AG6"/>
    <mergeCell ref="AH5:AH6"/>
    <mergeCell ref="AI5:AI6"/>
  </mergeCells>
  <conditionalFormatting sqref="O8 AA18:AF18 AH18:AI18 O10">
    <cfRule type="expression" priority="1" dxfId="22" stopIfTrue="1">
      <formula>AND(NOT(ISBLANK(P8)),ISBLANK(O8))</formula>
    </cfRule>
  </conditionalFormatting>
  <dataValidations count="1">
    <dataValidation type="custom" allowBlank="1" showInputMessage="1" showErrorMessage="1" errorTitle="Headcount" error="The value entered in the headcount field must be greater than or equal to the value entered in the FTE field." sqref="O8 AA18:AF18 AH18:AI18 O10">
      <formula1>O8&gt;=P8</formula1>
    </dataValidation>
  </dataValidation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AO19"/>
  <sheetViews>
    <sheetView zoomScale="75" zoomScaleNormal="75" workbookViewId="0" topLeftCell="X2">
      <selection activeCell="AF14" sqref="AF14"/>
    </sheetView>
  </sheetViews>
  <sheetFormatPr defaultColWidth="8.88671875" defaultRowHeight="15"/>
  <cols>
    <col min="30" max="30" width="13.4453125" style="0" bestFit="1" customWidth="1"/>
    <col min="31" max="31" width="10.88671875" style="0" bestFit="1" customWidth="1"/>
    <col min="32" max="32" width="33.21484375" style="0" bestFit="1" customWidth="1"/>
    <col min="33" max="33" width="15.3359375" style="0" customWidth="1"/>
    <col min="34" max="34" width="25.5546875" style="0" bestFit="1" customWidth="1"/>
    <col min="35" max="35" width="21.6640625" style="0" customWidth="1"/>
    <col min="36" max="36" width="17.21484375" style="0" customWidth="1"/>
    <col min="37" max="37" width="16.99609375" style="0" customWidth="1"/>
    <col min="38" max="38" width="12.88671875" style="0" customWidth="1"/>
    <col min="39" max="39" width="14.10546875" style="0" customWidth="1"/>
    <col min="40" max="40" width="16.4453125" style="0" customWidth="1"/>
    <col min="41" max="41" width="19.5546875" style="0" customWidth="1"/>
  </cols>
  <sheetData>
    <row r="1" ht="15">
      <c r="A1" s="2" t="s">
        <v>92</v>
      </c>
    </row>
    <row r="2" ht="15">
      <c r="A2" s="24" t="s">
        <v>93</v>
      </c>
    </row>
    <row r="3" ht="15">
      <c r="A3" s="24" t="s">
        <v>94</v>
      </c>
    </row>
    <row r="4" spans="1:41" s="118" customFormat="1" ht="15.75">
      <c r="A4" s="358" t="s">
        <v>26</v>
      </c>
      <c r="B4" s="358" t="s">
        <v>15</v>
      </c>
      <c r="C4" s="358" t="s">
        <v>14</v>
      </c>
      <c r="D4" s="361" t="s">
        <v>22</v>
      </c>
      <c r="E4" s="362"/>
      <c r="F4" s="362"/>
      <c r="G4" s="362"/>
      <c r="H4" s="362"/>
      <c r="I4" s="362"/>
      <c r="J4" s="362"/>
      <c r="K4" s="362"/>
      <c r="L4" s="362"/>
      <c r="M4" s="362"/>
      <c r="N4" s="362"/>
      <c r="O4" s="362"/>
      <c r="P4" s="362"/>
      <c r="Q4" s="363"/>
      <c r="R4" s="364" t="s">
        <v>29</v>
      </c>
      <c r="S4" s="365"/>
      <c r="T4" s="365"/>
      <c r="U4" s="365"/>
      <c r="V4" s="365"/>
      <c r="W4" s="365"/>
      <c r="X4" s="365"/>
      <c r="Y4" s="365"/>
      <c r="Z4" s="365"/>
      <c r="AA4" s="366"/>
      <c r="AB4" s="367" t="s">
        <v>39</v>
      </c>
      <c r="AC4" s="368"/>
      <c r="AD4" s="371" t="s">
        <v>25</v>
      </c>
      <c r="AE4" s="372"/>
      <c r="AF4" s="372"/>
      <c r="AG4" s="372"/>
      <c r="AH4" s="372"/>
      <c r="AI4" s="372"/>
      <c r="AJ4" s="373"/>
      <c r="AK4" s="374" t="s">
        <v>115</v>
      </c>
      <c r="AL4" s="374"/>
      <c r="AM4" s="374"/>
      <c r="AN4" s="376" t="s">
        <v>38</v>
      </c>
      <c r="AO4" s="358" t="s">
        <v>125</v>
      </c>
    </row>
    <row r="5" spans="1:41" s="118" customFormat="1" ht="15.75">
      <c r="A5" s="359"/>
      <c r="B5" s="359"/>
      <c r="C5" s="359"/>
      <c r="D5" s="380" t="s">
        <v>116</v>
      </c>
      <c r="E5" s="381"/>
      <c r="F5" s="380" t="s">
        <v>117</v>
      </c>
      <c r="G5" s="381"/>
      <c r="H5" s="380" t="s">
        <v>118</v>
      </c>
      <c r="I5" s="381"/>
      <c r="J5" s="380" t="s">
        <v>20</v>
      </c>
      <c r="K5" s="381"/>
      <c r="L5" s="380" t="s">
        <v>119</v>
      </c>
      <c r="M5" s="381"/>
      <c r="N5" s="380" t="s">
        <v>19</v>
      </c>
      <c r="O5" s="381"/>
      <c r="P5" s="361" t="s">
        <v>23</v>
      </c>
      <c r="Q5" s="363"/>
      <c r="R5" s="361" t="s">
        <v>27</v>
      </c>
      <c r="S5" s="366"/>
      <c r="T5" s="364" t="s">
        <v>17</v>
      </c>
      <c r="U5" s="366"/>
      <c r="V5" s="364" t="s">
        <v>18</v>
      </c>
      <c r="W5" s="366"/>
      <c r="X5" s="364" t="s">
        <v>28</v>
      </c>
      <c r="Y5" s="366"/>
      <c r="Z5" s="361" t="s">
        <v>24</v>
      </c>
      <c r="AA5" s="363"/>
      <c r="AB5" s="369"/>
      <c r="AC5" s="370"/>
      <c r="AD5" s="358" t="s">
        <v>31</v>
      </c>
      <c r="AE5" s="358" t="s">
        <v>30</v>
      </c>
      <c r="AF5" s="358" t="s">
        <v>32</v>
      </c>
      <c r="AG5" s="358" t="s">
        <v>33</v>
      </c>
      <c r="AH5" s="358" t="s">
        <v>34</v>
      </c>
      <c r="AI5" s="358" t="s">
        <v>35</v>
      </c>
      <c r="AJ5" s="382" t="s">
        <v>37</v>
      </c>
      <c r="AK5" s="358" t="s">
        <v>120</v>
      </c>
      <c r="AL5" s="358" t="s">
        <v>121</v>
      </c>
      <c r="AM5" s="358" t="s">
        <v>36</v>
      </c>
      <c r="AN5" s="377"/>
      <c r="AO5" s="379"/>
    </row>
    <row r="6" spans="1:41" s="118" customFormat="1" ht="78.75">
      <c r="A6" s="360"/>
      <c r="B6" s="360"/>
      <c r="C6" s="360"/>
      <c r="D6" s="155" t="s">
        <v>16</v>
      </c>
      <c r="E6" s="155" t="s">
        <v>21</v>
      </c>
      <c r="F6" s="155" t="s">
        <v>16</v>
      </c>
      <c r="G6" s="155" t="s">
        <v>21</v>
      </c>
      <c r="H6" s="155" t="s">
        <v>16</v>
      </c>
      <c r="I6" s="155" t="s">
        <v>21</v>
      </c>
      <c r="J6" s="155" t="s">
        <v>16</v>
      </c>
      <c r="K6" s="155" t="s">
        <v>21</v>
      </c>
      <c r="L6" s="155" t="s">
        <v>16</v>
      </c>
      <c r="M6" s="155" t="s">
        <v>21</v>
      </c>
      <c r="N6" s="155" t="s">
        <v>16</v>
      </c>
      <c r="O6" s="155" t="s">
        <v>21</v>
      </c>
      <c r="P6" s="155" t="s">
        <v>16</v>
      </c>
      <c r="Q6" s="155" t="s">
        <v>21</v>
      </c>
      <c r="R6" s="171" t="s">
        <v>16</v>
      </c>
      <c r="S6" s="171" t="s">
        <v>21</v>
      </c>
      <c r="T6" s="171" t="s">
        <v>16</v>
      </c>
      <c r="U6" s="171" t="s">
        <v>21</v>
      </c>
      <c r="V6" s="171" t="s">
        <v>16</v>
      </c>
      <c r="W6" s="171" t="s">
        <v>21</v>
      </c>
      <c r="X6" s="171" t="s">
        <v>16</v>
      </c>
      <c r="Y6" s="171" t="s">
        <v>21</v>
      </c>
      <c r="Z6" s="171" t="s">
        <v>16</v>
      </c>
      <c r="AA6" s="171" t="s">
        <v>21</v>
      </c>
      <c r="AB6" s="173" t="s">
        <v>16</v>
      </c>
      <c r="AC6" s="172" t="s">
        <v>21</v>
      </c>
      <c r="AD6" s="375"/>
      <c r="AE6" s="375"/>
      <c r="AF6" s="375"/>
      <c r="AG6" s="375"/>
      <c r="AH6" s="375"/>
      <c r="AI6" s="375"/>
      <c r="AJ6" s="382"/>
      <c r="AK6" s="375"/>
      <c r="AL6" s="375"/>
      <c r="AM6" s="375"/>
      <c r="AN6" s="378"/>
      <c r="AO6" s="375"/>
    </row>
    <row r="7" spans="1:41" s="118" customFormat="1" ht="60">
      <c r="A7" s="23" t="s">
        <v>48</v>
      </c>
      <c r="B7" s="156" t="s">
        <v>49</v>
      </c>
      <c r="C7" s="23" t="s">
        <v>48</v>
      </c>
      <c r="D7" s="157">
        <v>1004</v>
      </c>
      <c r="E7" s="158">
        <v>933.0708857994255</v>
      </c>
      <c r="F7" s="159">
        <v>912</v>
      </c>
      <c r="G7" s="158">
        <v>875.9225769068022</v>
      </c>
      <c r="H7" s="159">
        <v>1601</v>
      </c>
      <c r="I7" s="158">
        <v>1554.3933059865442</v>
      </c>
      <c r="J7" s="159">
        <v>784</v>
      </c>
      <c r="K7" s="158">
        <v>761.1240595934962</v>
      </c>
      <c r="L7" s="159">
        <v>124</v>
      </c>
      <c r="M7" s="158">
        <v>121.54864999999998</v>
      </c>
      <c r="N7" s="156">
        <v>0</v>
      </c>
      <c r="O7" s="160">
        <v>0</v>
      </c>
      <c r="P7" s="161">
        <f>SUM(D7,F7,H7,J7,L7,N7)</f>
        <v>4425</v>
      </c>
      <c r="Q7" s="162">
        <f>SUM(E7,G7,I7,K7,M7,O7)</f>
        <v>4246.059478286267</v>
      </c>
      <c r="R7" s="156">
        <v>167</v>
      </c>
      <c r="S7" s="156">
        <v>164.84</v>
      </c>
      <c r="T7" s="156">
        <v>16</v>
      </c>
      <c r="U7" s="160">
        <v>16</v>
      </c>
      <c r="V7" s="156">
        <v>191</v>
      </c>
      <c r="W7" s="160">
        <v>190</v>
      </c>
      <c r="X7" s="156">
        <v>0</v>
      </c>
      <c r="Y7" s="160">
        <v>0</v>
      </c>
      <c r="Z7" s="163">
        <f>SUM(R7,T7,V7,X7,)</f>
        <v>374</v>
      </c>
      <c r="AA7" s="163">
        <f>SUM(S7,U7,W7,Y7)</f>
        <v>370.84000000000003</v>
      </c>
      <c r="AB7" s="161">
        <f>P7+Z7</f>
        <v>4799</v>
      </c>
      <c r="AC7" s="162">
        <f>Q7+AA7</f>
        <v>4616.899478286267</v>
      </c>
      <c r="AD7" s="164">
        <v>11330862.279999996</v>
      </c>
      <c r="AE7" s="165">
        <v>232435.32</v>
      </c>
      <c r="AF7" s="165">
        <v>591738.05</v>
      </c>
      <c r="AG7" s="165">
        <v>52011.4</v>
      </c>
      <c r="AH7" s="165">
        <v>2170653.13</v>
      </c>
      <c r="AI7" s="165">
        <v>997019.7</v>
      </c>
      <c r="AJ7" s="166">
        <f>SUM(AD7:AI7)</f>
        <v>15374719.879999995</v>
      </c>
      <c r="AK7" s="164">
        <v>2472288.42</v>
      </c>
      <c r="AL7" s="164">
        <v>1479929.04</v>
      </c>
      <c r="AM7" s="167">
        <f>SUM(AK7:AL7)</f>
        <v>3952217.46</v>
      </c>
      <c r="AN7" s="167">
        <f>SUM(AM7,AJ7)</f>
        <v>19326937.339999996</v>
      </c>
      <c r="AO7" s="168"/>
    </row>
    <row r="8" spans="1:41" s="118" customFormat="1" ht="75">
      <c r="A8" s="23" t="s">
        <v>76</v>
      </c>
      <c r="B8" s="156" t="s">
        <v>51</v>
      </c>
      <c r="C8" s="23" t="s">
        <v>48</v>
      </c>
      <c r="D8" s="159">
        <v>13595</v>
      </c>
      <c r="E8" s="158">
        <v>11887.2312576577</v>
      </c>
      <c r="F8" s="159">
        <v>3018</v>
      </c>
      <c r="G8" s="158">
        <v>2818.065331831832</v>
      </c>
      <c r="H8" s="159">
        <v>2495</v>
      </c>
      <c r="I8" s="158">
        <v>2315.779924594591</v>
      </c>
      <c r="J8" s="159">
        <v>626</v>
      </c>
      <c r="K8" s="158">
        <v>610.1645899999999</v>
      </c>
      <c r="L8" s="159">
        <v>34</v>
      </c>
      <c r="M8" s="158">
        <v>34</v>
      </c>
      <c r="N8" s="156">
        <v>0</v>
      </c>
      <c r="O8" s="158">
        <v>0</v>
      </c>
      <c r="P8" s="161">
        <f aca="true" t="shared" si="0" ref="P8:Q19">SUM(D8,F8,H8,J8,L8,N8)</f>
        <v>19768</v>
      </c>
      <c r="Q8" s="162">
        <f t="shared" si="0"/>
        <v>17665.24110408412</v>
      </c>
      <c r="R8" s="23" t="s">
        <v>90</v>
      </c>
      <c r="S8" s="160">
        <v>609.5</v>
      </c>
      <c r="T8" s="156">
        <v>0</v>
      </c>
      <c r="U8" s="160">
        <v>0</v>
      </c>
      <c r="V8" s="156">
        <v>0</v>
      </c>
      <c r="W8" s="160">
        <v>0</v>
      </c>
      <c r="X8" s="156">
        <v>0</v>
      </c>
      <c r="Y8" s="160">
        <v>0</v>
      </c>
      <c r="Z8" s="163">
        <f aca="true" t="shared" si="1" ref="Z8:Z19">SUM(R8,T8,V8,X8,)</f>
        <v>0</v>
      </c>
      <c r="AA8" s="169">
        <f aca="true" t="shared" si="2" ref="AA8:AA19">SUM(S8,U8,W8,Y8)</f>
        <v>609.5</v>
      </c>
      <c r="AB8" s="161">
        <f aca="true" t="shared" si="3" ref="AB8:AC19">P8+Z8</f>
        <v>19768</v>
      </c>
      <c r="AC8" s="162">
        <f t="shared" si="3"/>
        <v>18274.74110408412</v>
      </c>
      <c r="AD8" s="164">
        <v>33827261.19</v>
      </c>
      <c r="AE8" s="165">
        <v>413347.78</v>
      </c>
      <c r="AF8" s="165">
        <v>476750.27</v>
      </c>
      <c r="AG8" s="165">
        <v>392486.08</v>
      </c>
      <c r="AH8" s="165">
        <v>5666074.69</v>
      </c>
      <c r="AI8" s="165">
        <v>2320918.78</v>
      </c>
      <c r="AJ8" s="166">
        <f aca="true" t="shared" si="4" ref="AJ8:AJ19">SUM(AD8:AI8)</f>
        <v>43096838.79</v>
      </c>
      <c r="AK8" s="164">
        <v>1474946.68</v>
      </c>
      <c r="AL8" s="90" t="s">
        <v>90</v>
      </c>
      <c r="AM8" s="167">
        <f aca="true" t="shared" si="5" ref="AM8:AM19">SUM(AK8:AL8)</f>
        <v>1474946.68</v>
      </c>
      <c r="AN8" s="167">
        <f aca="true" t="shared" si="6" ref="AN8:AN19">SUM(AM8,AJ8)</f>
        <v>44571785.47</v>
      </c>
      <c r="AO8" s="131" t="s">
        <v>122</v>
      </c>
    </row>
    <row r="9" spans="1:41" s="118" customFormat="1" ht="45">
      <c r="A9" s="23" t="s">
        <v>55</v>
      </c>
      <c r="B9" s="156" t="s">
        <v>51</v>
      </c>
      <c r="C9" s="23" t="s">
        <v>48</v>
      </c>
      <c r="D9" s="156">
        <v>192</v>
      </c>
      <c r="E9" s="156">
        <v>172.02</v>
      </c>
      <c r="F9" s="156">
        <v>131</v>
      </c>
      <c r="G9" s="156">
        <v>125.62</v>
      </c>
      <c r="H9" s="156">
        <v>261</v>
      </c>
      <c r="I9" s="156">
        <v>253.28</v>
      </c>
      <c r="J9" s="156">
        <v>60</v>
      </c>
      <c r="K9" s="156">
        <v>59.33</v>
      </c>
      <c r="L9" s="156">
        <v>6</v>
      </c>
      <c r="M9" s="160">
        <v>6</v>
      </c>
      <c r="N9" s="156">
        <v>0</v>
      </c>
      <c r="O9" s="160">
        <v>0</v>
      </c>
      <c r="P9" s="161">
        <f t="shared" si="0"/>
        <v>650</v>
      </c>
      <c r="Q9" s="162">
        <f t="shared" si="0"/>
        <v>616.25</v>
      </c>
      <c r="R9" s="156">
        <v>9</v>
      </c>
      <c r="S9" s="160">
        <v>7.6</v>
      </c>
      <c r="T9" s="156">
        <v>0</v>
      </c>
      <c r="U9" s="160">
        <v>0</v>
      </c>
      <c r="V9" s="156">
        <v>15</v>
      </c>
      <c r="W9" s="160">
        <v>14</v>
      </c>
      <c r="X9" s="156">
        <v>0</v>
      </c>
      <c r="Y9" s="160">
        <v>0</v>
      </c>
      <c r="Z9" s="163">
        <f t="shared" si="1"/>
        <v>24</v>
      </c>
      <c r="AA9" s="169">
        <f t="shared" si="2"/>
        <v>21.6</v>
      </c>
      <c r="AB9" s="161">
        <f t="shared" si="3"/>
        <v>674</v>
      </c>
      <c r="AC9" s="162">
        <f t="shared" si="3"/>
        <v>637.85</v>
      </c>
      <c r="AD9" s="164">
        <v>1528256.7000000011</v>
      </c>
      <c r="AE9" s="165">
        <v>5767.83</v>
      </c>
      <c r="AF9" s="165">
        <v>2600</v>
      </c>
      <c r="AG9" s="165">
        <v>16987.8</v>
      </c>
      <c r="AH9" s="165">
        <v>268612.47</v>
      </c>
      <c r="AI9" s="165">
        <v>127384.73</v>
      </c>
      <c r="AJ9" s="166">
        <f t="shared" si="4"/>
        <v>1949609.5300000012</v>
      </c>
      <c r="AK9" s="164">
        <v>134215.86</v>
      </c>
      <c r="AL9" s="164">
        <v>0</v>
      </c>
      <c r="AM9" s="167">
        <f t="shared" si="5"/>
        <v>134215.86</v>
      </c>
      <c r="AN9" s="167">
        <f t="shared" si="6"/>
        <v>2083825.390000001</v>
      </c>
      <c r="AO9" s="168"/>
    </row>
    <row r="10" spans="1:41" s="118" customFormat="1" ht="75">
      <c r="A10" s="23" t="s">
        <v>56</v>
      </c>
      <c r="B10" s="156" t="s">
        <v>51</v>
      </c>
      <c r="C10" s="23" t="s">
        <v>48</v>
      </c>
      <c r="D10" s="156">
        <v>33941</v>
      </c>
      <c r="E10" s="158">
        <v>32378.362348330393</v>
      </c>
      <c r="F10" s="156">
        <v>6189</v>
      </c>
      <c r="G10" s="158">
        <v>5922.913331643058</v>
      </c>
      <c r="H10" s="156">
        <v>3637</v>
      </c>
      <c r="I10" s="158">
        <v>3409.008824627356</v>
      </c>
      <c r="J10" s="156">
        <v>611</v>
      </c>
      <c r="K10" s="158">
        <v>595.5117484141875</v>
      </c>
      <c r="L10" s="156">
        <v>39</v>
      </c>
      <c r="M10" s="158">
        <v>38.8780487804878</v>
      </c>
      <c r="N10" s="156">
        <v>0</v>
      </c>
      <c r="O10" s="158">
        <v>0</v>
      </c>
      <c r="P10" s="161">
        <f t="shared" si="0"/>
        <v>44417</v>
      </c>
      <c r="Q10" s="162">
        <f t="shared" si="0"/>
        <v>42344.67430179549</v>
      </c>
      <c r="R10" s="156">
        <v>349.41</v>
      </c>
      <c r="S10" s="156">
        <v>349.41</v>
      </c>
      <c r="T10" s="156">
        <v>0</v>
      </c>
      <c r="U10" s="156">
        <v>0</v>
      </c>
      <c r="V10" s="156">
        <v>19.25</v>
      </c>
      <c r="W10" s="156">
        <v>19.25</v>
      </c>
      <c r="X10" s="156">
        <v>4.57</v>
      </c>
      <c r="Y10" s="156">
        <v>4.57</v>
      </c>
      <c r="Z10" s="163">
        <f t="shared" si="1"/>
        <v>373.23</v>
      </c>
      <c r="AA10" s="163">
        <f t="shared" si="2"/>
        <v>373.23</v>
      </c>
      <c r="AB10" s="161">
        <f t="shared" si="3"/>
        <v>44790.23</v>
      </c>
      <c r="AC10" s="161">
        <f t="shared" si="3"/>
        <v>42717.90430179549</v>
      </c>
      <c r="AD10" s="164">
        <v>97609122.09999993</v>
      </c>
      <c r="AE10" s="165">
        <v>0</v>
      </c>
      <c r="AF10" s="165">
        <v>0</v>
      </c>
      <c r="AG10" s="165">
        <v>4800737.02</v>
      </c>
      <c r="AH10" s="165">
        <v>19762244.860000014</v>
      </c>
      <c r="AI10" s="165">
        <v>7651980.689999995</v>
      </c>
      <c r="AJ10" s="166">
        <f t="shared" si="4"/>
        <v>129824084.66999994</v>
      </c>
      <c r="AK10" s="164">
        <v>2395523.38</v>
      </c>
      <c r="AL10" s="164">
        <v>19737.5</v>
      </c>
      <c r="AM10" s="167">
        <f t="shared" si="5"/>
        <v>2415260.88</v>
      </c>
      <c r="AN10" s="167">
        <f t="shared" si="6"/>
        <v>132239345.54999994</v>
      </c>
      <c r="AO10" s="131"/>
    </row>
    <row r="11" spans="1:41" s="118" customFormat="1" ht="75">
      <c r="A11" s="23" t="s">
        <v>58</v>
      </c>
      <c r="B11" s="156" t="s">
        <v>51</v>
      </c>
      <c r="C11" s="23" t="s">
        <v>48</v>
      </c>
      <c r="D11" s="159">
        <v>286</v>
      </c>
      <c r="E11" s="158">
        <v>269.9446051351352</v>
      </c>
      <c r="F11" s="159">
        <v>142</v>
      </c>
      <c r="G11" s="158">
        <v>134.64114999999998</v>
      </c>
      <c r="H11" s="159">
        <v>62</v>
      </c>
      <c r="I11" s="158">
        <v>60.0878308108108</v>
      </c>
      <c r="J11" s="159">
        <v>9</v>
      </c>
      <c r="K11" s="158">
        <v>8.82222</v>
      </c>
      <c r="L11" s="159">
        <v>2</v>
      </c>
      <c r="M11" s="160">
        <v>1.7783799999999998</v>
      </c>
      <c r="N11" s="156">
        <v>0</v>
      </c>
      <c r="O11" s="158">
        <v>0</v>
      </c>
      <c r="P11" s="161">
        <f t="shared" si="0"/>
        <v>501</v>
      </c>
      <c r="Q11" s="162">
        <f t="shared" si="0"/>
        <v>475.27418594594604</v>
      </c>
      <c r="R11" s="156">
        <v>202</v>
      </c>
      <c r="S11" s="156">
        <v>134.34</v>
      </c>
      <c r="T11" s="156">
        <v>0</v>
      </c>
      <c r="U11" s="160">
        <v>0</v>
      </c>
      <c r="V11" s="156">
        <v>0</v>
      </c>
      <c r="W11" s="160">
        <v>0</v>
      </c>
      <c r="X11" s="156">
        <v>0</v>
      </c>
      <c r="Y11" s="160">
        <v>0</v>
      </c>
      <c r="Z11" s="163">
        <f t="shared" si="1"/>
        <v>202</v>
      </c>
      <c r="AA11" s="163">
        <f t="shared" si="2"/>
        <v>134.34</v>
      </c>
      <c r="AB11" s="161">
        <f t="shared" si="3"/>
        <v>703</v>
      </c>
      <c r="AC11" s="162">
        <f t="shared" si="3"/>
        <v>609.614185945946</v>
      </c>
      <c r="AD11" s="164">
        <v>848806.01</v>
      </c>
      <c r="AE11" s="165">
        <v>17126.37</v>
      </c>
      <c r="AF11" s="165">
        <v>57750</v>
      </c>
      <c r="AG11" s="165">
        <v>33101.52</v>
      </c>
      <c r="AH11" s="165">
        <v>139072.48</v>
      </c>
      <c r="AI11" s="165">
        <v>65618.89</v>
      </c>
      <c r="AJ11" s="166">
        <f t="shared" si="4"/>
        <v>1161475.27</v>
      </c>
      <c r="AK11" s="164">
        <v>204937.85</v>
      </c>
      <c r="AL11" s="48">
        <v>0</v>
      </c>
      <c r="AM11" s="167">
        <f t="shared" si="5"/>
        <v>204937.85</v>
      </c>
      <c r="AN11" s="167">
        <f t="shared" si="6"/>
        <v>1366413.12</v>
      </c>
      <c r="AO11" s="131" t="s">
        <v>123</v>
      </c>
    </row>
    <row r="12" spans="1:41" s="118" customFormat="1" ht="120">
      <c r="A12" s="23" t="s">
        <v>62</v>
      </c>
      <c r="B12" s="156" t="s">
        <v>63</v>
      </c>
      <c r="C12" s="23" t="s">
        <v>48</v>
      </c>
      <c r="D12" s="156">
        <v>0</v>
      </c>
      <c r="E12" s="158">
        <v>0</v>
      </c>
      <c r="F12" s="156">
        <v>0</v>
      </c>
      <c r="G12" s="160">
        <v>0</v>
      </c>
      <c r="H12" s="156">
        <v>0</v>
      </c>
      <c r="I12" s="160">
        <v>0</v>
      </c>
      <c r="J12" s="156">
        <v>0</v>
      </c>
      <c r="K12" s="160">
        <v>0</v>
      </c>
      <c r="L12" s="156">
        <v>0</v>
      </c>
      <c r="M12" s="160">
        <v>0</v>
      </c>
      <c r="N12" s="156">
        <v>74</v>
      </c>
      <c r="O12" s="156">
        <v>68.32</v>
      </c>
      <c r="P12" s="161">
        <f t="shared" si="0"/>
        <v>74</v>
      </c>
      <c r="Q12" s="162">
        <f t="shared" si="0"/>
        <v>68.32</v>
      </c>
      <c r="R12" s="156">
        <v>4</v>
      </c>
      <c r="S12" s="160">
        <v>4</v>
      </c>
      <c r="T12" s="156">
        <v>0</v>
      </c>
      <c r="U12" s="160">
        <v>0</v>
      </c>
      <c r="V12" s="156">
        <v>0</v>
      </c>
      <c r="W12" s="160">
        <v>0</v>
      </c>
      <c r="X12" s="156">
        <v>0</v>
      </c>
      <c r="Y12" s="160">
        <v>0</v>
      </c>
      <c r="Z12" s="163">
        <f t="shared" si="1"/>
        <v>4</v>
      </c>
      <c r="AA12" s="169">
        <f t="shared" si="2"/>
        <v>4</v>
      </c>
      <c r="AB12" s="161">
        <f t="shared" si="3"/>
        <v>78</v>
      </c>
      <c r="AC12" s="162">
        <f t="shared" si="3"/>
        <v>72.32</v>
      </c>
      <c r="AD12" s="164">
        <v>192060</v>
      </c>
      <c r="AE12" s="165">
        <v>57</v>
      </c>
      <c r="AF12" s="48">
        <v>0</v>
      </c>
      <c r="AG12" s="48">
        <v>0</v>
      </c>
      <c r="AH12" s="165">
        <v>35701</v>
      </c>
      <c r="AI12" s="165">
        <v>15632</v>
      </c>
      <c r="AJ12" s="166">
        <f t="shared" si="4"/>
        <v>243450</v>
      </c>
      <c r="AK12" s="164">
        <v>4423</v>
      </c>
      <c r="AL12" s="48">
        <v>0</v>
      </c>
      <c r="AM12" s="167">
        <f t="shared" si="5"/>
        <v>4423</v>
      </c>
      <c r="AN12" s="167">
        <f t="shared" si="6"/>
        <v>247873</v>
      </c>
      <c r="AO12" s="131" t="s">
        <v>64</v>
      </c>
    </row>
    <row r="13" spans="1:41" s="118" customFormat="1" ht="75">
      <c r="A13" s="23" t="s">
        <v>66</v>
      </c>
      <c r="B13" s="156" t="s">
        <v>63</v>
      </c>
      <c r="C13" s="23" t="s">
        <v>48</v>
      </c>
      <c r="D13" s="156">
        <v>0</v>
      </c>
      <c r="E13" s="158">
        <v>0</v>
      </c>
      <c r="F13" s="156">
        <v>0</v>
      </c>
      <c r="G13" s="160">
        <v>0</v>
      </c>
      <c r="H13" s="156">
        <v>0</v>
      </c>
      <c r="I13" s="160">
        <v>0</v>
      </c>
      <c r="J13" s="156">
        <v>0</v>
      </c>
      <c r="K13" s="160">
        <v>0</v>
      </c>
      <c r="L13" s="156">
        <v>0</v>
      </c>
      <c r="M13" s="160">
        <v>0</v>
      </c>
      <c r="N13" s="156">
        <v>367</v>
      </c>
      <c r="O13" s="156">
        <v>343.89</v>
      </c>
      <c r="P13" s="161">
        <f t="shared" si="0"/>
        <v>367</v>
      </c>
      <c r="Q13" s="162">
        <f t="shared" si="0"/>
        <v>343.89</v>
      </c>
      <c r="R13" s="156">
        <v>23</v>
      </c>
      <c r="S13" s="160">
        <v>22.4</v>
      </c>
      <c r="T13" s="156">
        <v>0</v>
      </c>
      <c r="U13" s="160">
        <v>0</v>
      </c>
      <c r="V13" s="156">
        <v>0</v>
      </c>
      <c r="W13" s="160">
        <v>0</v>
      </c>
      <c r="X13" s="156">
        <v>0</v>
      </c>
      <c r="Y13" s="160">
        <v>0</v>
      </c>
      <c r="Z13" s="163">
        <f t="shared" si="1"/>
        <v>23</v>
      </c>
      <c r="AA13" s="169">
        <f t="shared" si="2"/>
        <v>22.4</v>
      </c>
      <c r="AB13" s="161">
        <f t="shared" si="3"/>
        <v>390</v>
      </c>
      <c r="AC13" s="162">
        <f t="shared" si="3"/>
        <v>366.28999999999996</v>
      </c>
      <c r="AD13" s="164">
        <v>767730.01</v>
      </c>
      <c r="AE13" s="165">
        <v>857.65</v>
      </c>
      <c r="AF13" s="165">
        <v>0</v>
      </c>
      <c r="AG13" s="165">
        <v>6335.42</v>
      </c>
      <c r="AH13" s="165">
        <v>140183.94</v>
      </c>
      <c r="AI13" s="165">
        <v>54413.01</v>
      </c>
      <c r="AJ13" s="166">
        <f t="shared" si="4"/>
        <v>969520.03</v>
      </c>
      <c r="AK13" s="164">
        <v>51631.08</v>
      </c>
      <c r="AL13" s="164">
        <v>0</v>
      </c>
      <c r="AM13" s="167">
        <f t="shared" si="5"/>
        <v>51631.08</v>
      </c>
      <c r="AN13" s="167">
        <f t="shared" si="6"/>
        <v>1021151.11</v>
      </c>
      <c r="AO13" s="168"/>
    </row>
    <row r="14" spans="1:41" s="118" customFormat="1" ht="75">
      <c r="A14" s="23" t="s">
        <v>67</v>
      </c>
      <c r="B14" s="156" t="s">
        <v>63</v>
      </c>
      <c r="C14" s="23" t="s">
        <v>48</v>
      </c>
      <c r="D14" s="156">
        <v>11</v>
      </c>
      <c r="E14" s="158">
        <v>11</v>
      </c>
      <c r="F14" s="156">
        <v>17</v>
      </c>
      <c r="G14" s="160">
        <v>16.5</v>
      </c>
      <c r="H14" s="156">
        <v>25</v>
      </c>
      <c r="I14" s="156">
        <v>24.69</v>
      </c>
      <c r="J14" s="156">
        <v>12</v>
      </c>
      <c r="K14" s="160">
        <v>11.2</v>
      </c>
      <c r="L14" s="156">
        <v>3</v>
      </c>
      <c r="M14" s="160">
        <v>3</v>
      </c>
      <c r="N14" s="156">
        <v>1</v>
      </c>
      <c r="O14" s="160">
        <v>0.4</v>
      </c>
      <c r="P14" s="161">
        <f t="shared" si="0"/>
        <v>69</v>
      </c>
      <c r="Q14" s="162">
        <f t="shared" si="0"/>
        <v>66.79</v>
      </c>
      <c r="R14" s="156">
        <v>8</v>
      </c>
      <c r="S14" s="160">
        <v>8</v>
      </c>
      <c r="T14" s="156">
        <v>0</v>
      </c>
      <c r="U14" s="160">
        <v>0</v>
      </c>
      <c r="V14" s="156">
        <v>0</v>
      </c>
      <c r="W14" s="160">
        <v>0</v>
      </c>
      <c r="X14" s="156">
        <v>0</v>
      </c>
      <c r="Y14" s="160">
        <v>0</v>
      </c>
      <c r="Z14" s="163">
        <f t="shared" si="1"/>
        <v>8</v>
      </c>
      <c r="AA14" s="169">
        <f t="shared" si="2"/>
        <v>8</v>
      </c>
      <c r="AB14" s="161">
        <f t="shared" si="3"/>
        <v>77</v>
      </c>
      <c r="AC14" s="162">
        <f t="shared" si="3"/>
        <v>74.79</v>
      </c>
      <c r="AD14" s="164">
        <v>191211.79</v>
      </c>
      <c r="AE14" s="165">
        <v>1958.02</v>
      </c>
      <c r="AF14" s="165">
        <v>6700</v>
      </c>
      <c r="AG14" s="48">
        <v>0</v>
      </c>
      <c r="AH14" s="165">
        <v>36013.84</v>
      </c>
      <c r="AI14" s="165">
        <v>17158.85</v>
      </c>
      <c r="AJ14" s="166">
        <f t="shared" si="4"/>
        <v>253042.5</v>
      </c>
      <c r="AK14" s="164">
        <v>22337</v>
      </c>
      <c r="AL14" s="48">
        <v>0</v>
      </c>
      <c r="AM14" s="167">
        <f t="shared" si="5"/>
        <v>22337</v>
      </c>
      <c r="AN14" s="167">
        <f t="shared" si="6"/>
        <v>275379.5</v>
      </c>
      <c r="AO14" s="168"/>
    </row>
    <row r="15" spans="1:41" s="118" customFormat="1" ht="75">
      <c r="A15" s="23" t="s">
        <v>68</v>
      </c>
      <c r="B15" s="156" t="s">
        <v>63</v>
      </c>
      <c r="C15" s="23" t="s">
        <v>48</v>
      </c>
      <c r="D15" s="156">
        <v>0</v>
      </c>
      <c r="E15" s="158">
        <v>0</v>
      </c>
      <c r="F15" s="156">
        <v>0</v>
      </c>
      <c r="G15" s="160">
        <v>0</v>
      </c>
      <c r="H15" s="156">
        <v>0</v>
      </c>
      <c r="I15" s="160">
        <v>0</v>
      </c>
      <c r="J15" s="156">
        <v>0</v>
      </c>
      <c r="K15" s="160">
        <v>0</v>
      </c>
      <c r="L15" s="156">
        <v>0</v>
      </c>
      <c r="M15" s="160">
        <v>0</v>
      </c>
      <c r="N15" s="156">
        <v>29</v>
      </c>
      <c r="O15" s="160">
        <v>28.8</v>
      </c>
      <c r="P15" s="161">
        <f t="shared" si="0"/>
        <v>29</v>
      </c>
      <c r="Q15" s="162">
        <f t="shared" si="0"/>
        <v>28.8</v>
      </c>
      <c r="R15" s="156">
        <v>0</v>
      </c>
      <c r="S15" s="160">
        <v>0</v>
      </c>
      <c r="T15" s="156">
        <v>0</v>
      </c>
      <c r="U15" s="160">
        <v>0</v>
      </c>
      <c r="V15" s="156">
        <v>0</v>
      </c>
      <c r="W15" s="160">
        <v>0</v>
      </c>
      <c r="X15" s="156">
        <v>0</v>
      </c>
      <c r="Y15" s="160">
        <v>0</v>
      </c>
      <c r="Z15" s="163">
        <f t="shared" si="1"/>
        <v>0</v>
      </c>
      <c r="AA15" s="169">
        <f t="shared" si="2"/>
        <v>0</v>
      </c>
      <c r="AB15" s="161">
        <f t="shared" si="3"/>
        <v>29</v>
      </c>
      <c r="AC15" s="162">
        <f t="shared" si="3"/>
        <v>28.8</v>
      </c>
      <c r="AD15" s="164">
        <v>140606.2</v>
      </c>
      <c r="AE15" s="48">
        <v>0</v>
      </c>
      <c r="AF15" s="48">
        <v>0</v>
      </c>
      <c r="AG15" s="48">
        <v>0</v>
      </c>
      <c r="AH15" s="165">
        <v>31691.53</v>
      </c>
      <c r="AI15" s="165">
        <v>16906.37</v>
      </c>
      <c r="AJ15" s="166">
        <f t="shared" si="4"/>
        <v>189204.1</v>
      </c>
      <c r="AK15" s="48">
        <v>0</v>
      </c>
      <c r="AL15" s="48">
        <v>0</v>
      </c>
      <c r="AM15" s="167">
        <f t="shared" si="5"/>
        <v>0</v>
      </c>
      <c r="AN15" s="167">
        <f t="shared" si="6"/>
        <v>189204.1</v>
      </c>
      <c r="AO15" s="131" t="s">
        <v>69</v>
      </c>
    </row>
    <row r="16" spans="1:41" s="118" customFormat="1" ht="75">
      <c r="A16" s="23" t="s">
        <v>70</v>
      </c>
      <c r="B16" s="156" t="s">
        <v>63</v>
      </c>
      <c r="C16" s="23" t="s">
        <v>48</v>
      </c>
      <c r="D16" s="156">
        <v>810</v>
      </c>
      <c r="E16" s="156">
        <v>765.63</v>
      </c>
      <c r="F16" s="156">
        <v>264</v>
      </c>
      <c r="G16" s="156">
        <v>254.21</v>
      </c>
      <c r="H16" s="156">
        <v>396</v>
      </c>
      <c r="I16" s="156">
        <v>378.97</v>
      </c>
      <c r="J16" s="156">
        <v>114</v>
      </c>
      <c r="K16" s="156">
        <v>111.87</v>
      </c>
      <c r="L16" s="156">
        <v>19</v>
      </c>
      <c r="M16" s="160">
        <v>13.2</v>
      </c>
      <c r="N16" s="156">
        <v>0</v>
      </c>
      <c r="O16" s="160">
        <v>0</v>
      </c>
      <c r="P16" s="161">
        <f t="shared" si="0"/>
        <v>1603</v>
      </c>
      <c r="Q16" s="162">
        <f t="shared" si="0"/>
        <v>1523.8799999999999</v>
      </c>
      <c r="R16" s="156">
        <v>31</v>
      </c>
      <c r="S16" s="160">
        <v>25.4</v>
      </c>
      <c r="T16" s="156">
        <v>0</v>
      </c>
      <c r="U16" s="160">
        <v>0</v>
      </c>
      <c r="V16" s="156">
        <v>75</v>
      </c>
      <c r="W16" s="160">
        <v>73.7</v>
      </c>
      <c r="X16" s="156">
        <v>0</v>
      </c>
      <c r="Y16" s="160">
        <v>0</v>
      </c>
      <c r="Z16" s="163">
        <f t="shared" si="1"/>
        <v>106</v>
      </c>
      <c r="AA16" s="169">
        <f t="shared" si="2"/>
        <v>99.1</v>
      </c>
      <c r="AB16" s="161">
        <f t="shared" si="3"/>
        <v>1709</v>
      </c>
      <c r="AC16" s="162">
        <f t="shared" si="3"/>
        <v>1622.9799999999998</v>
      </c>
      <c r="AD16" s="164">
        <v>3505121.93</v>
      </c>
      <c r="AE16" s="48">
        <v>0</v>
      </c>
      <c r="AF16" s="48">
        <v>0</v>
      </c>
      <c r="AG16" s="165">
        <v>73006.36</v>
      </c>
      <c r="AH16" s="90" t="s">
        <v>90</v>
      </c>
      <c r="AI16" s="165">
        <v>277377.53</v>
      </c>
      <c r="AJ16" s="166">
        <f t="shared" si="4"/>
        <v>3855505.8200000003</v>
      </c>
      <c r="AK16" s="164">
        <v>1048429.29</v>
      </c>
      <c r="AL16" s="48">
        <v>0</v>
      </c>
      <c r="AM16" s="167">
        <f t="shared" si="5"/>
        <v>1048429.29</v>
      </c>
      <c r="AN16" s="167">
        <f t="shared" si="6"/>
        <v>4903935.11</v>
      </c>
      <c r="AO16" s="168"/>
    </row>
    <row r="17" spans="1:41" s="118" customFormat="1" ht="75">
      <c r="A17" s="23" t="s">
        <v>71</v>
      </c>
      <c r="B17" s="156" t="s">
        <v>63</v>
      </c>
      <c r="C17" s="23" t="s">
        <v>48</v>
      </c>
      <c r="D17" s="156">
        <v>20</v>
      </c>
      <c r="E17" s="156">
        <v>18.79</v>
      </c>
      <c r="F17" s="156">
        <v>46</v>
      </c>
      <c r="G17" s="156">
        <v>45.53</v>
      </c>
      <c r="H17" s="156">
        <v>15</v>
      </c>
      <c r="I17" s="156">
        <v>14.06</v>
      </c>
      <c r="J17" s="156">
        <v>6</v>
      </c>
      <c r="K17" s="160">
        <v>6</v>
      </c>
      <c r="L17" s="156">
        <v>1</v>
      </c>
      <c r="M17" s="160">
        <v>1</v>
      </c>
      <c r="N17" s="156">
        <v>0</v>
      </c>
      <c r="O17" s="160">
        <v>0</v>
      </c>
      <c r="P17" s="161">
        <f t="shared" si="0"/>
        <v>88</v>
      </c>
      <c r="Q17" s="162">
        <f t="shared" si="0"/>
        <v>85.38</v>
      </c>
      <c r="R17" s="156">
        <v>8</v>
      </c>
      <c r="S17" s="160">
        <v>8</v>
      </c>
      <c r="T17" s="156">
        <v>0</v>
      </c>
      <c r="U17" s="160">
        <v>0</v>
      </c>
      <c r="V17" s="156">
        <v>0</v>
      </c>
      <c r="W17" s="160">
        <v>0</v>
      </c>
      <c r="X17" s="156">
        <v>0</v>
      </c>
      <c r="Y17" s="160">
        <v>0</v>
      </c>
      <c r="Z17" s="163">
        <f t="shared" si="1"/>
        <v>8</v>
      </c>
      <c r="AA17" s="169">
        <f t="shared" si="2"/>
        <v>8</v>
      </c>
      <c r="AB17" s="161">
        <f t="shared" si="3"/>
        <v>96</v>
      </c>
      <c r="AC17" s="162">
        <f t="shared" si="3"/>
        <v>93.38</v>
      </c>
      <c r="AD17" s="164">
        <v>188765.76</v>
      </c>
      <c r="AE17" s="165">
        <v>21309.64</v>
      </c>
      <c r="AF17" s="165">
        <v>60869.72</v>
      </c>
      <c r="AG17" s="165">
        <v>8136.55</v>
      </c>
      <c r="AH17" s="165">
        <v>35055.21</v>
      </c>
      <c r="AI17" s="165">
        <v>19475.85</v>
      </c>
      <c r="AJ17" s="166">
        <f t="shared" si="4"/>
        <v>333612.73</v>
      </c>
      <c r="AK17" s="164">
        <v>24258.92</v>
      </c>
      <c r="AL17" s="48">
        <v>0</v>
      </c>
      <c r="AM17" s="167">
        <f t="shared" si="5"/>
        <v>24258.92</v>
      </c>
      <c r="AN17" s="167">
        <f t="shared" si="6"/>
        <v>357871.64999999997</v>
      </c>
      <c r="AO17" s="168"/>
    </row>
    <row r="18" spans="1:41" s="118" customFormat="1" ht="75">
      <c r="A18" s="156" t="s">
        <v>72</v>
      </c>
      <c r="B18" s="156" t="s">
        <v>63</v>
      </c>
      <c r="C18" s="23" t="s">
        <v>48</v>
      </c>
      <c r="D18" s="41" t="s">
        <v>90</v>
      </c>
      <c r="E18" s="41" t="s">
        <v>90</v>
      </c>
      <c r="F18" s="41" t="s">
        <v>90</v>
      </c>
      <c r="G18" s="41" t="s">
        <v>90</v>
      </c>
      <c r="H18" s="41" t="s">
        <v>90</v>
      </c>
      <c r="I18" s="41" t="s">
        <v>90</v>
      </c>
      <c r="J18" s="41" t="s">
        <v>90</v>
      </c>
      <c r="K18" s="41" t="s">
        <v>90</v>
      </c>
      <c r="L18" s="41" t="s">
        <v>90</v>
      </c>
      <c r="M18" s="41" t="s">
        <v>90</v>
      </c>
      <c r="N18" s="41" t="s">
        <v>90</v>
      </c>
      <c r="O18" s="41" t="s">
        <v>90</v>
      </c>
      <c r="P18" s="161">
        <f t="shared" si="0"/>
        <v>0</v>
      </c>
      <c r="Q18" s="162">
        <f t="shared" si="0"/>
        <v>0</v>
      </c>
      <c r="R18" s="41" t="s">
        <v>90</v>
      </c>
      <c r="S18" s="41" t="s">
        <v>90</v>
      </c>
      <c r="T18" s="41" t="s">
        <v>90</v>
      </c>
      <c r="U18" s="41" t="s">
        <v>90</v>
      </c>
      <c r="V18" s="41" t="s">
        <v>90</v>
      </c>
      <c r="W18" s="41" t="s">
        <v>90</v>
      </c>
      <c r="X18" s="41" t="s">
        <v>90</v>
      </c>
      <c r="Y18" s="41" t="s">
        <v>90</v>
      </c>
      <c r="Z18" s="163">
        <f t="shared" si="1"/>
        <v>0</v>
      </c>
      <c r="AA18" s="163">
        <f t="shared" si="2"/>
        <v>0</v>
      </c>
      <c r="AB18" s="161">
        <f t="shared" si="3"/>
        <v>0</v>
      </c>
      <c r="AC18" s="161">
        <f t="shared" si="3"/>
        <v>0</v>
      </c>
      <c r="AD18" s="41" t="s">
        <v>90</v>
      </c>
      <c r="AE18" s="41" t="s">
        <v>90</v>
      </c>
      <c r="AF18" s="41" t="s">
        <v>90</v>
      </c>
      <c r="AG18" s="41" t="s">
        <v>90</v>
      </c>
      <c r="AH18" s="41" t="s">
        <v>90</v>
      </c>
      <c r="AI18" s="41" t="s">
        <v>90</v>
      </c>
      <c r="AJ18" s="166">
        <f t="shared" si="4"/>
        <v>0</v>
      </c>
      <c r="AK18" s="41" t="s">
        <v>90</v>
      </c>
      <c r="AL18" s="41" t="s">
        <v>90</v>
      </c>
      <c r="AM18" s="167">
        <f t="shared" si="5"/>
        <v>0</v>
      </c>
      <c r="AN18" s="167">
        <f t="shared" si="6"/>
        <v>0</v>
      </c>
      <c r="AO18" s="150" t="s">
        <v>114</v>
      </c>
    </row>
    <row r="19" spans="1:41" s="118" customFormat="1" ht="90">
      <c r="A19" s="156" t="s">
        <v>124</v>
      </c>
      <c r="B19" s="156" t="s">
        <v>63</v>
      </c>
      <c r="C19" s="170" t="s">
        <v>48</v>
      </c>
      <c r="D19" s="156">
        <v>13</v>
      </c>
      <c r="E19" s="156">
        <v>11.85</v>
      </c>
      <c r="F19" s="156">
        <v>42</v>
      </c>
      <c r="G19" s="156">
        <v>40.93</v>
      </c>
      <c r="H19" s="156">
        <v>104</v>
      </c>
      <c r="I19" s="156">
        <v>101.61</v>
      </c>
      <c r="J19" s="156">
        <v>37</v>
      </c>
      <c r="K19" s="158">
        <v>37</v>
      </c>
      <c r="L19" s="156">
        <v>4</v>
      </c>
      <c r="M19" s="158">
        <v>3.6</v>
      </c>
      <c r="N19" s="156">
        <v>9</v>
      </c>
      <c r="O19" s="158">
        <v>9</v>
      </c>
      <c r="P19" s="161">
        <f t="shared" si="0"/>
        <v>209</v>
      </c>
      <c r="Q19" s="162">
        <f t="shared" si="0"/>
        <v>203.98999999999998</v>
      </c>
      <c r="R19" s="156">
        <v>5</v>
      </c>
      <c r="S19" s="160">
        <v>5</v>
      </c>
      <c r="T19" s="156">
        <v>0</v>
      </c>
      <c r="U19" s="160">
        <v>0</v>
      </c>
      <c r="V19" s="156">
        <v>8</v>
      </c>
      <c r="W19" s="160">
        <v>7.8</v>
      </c>
      <c r="X19" s="156">
        <v>0</v>
      </c>
      <c r="Y19" s="160">
        <v>0</v>
      </c>
      <c r="Z19" s="163">
        <f t="shared" si="1"/>
        <v>13</v>
      </c>
      <c r="AA19" s="169">
        <f t="shared" si="2"/>
        <v>12.8</v>
      </c>
      <c r="AB19" s="161">
        <f t="shared" si="3"/>
        <v>222</v>
      </c>
      <c r="AC19" s="162">
        <f t="shared" si="3"/>
        <v>216.79</v>
      </c>
      <c r="AD19" s="164">
        <v>658175.82</v>
      </c>
      <c r="AE19" s="165">
        <v>54274.99</v>
      </c>
      <c r="AF19" s="48">
        <v>0</v>
      </c>
      <c r="AG19" s="165">
        <v>3878.23</v>
      </c>
      <c r="AH19" s="165">
        <v>129144.45</v>
      </c>
      <c r="AI19" s="165">
        <v>61398.98</v>
      </c>
      <c r="AJ19" s="166">
        <f t="shared" si="4"/>
        <v>906872.4699999999</v>
      </c>
      <c r="AK19" s="164">
        <v>63206.64</v>
      </c>
      <c r="AL19" s="48">
        <v>0</v>
      </c>
      <c r="AM19" s="167">
        <f t="shared" si="5"/>
        <v>63206.64</v>
      </c>
      <c r="AN19" s="167">
        <f t="shared" si="6"/>
        <v>970079.1099999999</v>
      </c>
      <c r="AO19" s="168"/>
    </row>
  </sheetData>
  <mergeCells count="32">
    <mergeCell ref="AJ5:AJ6"/>
    <mergeCell ref="AK5:AK6"/>
    <mergeCell ref="AL5:AL6"/>
    <mergeCell ref="AM5:AM6"/>
    <mergeCell ref="AF5:AF6"/>
    <mergeCell ref="AG5:AG6"/>
    <mergeCell ref="AH5:AH6"/>
    <mergeCell ref="AI5:AI6"/>
    <mergeCell ref="AN4:AN6"/>
    <mergeCell ref="AO4:AO6"/>
    <mergeCell ref="D5:E5"/>
    <mergeCell ref="F5:G5"/>
    <mergeCell ref="H5:I5"/>
    <mergeCell ref="J5:K5"/>
    <mergeCell ref="L5:M5"/>
    <mergeCell ref="N5:O5"/>
    <mergeCell ref="P5:Q5"/>
    <mergeCell ref="R5:S5"/>
    <mergeCell ref="R4:AA4"/>
    <mergeCell ref="AB4:AC5"/>
    <mergeCell ref="AD4:AJ4"/>
    <mergeCell ref="AK4:AM4"/>
    <mergeCell ref="T5:U5"/>
    <mergeCell ref="V5:W5"/>
    <mergeCell ref="X5:Y5"/>
    <mergeCell ref="Z5:AA5"/>
    <mergeCell ref="AD5:AD6"/>
    <mergeCell ref="AE5:AE6"/>
    <mergeCell ref="A4:A6"/>
    <mergeCell ref="B4:B6"/>
    <mergeCell ref="C4:C6"/>
    <mergeCell ref="D4:Q4"/>
  </mergeCells>
  <conditionalFormatting sqref="B7:B19">
    <cfRule type="expression" priority="1" dxfId="22" stopIfTrue="1">
      <formula>AND(NOT(ISBLANK($A7)),ISBLANK(B7))</formula>
    </cfRule>
  </conditionalFormatting>
  <conditionalFormatting sqref="C7:C19">
    <cfRule type="expression" priority="2" dxfId="22" stopIfTrue="1">
      <formula>AND(NOT(ISBLANK(A7)),ISBLANK(C7))</formula>
    </cfRule>
  </conditionalFormatting>
  <conditionalFormatting sqref="F19 X19 H19 J19 L19 D19 T19 V19 D18:O18 D7:D17 L7:L17 J7:J17 H7:H17 F7:F17 N7:N17 N19 V7:V17 T7:T17 X7:X17 R7:R17 R19 R18:Y18 AD18:AI18 AK18:AL18">
    <cfRule type="expression" priority="3" dxfId="22" stopIfTrue="1">
      <formula>AND(NOT(ISBLANK(E7)),ISBLANK(D7))</formula>
    </cfRule>
  </conditionalFormatting>
  <conditionalFormatting sqref="G19 U19 I19 K19 M19 E19 AH16 W19 Y19 O19 AL8 E7:E17 M7:M17 K7:K17 I7:I17 G7:G17 O7:O17 Y7:Y17 W7:W17 U7:U17 S7:S17 S19">
    <cfRule type="expression" priority="4" dxfId="22" stopIfTrue="1">
      <formula>AND(NOT(ISBLANK(D7)),ISBLANK(E7))</formula>
    </cfRule>
  </conditionalFormatting>
  <dataValidations count="8">
    <dataValidation type="decimal" operator="greaterThan" allowBlank="1" showInputMessage="1" showErrorMessage="1" sqref="AD19:AE19 AG19:AI19">
      <formula1>0</formula1>
    </dataValidation>
    <dataValidation type="decimal" operator="greaterThanOrEqual" allowBlank="1" showInputMessage="1" showErrorMessage="1" sqref="AL7 AL9:AL10 AD7:AD17 AF7:AG11 AE17:AF17 AG13 AL13 AK7:AK14 AF13:AF14 AG16:AG17 AE7:AE14 AI7:AI17 AH17 AH7:AH15 AK16:AK17">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19">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19">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19">
      <formula1>INDIRECT("List_of_organisations")</formula1>
    </dataValidation>
    <dataValidation operator="lessThanOrEqual" allowBlank="1" showInputMessage="1" showErrorMessage="1" error="FTE cannot be greater than Headcount&#10;" sqref="AB6:AC19 AO4 P7:Q19 R4 A4:C4 P5 AB4 AO7:AO17 AO19"/>
    <dataValidation type="custom" allowBlank="1" showInputMessage="1" showErrorMessage="1" errorTitle="Headcount" error="The value entered in the headcount field must be greater than or equal to the value entered in the FTE field." sqref="D7:D18 T7:T18 H7:H18 J7:J18 L7:L18 F7:F18 V7:V18 X7:X18 O18 N7:N18 E18 G18 I18 K18 M18 R7:R18 S18 U18 W18 Y18 AD18:AI18 AK18:AL18">
      <formula1>D7&gt;=E7</formula1>
    </dataValidation>
    <dataValidation type="custom" allowBlank="1" showInputMessage="1" showErrorMessage="1" errorTitle="FTE" error="The value entered in the FTE field must be less than or equal to the value entered in the headcount field." sqref="E7:E17 W7:W17 G7:G17 I7:I17 K7:K17 M7:M17 AH16 Y7:Y17 U7:U17 O7:O17 AL8 S7:S17">
      <formula1>E7&lt;=D7</formula1>
    </dataValidation>
  </dataValidations>
  <printOptions/>
  <pageMargins left="0.75" right="0.75" top="1" bottom="1" header="0.5" footer="0.5"/>
  <pageSetup horizontalDpi="600" verticalDpi="600" orientation="portrait" paperSize="9" r:id="rId3"/>
  <legacyDrawing r:id="rId2"/>
</worksheet>
</file>

<file path=xl/worksheets/sheet15.xml><?xml version="1.0" encoding="utf-8"?>
<worksheet xmlns="http://schemas.openxmlformats.org/spreadsheetml/2006/main" xmlns:r="http://schemas.openxmlformats.org/officeDocument/2006/relationships">
  <dimension ref="A1:AO24"/>
  <sheetViews>
    <sheetView zoomScale="75" zoomScaleNormal="75" workbookViewId="0" topLeftCell="AE15">
      <selection activeCell="T12" sqref="T12"/>
    </sheetView>
  </sheetViews>
  <sheetFormatPr defaultColWidth="8.88671875" defaultRowHeight="15"/>
  <cols>
    <col min="1" max="1" width="17.88671875" style="0" customWidth="1"/>
    <col min="2" max="2" width="19.10546875" style="0" customWidth="1"/>
    <col min="30" max="30" width="14.88671875" style="0" bestFit="1" customWidth="1"/>
    <col min="31" max="31" width="11.4453125" style="0" customWidth="1"/>
    <col min="32" max="32" width="12.88671875" style="0" customWidth="1"/>
    <col min="33" max="33" width="12.6640625" style="0" bestFit="1" customWidth="1"/>
    <col min="34" max="34" width="21.5546875" style="0" customWidth="1"/>
    <col min="35" max="35" width="14.6640625" style="0" customWidth="1"/>
    <col min="36" max="36" width="14.77734375" style="0" customWidth="1"/>
    <col min="37" max="37" width="13.99609375" style="0" customWidth="1"/>
    <col min="38" max="38" width="13.4453125" style="0" customWidth="1"/>
    <col min="39" max="39" width="14.6640625" style="0" customWidth="1"/>
    <col min="40" max="40" width="15.4453125" style="0" customWidth="1"/>
    <col min="41" max="41" width="22.10546875" style="0" customWidth="1"/>
  </cols>
  <sheetData>
    <row r="1" ht="15">
      <c r="A1" s="2" t="s">
        <v>92</v>
      </c>
    </row>
    <row r="2" ht="15">
      <c r="A2" s="24" t="s">
        <v>93</v>
      </c>
    </row>
    <row r="3" ht="15">
      <c r="A3" s="24" t="s">
        <v>94</v>
      </c>
    </row>
    <row r="4" spans="1:41" s="1" customFormat="1" ht="15" customHeight="1">
      <c r="A4" s="383" t="s">
        <v>26</v>
      </c>
      <c r="B4" s="383" t="s">
        <v>15</v>
      </c>
      <c r="C4" s="383" t="s">
        <v>14</v>
      </c>
      <c r="D4" s="383" t="s">
        <v>22</v>
      </c>
      <c r="E4" s="383"/>
      <c r="F4" s="383"/>
      <c r="G4" s="383"/>
      <c r="H4" s="383"/>
      <c r="I4" s="383"/>
      <c r="J4" s="383"/>
      <c r="K4" s="383"/>
      <c r="L4" s="383"/>
      <c r="M4" s="383"/>
      <c r="N4" s="383"/>
      <c r="O4" s="383"/>
      <c r="P4" s="383"/>
      <c r="Q4" s="383"/>
      <c r="R4" s="385" t="s">
        <v>29</v>
      </c>
      <c r="S4" s="385"/>
      <c r="T4" s="385"/>
      <c r="U4" s="385"/>
      <c r="V4" s="385"/>
      <c r="W4" s="385"/>
      <c r="X4" s="385"/>
      <c r="Y4" s="385"/>
      <c r="Z4" s="385"/>
      <c r="AA4" s="385"/>
      <c r="AB4" s="384" t="s">
        <v>39</v>
      </c>
      <c r="AC4" s="384"/>
      <c r="AD4" s="385" t="s">
        <v>25</v>
      </c>
      <c r="AE4" s="385"/>
      <c r="AF4" s="385"/>
      <c r="AG4" s="385"/>
      <c r="AH4" s="385"/>
      <c r="AI4" s="385"/>
      <c r="AJ4" s="385"/>
      <c r="AK4" s="385" t="s">
        <v>46</v>
      </c>
      <c r="AL4" s="385"/>
      <c r="AM4" s="385"/>
      <c r="AN4" s="384" t="s">
        <v>38</v>
      </c>
      <c r="AO4" s="383" t="s">
        <v>47</v>
      </c>
    </row>
    <row r="5" spans="1:41" s="1" customFormat="1" ht="53.25" customHeight="1">
      <c r="A5" s="386"/>
      <c r="B5" s="386"/>
      <c r="C5" s="386"/>
      <c r="D5" s="383" t="s">
        <v>42</v>
      </c>
      <c r="E5" s="383"/>
      <c r="F5" s="383" t="s">
        <v>43</v>
      </c>
      <c r="G5" s="383"/>
      <c r="H5" s="383" t="s">
        <v>44</v>
      </c>
      <c r="I5" s="383"/>
      <c r="J5" s="383" t="s">
        <v>20</v>
      </c>
      <c r="K5" s="383"/>
      <c r="L5" s="383" t="s">
        <v>45</v>
      </c>
      <c r="M5" s="383"/>
      <c r="N5" s="383" t="s">
        <v>19</v>
      </c>
      <c r="O5" s="383"/>
      <c r="P5" s="383" t="s">
        <v>23</v>
      </c>
      <c r="Q5" s="383"/>
      <c r="R5" s="383" t="s">
        <v>27</v>
      </c>
      <c r="S5" s="385"/>
      <c r="T5" s="385" t="s">
        <v>17</v>
      </c>
      <c r="U5" s="385"/>
      <c r="V5" s="385" t="s">
        <v>18</v>
      </c>
      <c r="W5" s="385"/>
      <c r="X5" s="385" t="s">
        <v>28</v>
      </c>
      <c r="Y5" s="385"/>
      <c r="Z5" s="383" t="s">
        <v>24</v>
      </c>
      <c r="AA5" s="383"/>
      <c r="AB5" s="384"/>
      <c r="AC5" s="384"/>
      <c r="AD5" s="383" t="s">
        <v>31</v>
      </c>
      <c r="AE5" s="383" t="s">
        <v>30</v>
      </c>
      <c r="AF5" s="383" t="s">
        <v>32</v>
      </c>
      <c r="AG5" s="383" t="s">
        <v>33</v>
      </c>
      <c r="AH5" s="383" t="s">
        <v>34</v>
      </c>
      <c r="AI5" s="383" t="s">
        <v>35</v>
      </c>
      <c r="AJ5" s="383" t="s">
        <v>37</v>
      </c>
      <c r="AK5" s="383" t="s">
        <v>40</v>
      </c>
      <c r="AL5" s="383" t="s">
        <v>41</v>
      </c>
      <c r="AM5" s="383" t="s">
        <v>36</v>
      </c>
      <c r="AN5" s="384"/>
      <c r="AO5" s="383"/>
    </row>
    <row r="6" spans="1:41" s="2" customFormat="1" ht="57.75" customHeight="1">
      <c r="A6" s="386"/>
      <c r="B6" s="386"/>
      <c r="C6" s="386"/>
      <c r="D6" s="34" t="s">
        <v>16</v>
      </c>
      <c r="E6" s="34" t="s">
        <v>21</v>
      </c>
      <c r="F6" s="34" t="s">
        <v>16</v>
      </c>
      <c r="G6" s="34" t="s">
        <v>21</v>
      </c>
      <c r="H6" s="34" t="s">
        <v>16</v>
      </c>
      <c r="I6" s="34" t="s">
        <v>21</v>
      </c>
      <c r="J6" s="34" t="s">
        <v>16</v>
      </c>
      <c r="K6" s="34" t="s">
        <v>21</v>
      </c>
      <c r="L6" s="34" t="s">
        <v>16</v>
      </c>
      <c r="M6" s="34" t="s">
        <v>21</v>
      </c>
      <c r="N6" s="34" t="s">
        <v>16</v>
      </c>
      <c r="O6" s="34" t="s">
        <v>21</v>
      </c>
      <c r="P6" s="34" t="s">
        <v>16</v>
      </c>
      <c r="Q6" s="34" t="s">
        <v>21</v>
      </c>
      <c r="R6" s="34" t="s">
        <v>16</v>
      </c>
      <c r="S6" s="34" t="s">
        <v>21</v>
      </c>
      <c r="T6" s="34" t="s">
        <v>16</v>
      </c>
      <c r="U6" s="34" t="s">
        <v>21</v>
      </c>
      <c r="V6" s="34" t="s">
        <v>16</v>
      </c>
      <c r="W6" s="34" t="s">
        <v>21</v>
      </c>
      <c r="X6" s="34" t="s">
        <v>16</v>
      </c>
      <c r="Y6" s="34" t="s">
        <v>21</v>
      </c>
      <c r="Z6" s="34" t="s">
        <v>16</v>
      </c>
      <c r="AA6" s="34" t="s">
        <v>21</v>
      </c>
      <c r="AB6" s="89" t="s">
        <v>16</v>
      </c>
      <c r="AC6" s="88" t="s">
        <v>21</v>
      </c>
      <c r="AD6" s="383"/>
      <c r="AE6" s="383"/>
      <c r="AF6" s="383"/>
      <c r="AG6" s="383"/>
      <c r="AH6" s="383"/>
      <c r="AI6" s="383"/>
      <c r="AJ6" s="383"/>
      <c r="AK6" s="383"/>
      <c r="AL6" s="383"/>
      <c r="AM6" s="383"/>
      <c r="AN6" s="384"/>
      <c r="AO6" s="383"/>
    </row>
    <row r="7" spans="1:41" s="2" customFormat="1" ht="30">
      <c r="A7" s="90" t="s">
        <v>48</v>
      </c>
      <c r="B7" s="90" t="s">
        <v>49</v>
      </c>
      <c r="C7" s="90" t="s">
        <v>48</v>
      </c>
      <c r="D7" s="137">
        <v>1003</v>
      </c>
      <c r="E7" s="136">
        <v>930.8194188110084</v>
      </c>
      <c r="F7" s="137">
        <v>917</v>
      </c>
      <c r="G7" s="136">
        <v>882.5388983353732</v>
      </c>
      <c r="H7" s="137">
        <v>1601</v>
      </c>
      <c r="I7" s="136">
        <v>1554.6463835541115</v>
      </c>
      <c r="J7" s="137">
        <v>768</v>
      </c>
      <c r="K7" s="136">
        <v>745.2763085124151</v>
      </c>
      <c r="L7" s="137">
        <v>121</v>
      </c>
      <c r="M7" s="136">
        <v>118.65675999999999</v>
      </c>
      <c r="N7" s="135">
        <v>0</v>
      </c>
      <c r="O7" s="136">
        <v>0</v>
      </c>
      <c r="P7" s="43">
        <f>SUM(D7,F7,H7,J7,L7,N7)</f>
        <v>4410</v>
      </c>
      <c r="Q7" s="44">
        <f>SUM(E7,G7,I7,K7,M7,O7)</f>
        <v>4231.937769212908</v>
      </c>
      <c r="R7" s="125">
        <v>175</v>
      </c>
      <c r="S7" s="126">
        <v>173.09</v>
      </c>
      <c r="T7" s="125">
        <v>13</v>
      </c>
      <c r="U7" s="126">
        <v>13</v>
      </c>
      <c r="V7" s="125">
        <v>190</v>
      </c>
      <c r="W7" s="126">
        <v>188.25</v>
      </c>
      <c r="X7" s="125">
        <v>0</v>
      </c>
      <c r="Y7" s="126">
        <v>0</v>
      </c>
      <c r="Z7" s="100">
        <f aca="true" t="shared" si="0" ref="Z7:AA19">R7+T7+V7+X7</f>
        <v>378</v>
      </c>
      <c r="AA7" s="47">
        <f t="shared" si="0"/>
        <v>374.34000000000003</v>
      </c>
      <c r="AB7" s="43">
        <f>P7+Z7</f>
        <v>4788</v>
      </c>
      <c r="AC7" s="44">
        <f>Q7+AA7</f>
        <v>4606.277769212908</v>
      </c>
      <c r="AD7" s="48">
        <v>12679529.094999999</v>
      </c>
      <c r="AE7" s="48">
        <v>268530.71</v>
      </c>
      <c r="AF7" s="49">
        <v>47037.04</v>
      </c>
      <c r="AG7" s="48">
        <v>53356.15</v>
      </c>
      <c r="AH7" s="48">
        <v>2487314.1624999996</v>
      </c>
      <c r="AI7" s="48">
        <v>1108499.1425</v>
      </c>
      <c r="AJ7" s="93">
        <f>SUM(AD7:AI7)</f>
        <v>16644266.299999999</v>
      </c>
      <c r="AK7" s="48">
        <v>2711836.18</v>
      </c>
      <c r="AL7" s="48">
        <v>482095.37</v>
      </c>
      <c r="AM7" s="93">
        <f>SUM(AK7:AL7)</f>
        <v>3193931.5500000003</v>
      </c>
      <c r="AN7" s="93">
        <f>SUM(AM7,AJ7)</f>
        <v>19838197.849999998</v>
      </c>
      <c r="AO7" s="130"/>
    </row>
    <row r="8" spans="1:41" s="2" customFormat="1" ht="30">
      <c r="A8" s="90" t="s">
        <v>76</v>
      </c>
      <c r="B8" s="90" t="s">
        <v>51</v>
      </c>
      <c r="C8" s="90" t="s">
        <v>48</v>
      </c>
      <c r="D8" s="137">
        <v>13646</v>
      </c>
      <c r="E8" s="136">
        <v>11928.341585465532</v>
      </c>
      <c r="F8" s="137">
        <v>3035</v>
      </c>
      <c r="G8" s="136">
        <v>2833.849531831832</v>
      </c>
      <c r="H8" s="137">
        <v>2490</v>
      </c>
      <c r="I8" s="136">
        <v>2310.163044324321</v>
      </c>
      <c r="J8" s="137">
        <v>640</v>
      </c>
      <c r="K8" s="136">
        <v>623.5012213513512</v>
      </c>
      <c r="L8" s="137">
        <v>34</v>
      </c>
      <c r="M8" s="136">
        <v>33.972972972972975</v>
      </c>
      <c r="N8" s="135">
        <v>0</v>
      </c>
      <c r="O8" s="136">
        <v>0</v>
      </c>
      <c r="P8" s="43">
        <f aca="true" t="shared" si="1" ref="P8:Q19">SUM(D8,F8,H8,J8,L8,N8)</f>
        <v>19845</v>
      </c>
      <c r="Q8" s="44">
        <f t="shared" si="1"/>
        <v>17729.828355946007</v>
      </c>
      <c r="R8" s="90" t="s">
        <v>90</v>
      </c>
      <c r="S8" s="90" t="s">
        <v>90</v>
      </c>
      <c r="T8" s="90">
        <v>0</v>
      </c>
      <c r="U8" s="90">
        <v>0</v>
      </c>
      <c r="V8" s="90">
        <v>0</v>
      </c>
      <c r="W8" s="90">
        <v>0</v>
      </c>
      <c r="X8" s="92">
        <v>0</v>
      </c>
      <c r="Y8" s="91">
        <v>0</v>
      </c>
      <c r="Z8" s="90" t="s">
        <v>90</v>
      </c>
      <c r="AA8" s="90" t="s">
        <v>90</v>
      </c>
      <c r="AB8" s="90" t="s">
        <v>90</v>
      </c>
      <c r="AC8" s="90" t="s">
        <v>90</v>
      </c>
      <c r="AD8" s="48">
        <v>33880791.51</v>
      </c>
      <c r="AE8" s="48">
        <v>588590.78</v>
      </c>
      <c r="AF8" s="48">
        <v>100396.91</v>
      </c>
      <c r="AG8" s="48">
        <v>388678.62</v>
      </c>
      <c r="AH8" s="48">
        <v>6029868.53</v>
      </c>
      <c r="AI8" s="48">
        <v>2268438.73</v>
      </c>
      <c r="AJ8" s="93">
        <f aca="true" t="shared" si="2" ref="AJ8:AJ19">SUM(AD8:AI8)</f>
        <v>43256765.07999999</v>
      </c>
      <c r="AK8" s="61">
        <v>1409755.15</v>
      </c>
      <c r="AL8" s="48">
        <v>0</v>
      </c>
      <c r="AM8" s="93">
        <f aca="true" t="shared" si="3" ref="AM8:AM19">SUM(AK8:AL8)</f>
        <v>1409755.15</v>
      </c>
      <c r="AN8" s="93">
        <f aca="true" t="shared" si="4" ref="AN8:AN19">SUM(AM8,AJ8)</f>
        <v>44666520.22999999</v>
      </c>
      <c r="AO8" s="131" t="s">
        <v>109</v>
      </c>
    </row>
    <row r="9" spans="1:41" s="2" customFormat="1" ht="30">
      <c r="A9" s="90" t="s">
        <v>55</v>
      </c>
      <c r="B9" s="90" t="s">
        <v>51</v>
      </c>
      <c r="C9" s="90" t="s">
        <v>48</v>
      </c>
      <c r="D9" s="132">
        <v>196</v>
      </c>
      <c r="E9" s="133">
        <v>175.23</v>
      </c>
      <c r="F9" s="132">
        <v>128</v>
      </c>
      <c r="G9" s="133">
        <v>122.53</v>
      </c>
      <c r="H9" s="132">
        <v>262</v>
      </c>
      <c r="I9" s="133">
        <v>254.09</v>
      </c>
      <c r="J9" s="132">
        <v>61</v>
      </c>
      <c r="K9" s="133">
        <v>60.16</v>
      </c>
      <c r="L9" s="132">
        <v>6</v>
      </c>
      <c r="M9" s="133">
        <v>6</v>
      </c>
      <c r="N9" s="132">
        <v>0</v>
      </c>
      <c r="O9" s="133">
        <v>0</v>
      </c>
      <c r="P9" s="43">
        <f t="shared" si="1"/>
        <v>653</v>
      </c>
      <c r="Q9" s="44">
        <f t="shared" si="1"/>
        <v>618.01</v>
      </c>
      <c r="R9" s="63">
        <v>8</v>
      </c>
      <c r="S9" s="134">
        <v>6.6</v>
      </c>
      <c r="T9" s="63">
        <v>0</v>
      </c>
      <c r="U9" s="134">
        <v>0</v>
      </c>
      <c r="V9" s="63">
        <v>16</v>
      </c>
      <c r="W9" s="134">
        <v>15</v>
      </c>
      <c r="X9" s="63">
        <v>0</v>
      </c>
      <c r="Y9" s="134">
        <v>0</v>
      </c>
      <c r="Z9" s="100">
        <f t="shared" si="0"/>
        <v>24</v>
      </c>
      <c r="AA9" s="47">
        <f t="shared" si="0"/>
        <v>21.6</v>
      </c>
      <c r="AB9" s="43">
        <f>P9+Z9</f>
        <v>677</v>
      </c>
      <c r="AC9" s="44">
        <f>Q9+AA9</f>
        <v>639.61</v>
      </c>
      <c r="AD9" s="98">
        <v>1526157.72</v>
      </c>
      <c r="AE9" s="98">
        <v>10669.79</v>
      </c>
      <c r="AF9" s="98">
        <v>7800</v>
      </c>
      <c r="AG9" s="98">
        <v>16942.91</v>
      </c>
      <c r="AH9" s="98">
        <v>275970.42</v>
      </c>
      <c r="AI9" s="98">
        <v>131487.8</v>
      </c>
      <c r="AJ9" s="93">
        <f t="shared" si="2"/>
        <v>1969028.64</v>
      </c>
      <c r="AK9" s="98">
        <v>88796.37</v>
      </c>
      <c r="AL9" s="48">
        <v>0</v>
      </c>
      <c r="AM9" s="93">
        <f t="shared" si="3"/>
        <v>88796.37</v>
      </c>
      <c r="AN9" s="93">
        <f t="shared" si="4"/>
        <v>2057825.0099999998</v>
      </c>
      <c r="AO9" s="130"/>
    </row>
    <row r="10" spans="1:41" s="2" customFormat="1" ht="30">
      <c r="A10" s="90" t="s">
        <v>56</v>
      </c>
      <c r="B10" s="90" t="s">
        <v>51</v>
      </c>
      <c r="C10" s="90" t="s">
        <v>48</v>
      </c>
      <c r="D10" s="68">
        <v>34108</v>
      </c>
      <c r="E10" s="73">
        <v>32540.242416954443</v>
      </c>
      <c r="F10" s="68">
        <v>6278</v>
      </c>
      <c r="G10" s="73">
        <v>6001.706066291404</v>
      </c>
      <c r="H10" s="68">
        <v>3677</v>
      </c>
      <c r="I10" s="73">
        <v>3443.5116960648606</v>
      </c>
      <c r="J10" s="68">
        <v>612</v>
      </c>
      <c r="K10" s="73">
        <v>596.5117484141874</v>
      </c>
      <c r="L10" s="68">
        <v>38</v>
      </c>
      <c r="M10" s="73">
        <v>37.8780487804878</v>
      </c>
      <c r="N10" s="135">
        <v>0</v>
      </c>
      <c r="O10" s="136">
        <v>0</v>
      </c>
      <c r="P10" s="43">
        <f t="shared" si="1"/>
        <v>44713</v>
      </c>
      <c r="Q10" s="44">
        <f t="shared" si="1"/>
        <v>42619.849976505386</v>
      </c>
      <c r="R10" s="68" t="s">
        <v>90</v>
      </c>
      <c r="S10" s="126">
        <v>294.83</v>
      </c>
      <c r="T10" s="68">
        <v>0</v>
      </c>
      <c r="U10" s="126">
        <v>0</v>
      </c>
      <c r="V10" s="68">
        <v>9</v>
      </c>
      <c r="W10" s="126">
        <v>9</v>
      </c>
      <c r="X10" s="68">
        <v>4</v>
      </c>
      <c r="Y10" s="126">
        <v>4</v>
      </c>
      <c r="Z10" s="68" t="s">
        <v>90</v>
      </c>
      <c r="AA10" s="47">
        <f t="shared" si="0"/>
        <v>307.83</v>
      </c>
      <c r="AB10" s="68" t="s">
        <v>90</v>
      </c>
      <c r="AC10" s="44">
        <f aca="true" t="shared" si="5" ref="AB10:AC19">Q10+AA10</f>
        <v>42927.67997650539</v>
      </c>
      <c r="AD10" s="48">
        <v>105691642.97000004</v>
      </c>
      <c r="AE10" s="48">
        <v>0</v>
      </c>
      <c r="AF10" s="48">
        <v>0</v>
      </c>
      <c r="AG10" s="48">
        <v>4691546.87</v>
      </c>
      <c r="AH10" s="48">
        <v>19795167.650000006</v>
      </c>
      <c r="AI10" s="48">
        <v>8543039.919999996</v>
      </c>
      <c r="AJ10" s="93">
        <f t="shared" si="2"/>
        <v>138721397.41000006</v>
      </c>
      <c r="AK10" s="48">
        <v>2548696.91</v>
      </c>
      <c r="AL10" s="48">
        <v>14565.56</v>
      </c>
      <c r="AM10" s="93">
        <f t="shared" si="3"/>
        <v>2563262.47</v>
      </c>
      <c r="AN10" s="93">
        <f t="shared" si="4"/>
        <v>141284659.88000005</v>
      </c>
      <c r="AO10" s="131" t="s">
        <v>110</v>
      </c>
    </row>
    <row r="11" spans="1:41" s="2" customFormat="1" ht="30">
      <c r="A11" s="90" t="s">
        <v>58</v>
      </c>
      <c r="B11" s="90" t="s">
        <v>51</v>
      </c>
      <c r="C11" s="90" t="s">
        <v>48</v>
      </c>
      <c r="D11" s="137">
        <v>283</v>
      </c>
      <c r="E11" s="136">
        <v>267.6881181081082</v>
      </c>
      <c r="F11" s="137">
        <v>142</v>
      </c>
      <c r="G11" s="136">
        <v>134.94115297297293</v>
      </c>
      <c r="H11" s="137">
        <v>64</v>
      </c>
      <c r="I11" s="136">
        <v>62.0878308108108</v>
      </c>
      <c r="J11" s="137">
        <v>10</v>
      </c>
      <c r="K11" s="136">
        <v>9.795192972972973</v>
      </c>
      <c r="L11" s="137">
        <v>1</v>
      </c>
      <c r="M11" s="136">
        <v>0.77838</v>
      </c>
      <c r="N11" s="135">
        <v>0</v>
      </c>
      <c r="O11" s="136">
        <v>0</v>
      </c>
      <c r="P11" s="43">
        <f t="shared" si="1"/>
        <v>500</v>
      </c>
      <c r="Q11" s="44">
        <f t="shared" si="1"/>
        <v>475.29067486486497</v>
      </c>
      <c r="R11" s="68">
        <v>180</v>
      </c>
      <c r="S11" s="126">
        <v>136.61</v>
      </c>
      <c r="T11" s="68">
        <v>0</v>
      </c>
      <c r="U11" s="126">
        <v>0</v>
      </c>
      <c r="V11" s="68">
        <v>0</v>
      </c>
      <c r="W11" s="126">
        <v>0</v>
      </c>
      <c r="X11" s="68">
        <v>0</v>
      </c>
      <c r="Y11" s="126">
        <v>0</v>
      </c>
      <c r="Z11" s="100">
        <f t="shared" si="0"/>
        <v>180</v>
      </c>
      <c r="AA11" s="47">
        <f t="shared" si="0"/>
        <v>136.61</v>
      </c>
      <c r="AB11" s="43">
        <f t="shared" si="5"/>
        <v>680</v>
      </c>
      <c r="AC11" s="44">
        <f t="shared" si="5"/>
        <v>611.900674864865</v>
      </c>
      <c r="AD11" s="48">
        <v>829311.21</v>
      </c>
      <c r="AE11" s="48">
        <v>22913.87</v>
      </c>
      <c r="AF11" s="48">
        <v>15330</v>
      </c>
      <c r="AG11" s="48">
        <v>33812.97</v>
      </c>
      <c r="AH11" s="48">
        <v>135968.91</v>
      </c>
      <c r="AI11" s="48">
        <v>62543.76</v>
      </c>
      <c r="AJ11" s="93">
        <f t="shared" si="2"/>
        <v>1099880.72</v>
      </c>
      <c r="AK11" s="48">
        <v>280703.38</v>
      </c>
      <c r="AL11" s="48">
        <v>0</v>
      </c>
      <c r="AM11" s="93">
        <f t="shared" si="3"/>
        <v>280703.38</v>
      </c>
      <c r="AN11" s="93">
        <f t="shared" si="4"/>
        <v>1380584.1</v>
      </c>
      <c r="AO11" s="150" t="s">
        <v>113</v>
      </c>
    </row>
    <row r="12" spans="1:41" s="2" customFormat="1" ht="114.75">
      <c r="A12" s="90" t="s">
        <v>62</v>
      </c>
      <c r="B12" s="90" t="s">
        <v>63</v>
      </c>
      <c r="C12" s="90" t="s">
        <v>48</v>
      </c>
      <c r="D12" s="132">
        <v>0</v>
      </c>
      <c r="E12" s="133">
        <v>0</v>
      </c>
      <c r="F12" s="132">
        <v>0</v>
      </c>
      <c r="G12" s="133">
        <v>0</v>
      </c>
      <c r="H12" s="132">
        <v>0</v>
      </c>
      <c r="I12" s="133">
        <v>0</v>
      </c>
      <c r="J12" s="132">
        <v>0</v>
      </c>
      <c r="K12" s="133">
        <v>0</v>
      </c>
      <c r="L12" s="132">
        <v>0</v>
      </c>
      <c r="M12" s="133">
        <v>0</v>
      </c>
      <c r="N12" s="138">
        <v>72</v>
      </c>
      <c r="O12" s="138">
        <v>66.38</v>
      </c>
      <c r="P12" s="43">
        <f t="shared" si="1"/>
        <v>72</v>
      </c>
      <c r="Q12" s="44">
        <f t="shared" si="1"/>
        <v>66.38</v>
      </c>
      <c r="R12" s="68">
        <v>2</v>
      </c>
      <c r="S12" s="126">
        <v>2</v>
      </c>
      <c r="T12" s="68">
        <v>0</v>
      </c>
      <c r="U12" s="126">
        <v>0</v>
      </c>
      <c r="V12" s="68">
        <v>0</v>
      </c>
      <c r="W12" s="126">
        <v>0</v>
      </c>
      <c r="X12" s="68">
        <v>0</v>
      </c>
      <c r="Y12" s="126">
        <v>0</v>
      </c>
      <c r="Z12" s="100">
        <f t="shared" si="0"/>
        <v>2</v>
      </c>
      <c r="AA12" s="47">
        <f t="shared" si="0"/>
        <v>2</v>
      </c>
      <c r="AB12" s="43">
        <f t="shared" si="5"/>
        <v>74</v>
      </c>
      <c r="AC12" s="44">
        <f t="shared" si="5"/>
        <v>68.38</v>
      </c>
      <c r="AD12" s="48">
        <v>247411</v>
      </c>
      <c r="AE12" s="48">
        <v>57</v>
      </c>
      <c r="AF12" s="48">
        <v>0</v>
      </c>
      <c r="AG12" s="48">
        <v>0</v>
      </c>
      <c r="AH12" s="48">
        <v>35627</v>
      </c>
      <c r="AI12" s="48">
        <v>19413</v>
      </c>
      <c r="AJ12" s="93">
        <f t="shared" si="2"/>
        <v>302508</v>
      </c>
      <c r="AK12" s="151">
        <v>7402</v>
      </c>
      <c r="AL12" s="48">
        <v>0</v>
      </c>
      <c r="AM12" s="93">
        <f t="shared" si="3"/>
        <v>7402</v>
      </c>
      <c r="AN12" s="93">
        <f t="shared" si="4"/>
        <v>309910</v>
      </c>
      <c r="AO12" s="152" t="s">
        <v>64</v>
      </c>
    </row>
    <row r="13" spans="1:41" s="2" customFormat="1" ht="45">
      <c r="A13" s="90" t="s">
        <v>66</v>
      </c>
      <c r="B13" s="90" t="s">
        <v>63</v>
      </c>
      <c r="C13" s="90" t="s">
        <v>48</v>
      </c>
      <c r="D13" s="132">
        <v>0</v>
      </c>
      <c r="E13" s="133">
        <v>0</v>
      </c>
      <c r="F13" s="132">
        <v>0</v>
      </c>
      <c r="G13" s="133">
        <v>0</v>
      </c>
      <c r="H13" s="132">
        <v>0</v>
      </c>
      <c r="I13" s="133">
        <v>0</v>
      </c>
      <c r="J13" s="132">
        <v>0</v>
      </c>
      <c r="K13" s="133">
        <v>0</v>
      </c>
      <c r="L13" s="132">
        <v>0</v>
      </c>
      <c r="M13" s="133">
        <v>0</v>
      </c>
      <c r="N13" s="153">
        <v>362</v>
      </c>
      <c r="O13" s="139">
        <v>337.69</v>
      </c>
      <c r="P13" s="43">
        <f t="shared" si="1"/>
        <v>362</v>
      </c>
      <c r="Q13" s="44">
        <f t="shared" si="1"/>
        <v>337.69</v>
      </c>
      <c r="R13" s="68">
        <v>0</v>
      </c>
      <c r="S13" s="126">
        <v>0</v>
      </c>
      <c r="T13" s="68">
        <v>0</v>
      </c>
      <c r="U13" s="126">
        <v>0</v>
      </c>
      <c r="V13" s="68">
        <v>0</v>
      </c>
      <c r="W13" s="126">
        <v>0</v>
      </c>
      <c r="X13" s="68">
        <v>0</v>
      </c>
      <c r="Y13" s="126">
        <v>0</v>
      </c>
      <c r="Z13" s="46">
        <f t="shared" si="0"/>
        <v>0</v>
      </c>
      <c r="AA13" s="47">
        <f t="shared" si="0"/>
        <v>0</v>
      </c>
      <c r="AB13" s="43">
        <f t="shared" si="5"/>
        <v>362</v>
      </c>
      <c r="AC13" s="44">
        <f t="shared" si="5"/>
        <v>337.69</v>
      </c>
      <c r="AD13" s="48">
        <v>766365.36</v>
      </c>
      <c r="AE13" s="48">
        <v>857.73</v>
      </c>
      <c r="AF13" s="48">
        <v>0</v>
      </c>
      <c r="AG13" s="48">
        <v>5459.19</v>
      </c>
      <c r="AH13" s="48">
        <v>137561.78</v>
      </c>
      <c r="AI13" s="48">
        <v>53057.93</v>
      </c>
      <c r="AJ13" s="93">
        <f t="shared" si="2"/>
        <v>963301.99</v>
      </c>
      <c r="AK13" s="48">
        <v>80027.9</v>
      </c>
      <c r="AL13" s="48">
        <v>2000</v>
      </c>
      <c r="AM13" s="93">
        <f t="shared" si="3"/>
        <v>82027.9</v>
      </c>
      <c r="AN13" s="93">
        <f t="shared" si="4"/>
        <v>1045329.89</v>
      </c>
      <c r="AO13" s="130"/>
    </row>
    <row r="14" spans="1:41" s="2" customFormat="1" ht="45">
      <c r="A14" s="90" t="s">
        <v>67</v>
      </c>
      <c r="B14" s="90" t="s">
        <v>63</v>
      </c>
      <c r="C14" s="90" t="s">
        <v>48</v>
      </c>
      <c r="D14" s="135">
        <v>11</v>
      </c>
      <c r="E14" s="136">
        <v>11</v>
      </c>
      <c r="F14" s="135">
        <v>19</v>
      </c>
      <c r="G14" s="136">
        <v>18</v>
      </c>
      <c r="H14" s="135">
        <v>25</v>
      </c>
      <c r="I14" s="136">
        <v>24.69</v>
      </c>
      <c r="J14" s="135">
        <v>13</v>
      </c>
      <c r="K14" s="136">
        <v>12.2</v>
      </c>
      <c r="L14" s="135">
        <v>3</v>
      </c>
      <c r="M14" s="136">
        <v>3</v>
      </c>
      <c r="N14" s="135">
        <v>1</v>
      </c>
      <c r="O14" s="136">
        <v>0.4</v>
      </c>
      <c r="P14" s="43">
        <f t="shared" si="1"/>
        <v>72</v>
      </c>
      <c r="Q14" s="44">
        <f t="shared" si="1"/>
        <v>69.29</v>
      </c>
      <c r="R14" s="63">
        <v>0</v>
      </c>
      <c r="S14" s="134">
        <v>0</v>
      </c>
      <c r="T14" s="63">
        <v>0</v>
      </c>
      <c r="U14" s="134">
        <v>0</v>
      </c>
      <c r="V14" s="63">
        <v>0</v>
      </c>
      <c r="W14" s="134">
        <v>0</v>
      </c>
      <c r="X14" s="63">
        <v>0</v>
      </c>
      <c r="Y14" s="134">
        <v>0</v>
      </c>
      <c r="Z14" s="100">
        <f t="shared" si="0"/>
        <v>0</v>
      </c>
      <c r="AA14" s="47">
        <f t="shared" si="0"/>
        <v>0</v>
      </c>
      <c r="AB14" s="43">
        <f t="shared" si="5"/>
        <v>72</v>
      </c>
      <c r="AC14" s="44">
        <f t="shared" si="5"/>
        <v>69.29</v>
      </c>
      <c r="AD14" s="48">
        <v>191657.46</v>
      </c>
      <c r="AE14" s="48">
        <v>2148.12</v>
      </c>
      <c r="AF14" s="48">
        <v>300</v>
      </c>
      <c r="AG14" s="48">
        <v>0</v>
      </c>
      <c r="AH14" s="48">
        <v>35960.95</v>
      </c>
      <c r="AI14" s="48">
        <v>16411.45</v>
      </c>
      <c r="AJ14" s="93">
        <f t="shared" si="2"/>
        <v>246477.97999999998</v>
      </c>
      <c r="AK14" s="48">
        <v>0</v>
      </c>
      <c r="AL14" s="48">
        <v>0</v>
      </c>
      <c r="AM14" s="93">
        <f t="shared" si="3"/>
        <v>0</v>
      </c>
      <c r="AN14" s="93">
        <f t="shared" si="4"/>
        <v>246477.97999999998</v>
      </c>
      <c r="AO14" s="130"/>
    </row>
    <row r="15" spans="1:41" s="2" customFormat="1" ht="60">
      <c r="A15" s="90" t="s">
        <v>68</v>
      </c>
      <c r="B15" s="90" t="s">
        <v>63</v>
      </c>
      <c r="C15" s="90" t="s">
        <v>48</v>
      </c>
      <c r="D15" s="132">
        <v>0</v>
      </c>
      <c r="E15" s="133">
        <v>0</v>
      </c>
      <c r="F15" s="132">
        <v>0</v>
      </c>
      <c r="G15" s="133">
        <v>0</v>
      </c>
      <c r="H15" s="132">
        <v>0</v>
      </c>
      <c r="I15" s="133">
        <v>0</v>
      </c>
      <c r="J15" s="132">
        <v>0</v>
      </c>
      <c r="K15" s="133">
        <v>0</v>
      </c>
      <c r="L15" s="132">
        <v>0</v>
      </c>
      <c r="M15" s="133">
        <v>0</v>
      </c>
      <c r="N15" s="63">
        <v>29</v>
      </c>
      <c r="O15" s="84">
        <v>28.8</v>
      </c>
      <c r="P15" s="43">
        <f t="shared" si="1"/>
        <v>29</v>
      </c>
      <c r="Q15" s="44">
        <f t="shared" si="1"/>
        <v>28.8</v>
      </c>
      <c r="R15" s="63">
        <v>0</v>
      </c>
      <c r="S15" s="134">
        <v>0</v>
      </c>
      <c r="T15" s="63">
        <v>0</v>
      </c>
      <c r="U15" s="134">
        <v>0</v>
      </c>
      <c r="V15" s="63">
        <v>0</v>
      </c>
      <c r="W15" s="134">
        <v>0</v>
      </c>
      <c r="X15" s="63">
        <v>0</v>
      </c>
      <c r="Y15" s="134">
        <v>0</v>
      </c>
      <c r="Z15" s="100">
        <f t="shared" si="0"/>
        <v>0</v>
      </c>
      <c r="AA15" s="47">
        <f t="shared" si="0"/>
        <v>0</v>
      </c>
      <c r="AB15" s="43">
        <f t="shared" si="5"/>
        <v>29</v>
      </c>
      <c r="AC15" s="44">
        <f t="shared" si="5"/>
        <v>28.8</v>
      </c>
      <c r="AD15" s="98">
        <v>136276.44</v>
      </c>
      <c r="AE15" s="48">
        <v>0</v>
      </c>
      <c r="AF15" s="48">
        <v>0</v>
      </c>
      <c r="AG15" s="48">
        <v>0</v>
      </c>
      <c r="AH15" s="98">
        <v>30275.01</v>
      </c>
      <c r="AI15" s="98">
        <v>16337.03</v>
      </c>
      <c r="AJ15" s="93">
        <f t="shared" si="2"/>
        <v>182888.48</v>
      </c>
      <c r="AK15" s="48">
        <v>0</v>
      </c>
      <c r="AL15" s="48">
        <v>0</v>
      </c>
      <c r="AM15" s="93">
        <f t="shared" si="3"/>
        <v>0</v>
      </c>
      <c r="AN15" s="93">
        <f t="shared" si="4"/>
        <v>182888.48</v>
      </c>
      <c r="AO15" s="154" t="s">
        <v>69</v>
      </c>
    </row>
    <row r="16" spans="1:41" s="2" customFormat="1" ht="45">
      <c r="A16" s="90" t="s">
        <v>70</v>
      </c>
      <c r="B16" s="90" t="s">
        <v>63</v>
      </c>
      <c r="C16" s="90" t="s">
        <v>48</v>
      </c>
      <c r="D16" s="63">
        <v>798</v>
      </c>
      <c r="E16" s="84">
        <f>513.89+240.55</f>
        <v>754.44</v>
      </c>
      <c r="F16" s="63">
        <f>262+3</f>
        <v>265</v>
      </c>
      <c r="G16" s="84">
        <f>252.21+3</f>
        <v>255.21</v>
      </c>
      <c r="H16" s="63">
        <f>255+142+1</f>
        <v>398</v>
      </c>
      <c r="I16" s="84">
        <f>245.12+134.45+1</f>
        <v>380.57</v>
      </c>
      <c r="J16" s="63">
        <f>18+86+8</f>
        <v>112</v>
      </c>
      <c r="K16" s="84">
        <f>17.4+84.87+8</f>
        <v>110.27000000000001</v>
      </c>
      <c r="L16" s="63">
        <f>15+4</f>
        <v>19</v>
      </c>
      <c r="M16" s="84">
        <f>9.2+3.4</f>
        <v>12.6</v>
      </c>
      <c r="N16" s="63">
        <v>0</v>
      </c>
      <c r="O16" s="84">
        <v>0</v>
      </c>
      <c r="P16" s="43">
        <f t="shared" si="1"/>
        <v>1592</v>
      </c>
      <c r="Q16" s="44">
        <f t="shared" si="1"/>
        <v>1513.09</v>
      </c>
      <c r="R16" s="63">
        <v>32</v>
      </c>
      <c r="S16" s="134">
        <v>30.1</v>
      </c>
      <c r="T16" s="63">
        <v>0</v>
      </c>
      <c r="U16" s="134">
        <v>0</v>
      </c>
      <c r="V16" s="63">
        <v>73</v>
      </c>
      <c r="W16" s="134">
        <v>71.7</v>
      </c>
      <c r="X16" s="63">
        <v>0</v>
      </c>
      <c r="Y16" s="134">
        <v>0</v>
      </c>
      <c r="Z16" s="46">
        <f t="shared" si="0"/>
        <v>105</v>
      </c>
      <c r="AA16" s="47">
        <f t="shared" si="0"/>
        <v>101.80000000000001</v>
      </c>
      <c r="AB16" s="43">
        <f t="shared" si="5"/>
        <v>1697</v>
      </c>
      <c r="AC16" s="44">
        <f t="shared" si="5"/>
        <v>1614.8899999999999</v>
      </c>
      <c r="AD16" s="98">
        <f>3002263.61+352838.13+98636.73-17500-70-610.56</f>
        <v>3435557.9099999997</v>
      </c>
      <c r="AE16" s="48">
        <v>0</v>
      </c>
      <c r="AF16" s="48">
        <v>0</v>
      </c>
      <c r="AG16" s="98">
        <f>58398.77+6497.55</f>
        <v>64896.32</v>
      </c>
      <c r="AH16" s="90" t="s">
        <v>90</v>
      </c>
      <c r="AI16" s="98">
        <f>252743.15+23821.32</f>
        <v>276564.47</v>
      </c>
      <c r="AJ16" s="93">
        <f t="shared" si="2"/>
        <v>3777018.6999999993</v>
      </c>
      <c r="AK16" s="98">
        <f>350857.7+674137.86</f>
        <v>1024995.56</v>
      </c>
      <c r="AL16" s="48">
        <v>0</v>
      </c>
      <c r="AM16" s="93">
        <f t="shared" si="3"/>
        <v>1024995.56</v>
      </c>
      <c r="AN16" s="93">
        <f t="shared" si="4"/>
        <v>4802014.26</v>
      </c>
      <c r="AO16" s="130"/>
    </row>
    <row r="17" spans="1:41" s="2" customFormat="1" ht="45">
      <c r="A17" s="90" t="s">
        <v>71</v>
      </c>
      <c r="B17" s="90" t="s">
        <v>63</v>
      </c>
      <c r="C17" s="90" t="s">
        <v>48</v>
      </c>
      <c r="D17" s="135">
        <v>20</v>
      </c>
      <c r="E17" s="136">
        <v>18.79</v>
      </c>
      <c r="F17" s="135">
        <v>47</v>
      </c>
      <c r="G17" s="136">
        <v>46.73</v>
      </c>
      <c r="H17" s="135">
        <v>15</v>
      </c>
      <c r="I17" s="136">
        <v>14.06</v>
      </c>
      <c r="J17" s="135">
        <v>6</v>
      </c>
      <c r="K17" s="136">
        <v>6</v>
      </c>
      <c r="L17" s="135">
        <v>1</v>
      </c>
      <c r="M17" s="136">
        <v>1</v>
      </c>
      <c r="N17" s="135">
        <v>0</v>
      </c>
      <c r="O17" s="136">
        <v>0</v>
      </c>
      <c r="P17" s="43">
        <f t="shared" si="1"/>
        <v>89</v>
      </c>
      <c r="Q17" s="44">
        <f t="shared" si="1"/>
        <v>86.58</v>
      </c>
      <c r="R17" s="68">
        <v>7</v>
      </c>
      <c r="S17" s="126">
        <v>7</v>
      </c>
      <c r="T17" s="68">
        <v>0</v>
      </c>
      <c r="U17" s="126">
        <v>0</v>
      </c>
      <c r="V17" s="68">
        <v>0</v>
      </c>
      <c r="W17" s="126">
        <v>0</v>
      </c>
      <c r="X17" s="68">
        <v>0</v>
      </c>
      <c r="Y17" s="126">
        <v>0</v>
      </c>
      <c r="Z17" s="46">
        <f t="shared" si="0"/>
        <v>7</v>
      </c>
      <c r="AA17" s="47">
        <f t="shared" si="0"/>
        <v>7</v>
      </c>
      <c r="AB17" s="43">
        <f t="shared" si="5"/>
        <v>96</v>
      </c>
      <c r="AC17" s="44">
        <f t="shared" si="5"/>
        <v>93.58</v>
      </c>
      <c r="AD17" s="48">
        <v>180070.22</v>
      </c>
      <c r="AE17" s="48">
        <v>17859.14</v>
      </c>
      <c r="AF17" s="48">
        <v>9030.24</v>
      </c>
      <c r="AG17" s="48">
        <v>4741.69</v>
      </c>
      <c r="AH17" s="48">
        <v>33453.08</v>
      </c>
      <c r="AI17" s="48">
        <v>18551.58</v>
      </c>
      <c r="AJ17" s="93">
        <f t="shared" si="2"/>
        <v>263705.95</v>
      </c>
      <c r="AK17" s="48">
        <v>37452.82</v>
      </c>
      <c r="AL17" s="48">
        <v>0</v>
      </c>
      <c r="AM17" s="93">
        <f t="shared" si="3"/>
        <v>37452.82</v>
      </c>
      <c r="AN17" s="93">
        <f t="shared" si="4"/>
        <v>301158.77</v>
      </c>
      <c r="AO17" s="130"/>
    </row>
    <row r="18" spans="1:41" s="2" customFormat="1" ht="45">
      <c r="A18" s="90" t="s">
        <v>72</v>
      </c>
      <c r="B18" s="90" t="s">
        <v>63</v>
      </c>
      <c r="C18" s="90" t="s">
        <v>48</v>
      </c>
      <c r="D18" s="41" t="s">
        <v>90</v>
      </c>
      <c r="E18" s="41" t="s">
        <v>90</v>
      </c>
      <c r="F18" s="41" t="s">
        <v>90</v>
      </c>
      <c r="G18" s="41" t="s">
        <v>90</v>
      </c>
      <c r="H18" s="41" t="s">
        <v>90</v>
      </c>
      <c r="I18" s="41" t="s">
        <v>90</v>
      </c>
      <c r="J18" s="41" t="s">
        <v>90</v>
      </c>
      <c r="K18" s="41" t="s">
        <v>90</v>
      </c>
      <c r="L18" s="41" t="s">
        <v>90</v>
      </c>
      <c r="M18" s="41" t="s">
        <v>90</v>
      </c>
      <c r="N18" s="41" t="s">
        <v>90</v>
      </c>
      <c r="O18" s="41" t="s">
        <v>90</v>
      </c>
      <c r="P18" s="41" t="s">
        <v>90</v>
      </c>
      <c r="Q18" s="41" t="s">
        <v>90</v>
      </c>
      <c r="R18" s="41" t="s">
        <v>90</v>
      </c>
      <c r="S18" s="41" t="s">
        <v>90</v>
      </c>
      <c r="T18" s="41" t="s">
        <v>90</v>
      </c>
      <c r="U18" s="41" t="s">
        <v>90</v>
      </c>
      <c r="V18" s="41" t="s">
        <v>90</v>
      </c>
      <c r="W18" s="41" t="s">
        <v>90</v>
      </c>
      <c r="X18" s="41" t="s">
        <v>90</v>
      </c>
      <c r="Y18" s="41" t="s">
        <v>90</v>
      </c>
      <c r="Z18" s="41" t="s">
        <v>90</v>
      </c>
      <c r="AA18" s="41" t="s">
        <v>90</v>
      </c>
      <c r="AB18" s="41" t="s">
        <v>90</v>
      </c>
      <c r="AC18" s="41" t="s">
        <v>90</v>
      </c>
      <c r="AD18" s="41" t="s">
        <v>90</v>
      </c>
      <c r="AE18" s="41" t="s">
        <v>90</v>
      </c>
      <c r="AF18" s="41" t="s">
        <v>90</v>
      </c>
      <c r="AG18" s="41" t="s">
        <v>90</v>
      </c>
      <c r="AH18" s="41" t="s">
        <v>90</v>
      </c>
      <c r="AI18" s="41" t="s">
        <v>90</v>
      </c>
      <c r="AJ18" s="41" t="s">
        <v>90</v>
      </c>
      <c r="AK18" s="41" t="s">
        <v>90</v>
      </c>
      <c r="AL18" s="41" t="s">
        <v>90</v>
      </c>
      <c r="AM18" s="41" t="s">
        <v>90</v>
      </c>
      <c r="AN18" s="41" t="s">
        <v>90</v>
      </c>
      <c r="AO18" s="150" t="s">
        <v>114</v>
      </c>
    </row>
    <row r="19" spans="1:41" s="2" customFormat="1" ht="45">
      <c r="A19" s="90" t="s">
        <v>74</v>
      </c>
      <c r="B19" s="90" t="s">
        <v>63</v>
      </c>
      <c r="C19" s="90" t="s">
        <v>48</v>
      </c>
      <c r="D19" s="68">
        <v>13</v>
      </c>
      <c r="E19" s="73">
        <v>11.85</v>
      </c>
      <c r="F19" s="68">
        <v>41</v>
      </c>
      <c r="G19" s="73">
        <v>39.93</v>
      </c>
      <c r="H19" s="68">
        <v>106</v>
      </c>
      <c r="I19" s="73">
        <v>103.61</v>
      </c>
      <c r="J19" s="68">
        <v>38</v>
      </c>
      <c r="K19" s="73">
        <v>38</v>
      </c>
      <c r="L19" s="68">
        <v>4</v>
      </c>
      <c r="M19" s="73">
        <v>3.6</v>
      </c>
      <c r="N19" s="68">
        <v>9</v>
      </c>
      <c r="O19" s="73">
        <v>9</v>
      </c>
      <c r="P19" s="43">
        <f t="shared" si="1"/>
        <v>211</v>
      </c>
      <c r="Q19" s="44">
        <f t="shared" si="1"/>
        <v>205.98999999999998</v>
      </c>
      <c r="R19" s="68">
        <v>8</v>
      </c>
      <c r="S19" s="126">
        <v>8</v>
      </c>
      <c r="T19" s="68">
        <v>0</v>
      </c>
      <c r="U19" s="126">
        <v>0</v>
      </c>
      <c r="V19" s="68">
        <v>8</v>
      </c>
      <c r="W19" s="126">
        <v>7.8</v>
      </c>
      <c r="X19" s="68">
        <v>0</v>
      </c>
      <c r="Y19" s="126">
        <v>0</v>
      </c>
      <c r="Z19" s="46">
        <f t="shared" si="0"/>
        <v>16</v>
      </c>
      <c r="AA19" s="47">
        <f t="shared" si="0"/>
        <v>15.8</v>
      </c>
      <c r="AB19" s="43">
        <f t="shared" si="5"/>
        <v>227</v>
      </c>
      <c r="AC19" s="44">
        <f t="shared" si="5"/>
        <v>221.79</v>
      </c>
      <c r="AD19" s="48">
        <v>629801.32</v>
      </c>
      <c r="AE19" s="48">
        <v>47213.08</v>
      </c>
      <c r="AF19" s="48">
        <v>0</v>
      </c>
      <c r="AG19" s="48">
        <v>11442.77</v>
      </c>
      <c r="AH19" s="48">
        <v>130270.52</v>
      </c>
      <c r="AI19" s="48">
        <v>62193.26</v>
      </c>
      <c r="AJ19" s="93">
        <f t="shared" si="2"/>
        <v>880920.95</v>
      </c>
      <c r="AK19" s="72">
        <v>63585.4</v>
      </c>
      <c r="AL19" s="48">
        <v>0</v>
      </c>
      <c r="AM19" s="93">
        <f t="shared" si="3"/>
        <v>63585.4</v>
      </c>
      <c r="AN19" s="93">
        <f t="shared" si="4"/>
        <v>944506.35</v>
      </c>
      <c r="AO19" s="130"/>
    </row>
    <row r="20" spans="1:41" s="2" customFormat="1" ht="15">
      <c r="A20" s="140"/>
      <c r="B20" s="140"/>
      <c r="C20" s="140"/>
      <c r="D20" s="141"/>
      <c r="E20" s="141"/>
      <c r="F20" s="141"/>
      <c r="G20" s="141"/>
      <c r="H20" s="141"/>
      <c r="I20" s="141"/>
      <c r="J20" s="141"/>
      <c r="K20" s="141"/>
      <c r="L20" s="141"/>
      <c r="M20" s="141"/>
      <c r="N20" s="141"/>
      <c r="O20" s="141"/>
      <c r="P20" s="142"/>
      <c r="Q20" s="142"/>
      <c r="R20" s="141"/>
      <c r="S20" s="141"/>
      <c r="T20" s="141"/>
      <c r="U20" s="141"/>
      <c r="V20" s="141"/>
      <c r="W20" s="141"/>
      <c r="X20" s="141"/>
      <c r="Y20" s="141"/>
      <c r="Z20" s="143"/>
      <c r="AA20" s="143"/>
      <c r="AB20" s="144"/>
      <c r="AC20" s="144"/>
      <c r="AD20" s="145"/>
      <c r="AE20" s="145"/>
      <c r="AF20" s="145"/>
      <c r="AG20" s="145"/>
      <c r="AH20" s="145"/>
      <c r="AI20" s="145"/>
      <c r="AJ20" s="146"/>
      <c r="AK20" s="147"/>
      <c r="AL20" s="147"/>
      <c r="AM20" s="148"/>
      <c r="AN20" s="148"/>
      <c r="AO20" s="149"/>
    </row>
    <row r="21" spans="1:41" s="2" customFormat="1" ht="15">
      <c r="A21" s="140"/>
      <c r="B21" s="140"/>
      <c r="C21" s="140"/>
      <c r="D21" s="141"/>
      <c r="E21" s="141"/>
      <c r="F21" s="141"/>
      <c r="G21" s="141"/>
      <c r="H21" s="141"/>
      <c r="I21" s="141"/>
      <c r="J21" s="141"/>
      <c r="K21" s="141"/>
      <c r="L21" s="141"/>
      <c r="M21" s="141"/>
      <c r="N21" s="141"/>
      <c r="O21" s="141"/>
      <c r="P21" s="142"/>
      <c r="Q21" s="142"/>
      <c r="R21" s="141"/>
      <c r="S21" s="141"/>
      <c r="T21" s="141"/>
      <c r="U21" s="141"/>
      <c r="V21" s="141"/>
      <c r="W21" s="141"/>
      <c r="X21" s="141"/>
      <c r="Y21" s="141"/>
      <c r="Z21" s="143"/>
      <c r="AA21" s="143"/>
      <c r="AB21" s="144"/>
      <c r="AC21" s="144"/>
      <c r="AD21" s="145"/>
      <c r="AE21" s="145"/>
      <c r="AF21" s="145"/>
      <c r="AG21" s="145"/>
      <c r="AH21" s="145"/>
      <c r="AI21" s="145"/>
      <c r="AJ21" s="146"/>
      <c r="AK21" s="147"/>
      <c r="AL21" s="147"/>
      <c r="AM21" s="148"/>
      <c r="AN21" s="148"/>
      <c r="AO21" s="149"/>
    </row>
    <row r="22" spans="1:41" s="2" customFormat="1" ht="15">
      <c r="A22" s="140"/>
      <c r="B22" s="140"/>
      <c r="C22" s="140"/>
      <c r="D22" s="141"/>
      <c r="E22" s="141"/>
      <c r="F22" s="141"/>
      <c r="G22" s="141"/>
      <c r="H22" s="141"/>
      <c r="I22" s="141"/>
      <c r="J22" s="141"/>
      <c r="K22" s="141"/>
      <c r="L22" s="141"/>
      <c r="M22" s="141"/>
      <c r="N22" s="141"/>
      <c r="O22" s="141"/>
      <c r="P22" s="142"/>
      <c r="Q22" s="142"/>
      <c r="R22" s="141"/>
      <c r="S22" s="141"/>
      <c r="T22" s="141"/>
      <c r="U22" s="141"/>
      <c r="V22" s="141"/>
      <c r="W22" s="141"/>
      <c r="X22" s="141"/>
      <c r="Y22" s="141"/>
      <c r="Z22" s="143"/>
      <c r="AA22" s="143"/>
      <c r="AB22" s="144"/>
      <c r="AC22" s="144"/>
      <c r="AD22" s="145"/>
      <c r="AE22" s="145"/>
      <c r="AF22" s="145"/>
      <c r="AG22" s="145"/>
      <c r="AH22" s="145"/>
      <c r="AI22" s="145"/>
      <c r="AJ22" s="146"/>
      <c r="AK22" s="147"/>
      <c r="AL22" s="147"/>
      <c r="AM22" s="148"/>
      <c r="AN22" s="148"/>
      <c r="AO22" s="149"/>
    </row>
    <row r="23" spans="1:41" s="2" customFormat="1" ht="15">
      <c r="A23" s="140"/>
      <c r="B23" s="140"/>
      <c r="C23" s="140"/>
      <c r="D23" s="141"/>
      <c r="E23" s="141"/>
      <c r="F23" s="141"/>
      <c r="G23" s="141"/>
      <c r="H23" s="141"/>
      <c r="I23" s="141"/>
      <c r="J23" s="141"/>
      <c r="K23" s="141"/>
      <c r="L23" s="141"/>
      <c r="M23" s="141"/>
      <c r="N23" s="141"/>
      <c r="O23" s="141"/>
      <c r="P23" s="142"/>
      <c r="Q23" s="142"/>
      <c r="R23" s="141"/>
      <c r="S23" s="141"/>
      <c r="T23" s="141"/>
      <c r="U23" s="141"/>
      <c r="V23" s="141"/>
      <c r="W23" s="141"/>
      <c r="X23" s="141"/>
      <c r="Y23" s="141"/>
      <c r="Z23" s="143"/>
      <c r="AA23" s="143"/>
      <c r="AB23" s="144"/>
      <c r="AC23" s="144"/>
      <c r="AD23" s="145"/>
      <c r="AE23" s="145"/>
      <c r="AF23" s="145"/>
      <c r="AG23" s="145"/>
      <c r="AH23" s="145"/>
      <c r="AI23" s="145"/>
      <c r="AJ23" s="146"/>
      <c r="AK23" s="147"/>
      <c r="AL23" s="147"/>
      <c r="AM23" s="148"/>
      <c r="AN23" s="148"/>
      <c r="AO23" s="149"/>
    </row>
    <row r="24" spans="1:41" s="2" customFormat="1" ht="15">
      <c r="A24" s="140"/>
      <c r="B24" s="140"/>
      <c r="C24" s="140"/>
      <c r="D24" s="141"/>
      <c r="E24" s="141"/>
      <c r="F24" s="141"/>
      <c r="G24" s="141"/>
      <c r="H24" s="141"/>
      <c r="I24" s="141"/>
      <c r="J24" s="141"/>
      <c r="K24" s="141"/>
      <c r="L24" s="141"/>
      <c r="M24" s="141"/>
      <c r="N24" s="141"/>
      <c r="O24" s="141"/>
      <c r="P24" s="142"/>
      <c r="Q24" s="142"/>
      <c r="R24" s="141"/>
      <c r="S24" s="141"/>
      <c r="T24" s="141"/>
      <c r="U24" s="141"/>
      <c r="V24" s="141"/>
      <c r="W24" s="141"/>
      <c r="X24" s="141"/>
      <c r="Y24" s="141"/>
      <c r="Z24" s="143"/>
      <c r="AA24" s="143"/>
      <c r="AB24" s="144"/>
      <c r="AC24" s="144"/>
      <c r="AD24" s="145"/>
      <c r="AE24" s="145"/>
      <c r="AF24" s="145"/>
      <c r="AG24" s="145"/>
      <c r="AH24" s="145"/>
      <c r="AI24" s="145"/>
      <c r="AJ24" s="146"/>
      <c r="AK24" s="147"/>
      <c r="AL24" s="147"/>
      <c r="AM24" s="148"/>
      <c r="AN24" s="148"/>
      <c r="AO24" s="149"/>
    </row>
  </sheetData>
  <mergeCells count="32">
    <mergeCell ref="A4:A6"/>
    <mergeCell ref="B4:B6"/>
    <mergeCell ref="C4:C6"/>
    <mergeCell ref="D4:Q4"/>
    <mergeCell ref="R4:AA4"/>
    <mergeCell ref="AB4:AC5"/>
    <mergeCell ref="AD4:AJ4"/>
    <mergeCell ref="AK4:AM4"/>
    <mergeCell ref="T5:U5"/>
    <mergeCell ref="V5:W5"/>
    <mergeCell ref="X5:Y5"/>
    <mergeCell ref="Z5:AA5"/>
    <mergeCell ref="AD5:AD6"/>
    <mergeCell ref="AE5:AE6"/>
    <mergeCell ref="AN4:AN6"/>
    <mergeCell ref="AO4:AO6"/>
    <mergeCell ref="D5:E5"/>
    <mergeCell ref="F5:G5"/>
    <mergeCell ref="H5:I5"/>
    <mergeCell ref="J5:K5"/>
    <mergeCell ref="L5:M5"/>
    <mergeCell ref="N5:O5"/>
    <mergeCell ref="P5:Q5"/>
    <mergeCell ref="R5:S5"/>
    <mergeCell ref="AF5:AF6"/>
    <mergeCell ref="AG5:AG6"/>
    <mergeCell ref="AH5:AH6"/>
    <mergeCell ref="AI5:AI6"/>
    <mergeCell ref="AJ5:AJ6"/>
    <mergeCell ref="AK5:AK6"/>
    <mergeCell ref="AL5:AL6"/>
    <mergeCell ref="AM5:AM6"/>
  </mergeCells>
  <conditionalFormatting sqref="B7:B24">
    <cfRule type="expression" priority="1" dxfId="22" stopIfTrue="1">
      <formula>AND(NOT(ISBLANK($A7)),ISBLANK(B7))</formula>
    </cfRule>
  </conditionalFormatting>
  <conditionalFormatting sqref="C7:C24">
    <cfRule type="expression" priority="2" dxfId="22" stopIfTrue="1">
      <formula>AND(NOT(ISBLANK(A7)),ISBLANK(C7))</formula>
    </cfRule>
  </conditionalFormatting>
  <conditionalFormatting sqref="F20:F24 H20:H24 J20:J24 L20:L24 N20:N24 R20:R24 T20:T24 V20:V24 X20:X24 D20:D24 J11:J15 H17 D17 F17 J17 N17 N13:N14 L7:L9 H7:H9 D7:D9 F7:F9 J7:J9 N7:N11 F11:F15 D11:D15 H11:H15 L11:L15 X7:X8 R7:R8 T7:T8 V7:V8 L17 D18:AN18">
    <cfRule type="expression" priority="3" dxfId="22" stopIfTrue="1">
      <formula>AND(NOT(ISBLANK(E7)),ISBLANK(D7))</formula>
    </cfRule>
  </conditionalFormatting>
  <conditionalFormatting sqref="G20:G24 I20:I24 K20:K24 M20:M24 O20:O24 S20:S24 U20:U24 W20:W24 Y20:Y24 E20:E24 Y7 K11:K15 I17 E17 G17 K17 AH16 O13:O14 M17 M7:M9 I7:I9 E7:E9 G7:G9 K7:K9 O7:O11 G11:G15 E11:E15 I11:I15 M11:M15 S7:S8 U7:U8 W7:W8 Y8:AC8 O17">
    <cfRule type="expression" priority="4" dxfId="22" stopIfTrue="1">
      <formula>AND(NOT(ISBLANK(D7)),ISBLANK(E7))</formula>
    </cfRule>
  </conditionalFormatting>
  <dataValidations count="8">
    <dataValidation type="decimal" operator="greaterThan" allowBlank="1" showInputMessage="1" showErrorMessage="1" sqref="AK20:AL24 AL7 AF9:AI9 AD7:AI7 AD10:AI10 AK7:AK9 AK13:AL13 AG13 AF13:AF14 AE12:AE14 AH17 AK17 AH12:AH15 AI12:AI17 AG16:AG17 AD12:AD17 AE17:AF17 AD19:AE24 AG19:AI24 AF20:AF24">
      <formula1>0</formula1>
    </dataValidation>
    <dataValidation operator="lessThanOrEqual" allowBlank="1" showInputMessage="1" showErrorMessage="1" error="FTE cannot be greater than Headcount&#10;" sqref="AP4:IV24 AO4 R4 A4:C4 P5 AB4 AO16:AO17 AO19:AO24 AO7:AO10 AO13:AO14 AB6:AC7 P19:Q24 AB9 P7:Q17 AC9:AC17 AB11:AB17 AB19:AC24"/>
    <dataValidation type="custom" allowBlank="1" showInputMessage="1" showErrorMessage="1" errorTitle="Headcount" error="The value entered in the headcount field must be greater than or equal to the value entered in the FTE field." sqref="H20:H24 J20:J24 L20:L24 N20:N24 T20:T24 V20:V24 X20:X24 R20:R24 D20:D24 F20:F24 D11:D15 F11:F15 J11:J15 N14 H11:H15 D17 F17 J17 H17 N17 N7:N11 L7:L9 D7:D9 F7:F9 J7:J9 H7:H9 L11:L15 R8 V8 X8 T8 L17 D18:AN18">
      <formula1>H20&gt;=I20</formula1>
    </dataValidation>
    <dataValidation type="custom" allowBlank="1" showInputMessage="1" showErrorMessage="1" errorTitle="FTE" error="The value entered in the FTE field must be less than or equal to the value entered in the headcount field." sqref="G20:G24 I20:I24 K20:K24 O20:O24 U20:U24 W20:W24 Y20:Y24 S20:S24 E20:E24 M20:M24 I11:I15 E11:E15 G11:G15 O14 M11:M15 I17 E17 G17 M17 AH16 O7:O11 K17 K7:K9 I7:I9 E7:E9 G7:G9 M7:M9 K11:K15 S8 W8 Y8:AC8 U8 O17">
      <formula1>G20&lt;=F20</formula1>
    </dataValidation>
    <dataValidation errorStyle="information" type="textLength" allowBlank="1" showInputMessage="1" showErrorMessage="1" error="XLBVal:6=5140.19&#13;&#10;" sqref="AE9">
      <formula1>0</formula1>
      <formula2>300</formula2>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19">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19">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19">
      <formula1>INDIRECT("List_of_organisations")</formula1>
    </dataValidation>
  </dataValidation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O103"/>
  <sheetViews>
    <sheetView zoomScale="75" zoomScaleNormal="75" workbookViewId="0" topLeftCell="A1">
      <selection activeCell="A1" sqref="A1:A3"/>
    </sheetView>
  </sheetViews>
  <sheetFormatPr defaultColWidth="8.88671875" defaultRowHeight="15"/>
  <cols>
    <col min="1" max="1" width="23.5546875" style="2" customWidth="1"/>
    <col min="2" max="3" width="14.99609375" style="2" customWidth="1"/>
    <col min="4" max="17" width="10.4453125" style="15" customWidth="1"/>
    <col min="18" max="25" width="12.77734375" style="15" customWidth="1"/>
    <col min="26" max="26" width="10.4453125" style="15" bestFit="1" customWidth="1"/>
    <col min="27" max="27" width="12.77734375" style="15"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ht="15">
      <c r="A1" s="2" t="s">
        <v>92</v>
      </c>
    </row>
    <row r="2" ht="15">
      <c r="A2" s="24" t="s">
        <v>93</v>
      </c>
    </row>
    <row r="3" ht="15">
      <c r="A3" s="24" t="s">
        <v>94</v>
      </c>
    </row>
    <row r="4" spans="1:41" s="1" customFormat="1" ht="15" customHeight="1">
      <c r="A4" s="387" t="s">
        <v>26</v>
      </c>
      <c r="B4" s="387" t="s">
        <v>15</v>
      </c>
      <c r="C4" s="387" t="s">
        <v>14</v>
      </c>
      <c r="D4" s="390" t="s">
        <v>22</v>
      </c>
      <c r="E4" s="391"/>
      <c r="F4" s="391"/>
      <c r="G4" s="391"/>
      <c r="H4" s="391"/>
      <c r="I4" s="391"/>
      <c r="J4" s="391"/>
      <c r="K4" s="391"/>
      <c r="L4" s="391"/>
      <c r="M4" s="391"/>
      <c r="N4" s="391"/>
      <c r="O4" s="391"/>
      <c r="P4" s="391"/>
      <c r="Q4" s="392"/>
      <c r="R4" s="393" t="s">
        <v>29</v>
      </c>
      <c r="S4" s="394"/>
      <c r="T4" s="394"/>
      <c r="U4" s="394"/>
      <c r="V4" s="394"/>
      <c r="W4" s="394"/>
      <c r="X4" s="394"/>
      <c r="Y4" s="394"/>
      <c r="Z4" s="394"/>
      <c r="AA4" s="395"/>
      <c r="AB4" s="396" t="s">
        <v>39</v>
      </c>
      <c r="AC4" s="397"/>
      <c r="AD4" s="400" t="s">
        <v>25</v>
      </c>
      <c r="AE4" s="401"/>
      <c r="AF4" s="401"/>
      <c r="AG4" s="401"/>
      <c r="AH4" s="401"/>
      <c r="AI4" s="401"/>
      <c r="AJ4" s="402"/>
      <c r="AK4" s="385" t="s">
        <v>46</v>
      </c>
      <c r="AL4" s="385"/>
      <c r="AM4" s="385"/>
      <c r="AN4" s="404" t="s">
        <v>38</v>
      </c>
      <c r="AO4" s="387" t="s">
        <v>47</v>
      </c>
    </row>
    <row r="5" spans="1:41" s="1" customFormat="1" ht="53.25" customHeight="1">
      <c r="A5" s="388"/>
      <c r="B5" s="388"/>
      <c r="C5" s="388"/>
      <c r="D5" s="408" t="s">
        <v>42</v>
      </c>
      <c r="E5" s="409"/>
      <c r="F5" s="408" t="s">
        <v>43</v>
      </c>
      <c r="G5" s="409"/>
      <c r="H5" s="408" t="s">
        <v>44</v>
      </c>
      <c r="I5" s="409"/>
      <c r="J5" s="408" t="s">
        <v>20</v>
      </c>
      <c r="K5" s="409"/>
      <c r="L5" s="408" t="s">
        <v>45</v>
      </c>
      <c r="M5" s="409"/>
      <c r="N5" s="408" t="s">
        <v>19</v>
      </c>
      <c r="O5" s="409"/>
      <c r="P5" s="390" t="s">
        <v>23</v>
      </c>
      <c r="Q5" s="392"/>
      <c r="R5" s="390" t="s">
        <v>27</v>
      </c>
      <c r="S5" s="395"/>
      <c r="T5" s="393" t="s">
        <v>17</v>
      </c>
      <c r="U5" s="395"/>
      <c r="V5" s="393" t="s">
        <v>18</v>
      </c>
      <c r="W5" s="395"/>
      <c r="X5" s="393" t="s">
        <v>28</v>
      </c>
      <c r="Y5" s="395"/>
      <c r="Z5" s="390" t="s">
        <v>24</v>
      </c>
      <c r="AA5" s="392"/>
      <c r="AB5" s="398"/>
      <c r="AC5" s="399"/>
      <c r="AD5" s="387" t="s">
        <v>31</v>
      </c>
      <c r="AE5" s="387" t="s">
        <v>30</v>
      </c>
      <c r="AF5" s="387" t="s">
        <v>32</v>
      </c>
      <c r="AG5" s="387" t="s">
        <v>33</v>
      </c>
      <c r="AH5" s="387" t="s">
        <v>34</v>
      </c>
      <c r="AI5" s="387" t="s">
        <v>35</v>
      </c>
      <c r="AJ5" s="383" t="s">
        <v>37</v>
      </c>
      <c r="AK5" s="387" t="s">
        <v>40</v>
      </c>
      <c r="AL5" s="387" t="s">
        <v>41</v>
      </c>
      <c r="AM5" s="387" t="s">
        <v>36</v>
      </c>
      <c r="AN5" s="405"/>
      <c r="AO5" s="407"/>
    </row>
    <row r="6" spans="1:41" ht="57.75" customHeight="1">
      <c r="A6" s="389"/>
      <c r="B6" s="389"/>
      <c r="C6" s="389"/>
      <c r="D6" s="10" t="s">
        <v>16</v>
      </c>
      <c r="E6" s="10" t="s">
        <v>21</v>
      </c>
      <c r="F6" s="10" t="s">
        <v>16</v>
      </c>
      <c r="G6" s="10" t="s">
        <v>21</v>
      </c>
      <c r="H6" s="10" t="s">
        <v>16</v>
      </c>
      <c r="I6" s="10" t="s">
        <v>21</v>
      </c>
      <c r="J6" s="10" t="s">
        <v>16</v>
      </c>
      <c r="K6" s="10" t="s">
        <v>21</v>
      </c>
      <c r="L6" s="10" t="s">
        <v>16</v>
      </c>
      <c r="M6" s="10" t="s">
        <v>21</v>
      </c>
      <c r="N6" s="10" t="s">
        <v>16</v>
      </c>
      <c r="O6" s="10" t="s">
        <v>21</v>
      </c>
      <c r="P6" s="10" t="s">
        <v>16</v>
      </c>
      <c r="Q6" s="10" t="s">
        <v>21</v>
      </c>
      <c r="R6" s="11" t="s">
        <v>16</v>
      </c>
      <c r="S6" s="11" t="s">
        <v>21</v>
      </c>
      <c r="T6" s="11" t="s">
        <v>16</v>
      </c>
      <c r="U6" s="11" t="s">
        <v>21</v>
      </c>
      <c r="V6" s="11" t="s">
        <v>16</v>
      </c>
      <c r="W6" s="11" t="s">
        <v>21</v>
      </c>
      <c r="X6" s="11" t="s">
        <v>16</v>
      </c>
      <c r="Y6" s="11" t="s">
        <v>21</v>
      </c>
      <c r="Z6" s="11" t="s">
        <v>16</v>
      </c>
      <c r="AA6" s="11" t="s">
        <v>21</v>
      </c>
      <c r="AB6" s="17" t="s">
        <v>16</v>
      </c>
      <c r="AC6" s="16" t="s">
        <v>21</v>
      </c>
      <c r="AD6" s="403"/>
      <c r="AE6" s="403"/>
      <c r="AF6" s="403"/>
      <c r="AG6" s="403"/>
      <c r="AH6" s="403"/>
      <c r="AI6" s="403"/>
      <c r="AJ6" s="383"/>
      <c r="AK6" s="403"/>
      <c r="AL6" s="403"/>
      <c r="AM6" s="403"/>
      <c r="AN6" s="406"/>
      <c r="AO6" s="403"/>
    </row>
    <row r="7" spans="1:41" ht="30">
      <c r="A7" s="90" t="s">
        <v>48</v>
      </c>
      <c r="B7" s="90" t="s">
        <v>49</v>
      </c>
      <c r="C7" s="90" t="s">
        <v>48</v>
      </c>
      <c r="D7" s="90">
        <v>1019</v>
      </c>
      <c r="E7" s="91">
        <v>944.68</v>
      </c>
      <c r="F7" s="90">
        <v>934</v>
      </c>
      <c r="G7" s="91">
        <v>899.41</v>
      </c>
      <c r="H7" s="90">
        <v>1600</v>
      </c>
      <c r="I7" s="91">
        <v>1552.71</v>
      </c>
      <c r="J7" s="90">
        <v>776</v>
      </c>
      <c r="K7" s="91">
        <v>753.78</v>
      </c>
      <c r="L7" s="90">
        <v>116</v>
      </c>
      <c r="M7" s="91">
        <v>113.66</v>
      </c>
      <c r="N7" s="90">
        <v>0</v>
      </c>
      <c r="O7" s="91">
        <v>0</v>
      </c>
      <c r="P7" s="43">
        <f>SUM(D7,F7,H7,J7,L7,N7)</f>
        <v>4445</v>
      </c>
      <c r="Q7" s="44">
        <f>SUM(E7,G7,I7,K7,M7,O7)</f>
        <v>4264.24</v>
      </c>
      <c r="R7" s="125">
        <v>197</v>
      </c>
      <c r="S7" s="126">
        <v>194.34</v>
      </c>
      <c r="T7" s="125">
        <v>15</v>
      </c>
      <c r="U7" s="126">
        <v>15</v>
      </c>
      <c r="V7" s="125">
        <v>189</v>
      </c>
      <c r="W7" s="126">
        <v>188</v>
      </c>
      <c r="X7" s="125">
        <v>0</v>
      </c>
      <c r="Y7" s="126">
        <v>0</v>
      </c>
      <c r="Z7" s="100">
        <f aca="true" t="shared" si="0" ref="Z7:AA19">R7+T7+V7+X7</f>
        <v>401</v>
      </c>
      <c r="AA7" s="47">
        <f t="shared" si="0"/>
        <v>397.34000000000003</v>
      </c>
      <c r="AB7" s="43">
        <f>P7+Z7</f>
        <v>4846</v>
      </c>
      <c r="AC7" s="44">
        <f>Q7+AA7</f>
        <v>4661.58</v>
      </c>
      <c r="AD7" s="48">
        <v>11123849.659999995</v>
      </c>
      <c r="AE7" s="48">
        <v>216478.73</v>
      </c>
      <c r="AF7" s="49">
        <v>173740</v>
      </c>
      <c r="AG7" s="48">
        <v>70876.64</v>
      </c>
      <c r="AH7" s="48">
        <v>2214583.74</v>
      </c>
      <c r="AI7" s="48">
        <v>996996.2800000007</v>
      </c>
      <c r="AJ7" s="93">
        <f>SUM(AD7:AI7)</f>
        <v>14796525.049999997</v>
      </c>
      <c r="AK7" s="48">
        <v>2152994.52</v>
      </c>
      <c r="AL7" s="48">
        <v>910355.1</v>
      </c>
      <c r="AM7" s="93">
        <f>SUM(AK7:AL7)</f>
        <v>3063349.62</v>
      </c>
      <c r="AN7" s="93">
        <f>SUM(AM7,AJ7)</f>
        <v>17859874.669999998</v>
      </c>
      <c r="AO7" s="130"/>
    </row>
    <row r="8" spans="1:41" ht="30">
      <c r="A8" s="90" t="s">
        <v>76</v>
      </c>
      <c r="B8" s="90" t="s">
        <v>51</v>
      </c>
      <c r="C8" s="90" t="s">
        <v>48</v>
      </c>
      <c r="D8" s="90">
        <v>13684</v>
      </c>
      <c r="E8" s="91">
        <v>11973.51</v>
      </c>
      <c r="F8" s="90">
        <v>3065</v>
      </c>
      <c r="G8" s="91">
        <v>2861.65</v>
      </c>
      <c r="H8" s="90">
        <v>2496</v>
      </c>
      <c r="I8" s="91">
        <v>2316.89</v>
      </c>
      <c r="J8" s="90">
        <v>638</v>
      </c>
      <c r="K8" s="91">
        <v>622.1</v>
      </c>
      <c r="L8" s="90">
        <v>33</v>
      </c>
      <c r="M8" s="91">
        <v>33</v>
      </c>
      <c r="N8" s="90">
        <v>0</v>
      </c>
      <c r="O8" s="91">
        <v>0</v>
      </c>
      <c r="P8" s="43">
        <f aca="true" t="shared" si="1" ref="P8:Q19">SUM(D8,F8,H8,J8,L8,N8)</f>
        <v>19916</v>
      </c>
      <c r="Q8" s="44">
        <f t="shared" si="1"/>
        <v>17807.149999999998</v>
      </c>
      <c r="R8" s="90" t="s">
        <v>90</v>
      </c>
      <c r="S8" s="90" t="s">
        <v>90</v>
      </c>
      <c r="T8" s="90">
        <v>0</v>
      </c>
      <c r="U8" s="90">
        <v>0</v>
      </c>
      <c r="V8" s="90">
        <v>0</v>
      </c>
      <c r="W8" s="90">
        <v>0</v>
      </c>
      <c r="X8" s="92">
        <v>0</v>
      </c>
      <c r="Y8" s="91">
        <v>0</v>
      </c>
      <c r="Z8" s="90" t="s">
        <v>90</v>
      </c>
      <c r="AA8" s="90" t="s">
        <v>90</v>
      </c>
      <c r="AB8" s="90" t="s">
        <v>90</v>
      </c>
      <c r="AC8" s="90" t="s">
        <v>90</v>
      </c>
      <c r="AD8" s="104">
        <v>33651278.22</v>
      </c>
      <c r="AE8" s="48">
        <v>580654.82</v>
      </c>
      <c r="AF8" s="48">
        <v>141113.99</v>
      </c>
      <c r="AG8" s="48">
        <v>342835.03</v>
      </c>
      <c r="AH8" s="48">
        <v>5828411.2</v>
      </c>
      <c r="AI8" s="48">
        <v>2228966.26</v>
      </c>
      <c r="AJ8" s="93">
        <f aca="true" t="shared" si="2" ref="AJ8:AJ19">SUM(AD8:AI8)</f>
        <v>42773259.52</v>
      </c>
      <c r="AK8" s="120">
        <v>1044252.31</v>
      </c>
      <c r="AL8" s="48">
        <v>0</v>
      </c>
      <c r="AM8" s="93">
        <f aca="true" t="shared" si="3" ref="AM8:AM19">SUM(AK8:AL8)</f>
        <v>1044252.31</v>
      </c>
      <c r="AN8" s="93">
        <f aca="true" t="shared" si="4" ref="AN8:AN19">SUM(AM8,AJ8)</f>
        <v>43817511.830000006</v>
      </c>
      <c r="AO8" s="131" t="s">
        <v>109</v>
      </c>
    </row>
    <row r="9" spans="1:41" ht="15">
      <c r="A9" s="90" t="s">
        <v>55</v>
      </c>
      <c r="B9" s="90" t="s">
        <v>51</v>
      </c>
      <c r="C9" s="121" t="s">
        <v>48</v>
      </c>
      <c r="D9" s="116">
        <v>192</v>
      </c>
      <c r="E9" s="96">
        <v>171.88</v>
      </c>
      <c r="F9" s="96">
        <v>125</v>
      </c>
      <c r="G9" s="96">
        <v>119.53</v>
      </c>
      <c r="H9" s="96">
        <v>261</v>
      </c>
      <c r="I9" s="96">
        <v>253.68</v>
      </c>
      <c r="J9" s="96">
        <v>62</v>
      </c>
      <c r="K9" s="96">
        <v>61.16</v>
      </c>
      <c r="L9" s="96">
        <v>6</v>
      </c>
      <c r="M9" s="96">
        <v>6</v>
      </c>
      <c r="N9" s="96">
        <v>0</v>
      </c>
      <c r="O9" s="96">
        <v>0</v>
      </c>
      <c r="P9" s="43">
        <f t="shared" si="1"/>
        <v>646</v>
      </c>
      <c r="Q9" s="44">
        <f t="shared" si="1"/>
        <v>612.2499999999999</v>
      </c>
      <c r="R9" s="117">
        <f>20-V9</f>
        <v>6</v>
      </c>
      <c r="S9" s="63">
        <f>17.6-W9</f>
        <v>4.6</v>
      </c>
      <c r="T9" s="68">
        <v>0</v>
      </c>
      <c r="U9" s="73">
        <v>0</v>
      </c>
      <c r="V9" s="63">
        <v>14</v>
      </c>
      <c r="W9" s="63">
        <f>17.6-4.6</f>
        <v>13.000000000000002</v>
      </c>
      <c r="X9" s="92">
        <v>0</v>
      </c>
      <c r="Y9" s="91">
        <v>0</v>
      </c>
      <c r="Z9" s="100">
        <f t="shared" si="0"/>
        <v>20</v>
      </c>
      <c r="AA9" s="47">
        <f t="shared" si="0"/>
        <v>17.6</v>
      </c>
      <c r="AB9" s="43">
        <f>P9+Z9</f>
        <v>666</v>
      </c>
      <c r="AC9" s="44">
        <f>Q9+AA9</f>
        <v>629.8499999999999</v>
      </c>
      <c r="AD9" s="98">
        <f>1978898.58-AE9-AF9-AG9-AH9-AI9</f>
        <v>1523737.24</v>
      </c>
      <c r="AE9" s="98">
        <v>5140.19</v>
      </c>
      <c r="AF9" s="98">
        <v>7651</v>
      </c>
      <c r="AG9" s="98">
        <v>21482.27</v>
      </c>
      <c r="AH9" s="98">
        <v>271392.81</v>
      </c>
      <c r="AI9" s="98">
        <v>149495.07</v>
      </c>
      <c r="AJ9" s="93">
        <f t="shared" si="2"/>
        <v>1978898.58</v>
      </c>
      <c r="AK9" s="108">
        <v>67008.75</v>
      </c>
      <c r="AL9" s="98">
        <v>10000</v>
      </c>
      <c r="AM9" s="93">
        <f t="shared" si="3"/>
        <v>77008.75</v>
      </c>
      <c r="AN9" s="93">
        <f t="shared" si="4"/>
        <v>2055907.33</v>
      </c>
      <c r="AO9" s="130"/>
    </row>
    <row r="10" spans="1:41" ht="30">
      <c r="A10" s="90" t="s">
        <v>56</v>
      </c>
      <c r="B10" s="90" t="s">
        <v>51</v>
      </c>
      <c r="C10" s="121" t="s">
        <v>48</v>
      </c>
      <c r="D10" s="115">
        <v>34196</v>
      </c>
      <c r="E10" s="91">
        <v>32635.34108624823</v>
      </c>
      <c r="F10" s="90">
        <v>6324</v>
      </c>
      <c r="G10" s="91">
        <v>6049.8007183060545</v>
      </c>
      <c r="H10" s="90">
        <v>3700</v>
      </c>
      <c r="I10" s="91">
        <v>3462.4491039042205</v>
      </c>
      <c r="J10" s="90">
        <v>624</v>
      </c>
      <c r="K10" s="91">
        <v>608.7231305280086</v>
      </c>
      <c r="L10" s="90">
        <v>38</v>
      </c>
      <c r="M10" s="91">
        <v>37.8780487804878</v>
      </c>
      <c r="N10" s="90">
        <v>0</v>
      </c>
      <c r="O10" s="91">
        <v>0</v>
      </c>
      <c r="P10" s="43">
        <f t="shared" si="1"/>
        <v>44882</v>
      </c>
      <c r="Q10" s="44">
        <f t="shared" si="1"/>
        <v>42794.192087767</v>
      </c>
      <c r="R10" s="114" t="s">
        <v>90</v>
      </c>
      <c r="S10" s="68">
        <v>203.84</v>
      </c>
      <c r="T10" s="68">
        <v>0</v>
      </c>
      <c r="U10" s="68">
        <v>0</v>
      </c>
      <c r="V10" s="68">
        <v>25</v>
      </c>
      <c r="W10" s="68">
        <v>25</v>
      </c>
      <c r="X10" s="68">
        <v>4</v>
      </c>
      <c r="Y10" s="68">
        <v>4</v>
      </c>
      <c r="Z10" s="114" t="s">
        <v>90</v>
      </c>
      <c r="AA10" s="47">
        <f t="shared" si="0"/>
        <v>232.84</v>
      </c>
      <c r="AB10" s="114" t="s">
        <v>90</v>
      </c>
      <c r="AC10" s="44">
        <f aca="true" t="shared" si="5" ref="AB10:AC19">Q10+AA10</f>
        <v>43027.032087766995</v>
      </c>
      <c r="AD10" s="104">
        <v>98574559.60000002</v>
      </c>
      <c r="AE10" s="48">
        <v>0</v>
      </c>
      <c r="AF10" s="48">
        <v>0</v>
      </c>
      <c r="AG10" s="48">
        <v>4232168.6</v>
      </c>
      <c r="AH10" s="48">
        <v>18956973.16000001</v>
      </c>
      <c r="AI10" s="48">
        <v>7636591.009999999</v>
      </c>
      <c r="AJ10" s="93">
        <f t="shared" si="2"/>
        <v>129400292.37000003</v>
      </c>
      <c r="AK10" s="104">
        <v>2665335.39</v>
      </c>
      <c r="AL10" s="48">
        <v>8657.55</v>
      </c>
      <c r="AM10" s="93">
        <f t="shared" si="3"/>
        <v>2673992.94</v>
      </c>
      <c r="AN10" s="93">
        <f t="shared" si="4"/>
        <v>132074285.31000003</v>
      </c>
      <c r="AO10" s="131" t="s">
        <v>110</v>
      </c>
    </row>
    <row r="11" spans="1:41" ht="60">
      <c r="A11" s="90" t="s">
        <v>58</v>
      </c>
      <c r="B11" s="90" t="s">
        <v>51</v>
      </c>
      <c r="C11" s="90" t="s">
        <v>48</v>
      </c>
      <c r="D11" s="90">
        <v>287</v>
      </c>
      <c r="E11" s="91">
        <v>269.83</v>
      </c>
      <c r="F11" s="90">
        <v>139</v>
      </c>
      <c r="G11" s="91">
        <v>132.45</v>
      </c>
      <c r="H11" s="90">
        <v>65</v>
      </c>
      <c r="I11" s="91">
        <v>63.39</v>
      </c>
      <c r="J11" s="90">
        <v>10</v>
      </c>
      <c r="K11" s="91">
        <v>9.82</v>
      </c>
      <c r="L11" s="90">
        <v>2</v>
      </c>
      <c r="M11" s="91">
        <v>1.78</v>
      </c>
      <c r="N11" s="90">
        <v>0</v>
      </c>
      <c r="O11" s="91">
        <v>0</v>
      </c>
      <c r="P11" s="43">
        <f t="shared" si="1"/>
        <v>503</v>
      </c>
      <c r="Q11" s="44">
        <f t="shared" si="1"/>
        <v>477.2699999999999</v>
      </c>
      <c r="R11" s="68">
        <v>182</v>
      </c>
      <c r="S11" s="68">
        <v>129.87</v>
      </c>
      <c r="T11" s="68">
        <v>0</v>
      </c>
      <c r="U11" s="68">
        <v>0</v>
      </c>
      <c r="V11" s="68">
        <v>0</v>
      </c>
      <c r="W11" s="68">
        <v>0</v>
      </c>
      <c r="X11" s="68">
        <v>1</v>
      </c>
      <c r="Y11" s="68">
        <v>0.45</v>
      </c>
      <c r="Z11" s="100">
        <f t="shared" si="0"/>
        <v>183</v>
      </c>
      <c r="AA11" s="47">
        <f t="shared" si="0"/>
        <v>130.32</v>
      </c>
      <c r="AB11" s="43">
        <f t="shared" si="5"/>
        <v>686</v>
      </c>
      <c r="AC11" s="44">
        <f t="shared" si="5"/>
        <v>607.5899999999999</v>
      </c>
      <c r="AD11" s="104">
        <v>998466.85</v>
      </c>
      <c r="AE11" s="48">
        <v>20959.22</v>
      </c>
      <c r="AF11" s="48">
        <v>800</v>
      </c>
      <c r="AG11" s="48">
        <v>62809.82</v>
      </c>
      <c r="AH11" s="48">
        <v>163291.37</v>
      </c>
      <c r="AI11" s="48">
        <v>72932.68</v>
      </c>
      <c r="AJ11" s="93">
        <f t="shared" si="2"/>
        <v>1319259.9399999997</v>
      </c>
      <c r="AK11" s="104">
        <v>87486.56</v>
      </c>
      <c r="AL11" s="48">
        <v>0</v>
      </c>
      <c r="AM11" s="93">
        <f t="shared" si="3"/>
        <v>87486.56</v>
      </c>
      <c r="AN11" s="93">
        <f t="shared" si="4"/>
        <v>1406746.4999999998</v>
      </c>
      <c r="AO11" s="127" t="s">
        <v>111</v>
      </c>
    </row>
    <row r="12" spans="1:41" ht="120">
      <c r="A12" s="90" t="s">
        <v>62</v>
      </c>
      <c r="B12" s="90" t="s">
        <v>63</v>
      </c>
      <c r="C12" s="90" t="s">
        <v>48</v>
      </c>
      <c r="D12" s="96">
        <v>0</v>
      </c>
      <c r="E12" s="96">
        <v>0</v>
      </c>
      <c r="F12" s="96">
        <v>0</v>
      </c>
      <c r="G12" s="96">
        <v>0</v>
      </c>
      <c r="H12" s="96">
        <v>0</v>
      </c>
      <c r="I12" s="96">
        <v>0</v>
      </c>
      <c r="J12" s="96">
        <v>0</v>
      </c>
      <c r="K12" s="96">
        <v>0</v>
      </c>
      <c r="L12" s="96">
        <v>0</v>
      </c>
      <c r="M12" s="96">
        <v>0</v>
      </c>
      <c r="N12" s="90">
        <v>73</v>
      </c>
      <c r="O12" s="90">
        <v>67.38</v>
      </c>
      <c r="P12" s="43">
        <f t="shared" si="1"/>
        <v>73</v>
      </c>
      <c r="Q12" s="122">
        <f t="shared" si="1"/>
        <v>67.38</v>
      </c>
      <c r="R12" s="114">
        <v>3</v>
      </c>
      <c r="S12" s="68">
        <v>3</v>
      </c>
      <c r="T12" s="63">
        <v>0</v>
      </c>
      <c r="U12" s="63">
        <v>0</v>
      </c>
      <c r="V12" s="63">
        <v>0</v>
      </c>
      <c r="W12" s="63">
        <v>0</v>
      </c>
      <c r="X12" s="63">
        <v>0</v>
      </c>
      <c r="Y12" s="63">
        <v>0</v>
      </c>
      <c r="Z12" s="100">
        <f t="shared" si="0"/>
        <v>3</v>
      </c>
      <c r="AA12" s="47">
        <f t="shared" si="0"/>
        <v>3</v>
      </c>
      <c r="AB12" s="43">
        <f t="shared" si="5"/>
        <v>76</v>
      </c>
      <c r="AC12" s="122">
        <f t="shared" si="5"/>
        <v>70.38</v>
      </c>
      <c r="AD12" s="104">
        <v>195544</v>
      </c>
      <c r="AE12" s="48">
        <v>57</v>
      </c>
      <c r="AF12" s="48">
        <v>0</v>
      </c>
      <c r="AG12" s="48">
        <v>0</v>
      </c>
      <c r="AH12" s="48">
        <v>35835</v>
      </c>
      <c r="AI12" s="48">
        <v>16056</v>
      </c>
      <c r="AJ12" s="93">
        <f t="shared" si="2"/>
        <v>247492</v>
      </c>
      <c r="AK12" s="104">
        <v>7517</v>
      </c>
      <c r="AL12" s="48">
        <v>0</v>
      </c>
      <c r="AM12" s="93">
        <f t="shared" si="3"/>
        <v>7517</v>
      </c>
      <c r="AN12" s="123">
        <f t="shared" si="4"/>
        <v>255009</v>
      </c>
      <c r="AO12" s="127" t="s">
        <v>64</v>
      </c>
    </row>
    <row r="13" spans="1:41" ht="45">
      <c r="A13" s="90" t="s">
        <v>66</v>
      </c>
      <c r="B13" s="90" t="s">
        <v>63</v>
      </c>
      <c r="C13" s="90" t="s">
        <v>48</v>
      </c>
      <c r="D13" s="96">
        <v>0</v>
      </c>
      <c r="E13" s="96">
        <v>0</v>
      </c>
      <c r="F13" s="96">
        <v>0</v>
      </c>
      <c r="G13" s="96">
        <v>0</v>
      </c>
      <c r="H13" s="96">
        <v>0</v>
      </c>
      <c r="I13" s="96">
        <v>0</v>
      </c>
      <c r="J13" s="96">
        <v>0</v>
      </c>
      <c r="K13" s="96">
        <v>0</v>
      </c>
      <c r="L13" s="96">
        <v>0</v>
      </c>
      <c r="M13" s="96">
        <v>0</v>
      </c>
      <c r="N13" s="90">
        <v>359</v>
      </c>
      <c r="O13" s="90">
        <v>333.69</v>
      </c>
      <c r="P13" s="43">
        <f t="shared" si="1"/>
        <v>359</v>
      </c>
      <c r="Q13" s="44">
        <f t="shared" si="1"/>
        <v>333.69</v>
      </c>
      <c r="R13" s="114">
        <v>22</v>
      </c>
      <c r="S13" s="68">
        <v>20.9</v>
      </c>
      <c r="T13" s="68">
        <v>0</v>
      </c>
      <c r="U13" s="73">
        <v>0</v>
      </c>
      <c r="V13" s="68">
        <v>0</v>
      </c>
      <c r="W13" s="73">
        <v>0</v>
      </c>
      <c r="X13" s="68">
        <v>0</v>
      </c>
      <c r="Y13" s="68">
        <v>0</v>
      </c>
      <c r="Z13" s="46">
        <f t="shared" si="0"/>
        <v>22</v>
      </c>
      <c r="AA13" s="47">
        <f t="shared" si="0"/>
        <v>20.9</v>
      </c>
      <c r="AB13" s="43">
        <f t="shared" si="5"/>
        <v>381</v>
      </c>
      <c r="AC13" s="44">
        <f t="shared" si="5"/>
        <v>354.59</v>
      </c>
      <c r="AD13" s="104">
        <v>730179.7</v>
      </c>
      <c r="AE13" s="48">
        <v>857.65</v>
      </c>
      <c r="AF13" s="48">
        <v>0</v>
      </c>
      <c r="AG13" s="48">
        <v>7502.02</v>
      </c>
      <c r="AH13" s="48">
        <v>133467.13</v>
      </c>
      <c r="AI13" s="48">
        <v>51492.03</v>
      </c>
      <c r="AJ13" s="93">
        <f t="shared" si="2"/>
        <v>923498.53</v>
      </c>
      <c r="AK13" s="104">
        <v>37393.24</v>
      </c>
      <c r="AL13" s="48">
        <v>0</v>
      </c>
      <c r="AM13" s="93">
        <f t="shared" si="3"/>
        <v>37393.24</v>
      </c>
      <c r="AN13" s="93">
        <f t="shared" si="4"/>
        <v>960891.77</v>
      </c>
      <c r="AO13" s="130"/>
    </row>
    <row r="14" spans="1:41" ht="45">
      <c r="A14" s="90" t="s">
        <v>67</v>
      </c>
      <c r="B14" s="90" t="s">
        <v>63</v>
      </c>
      <c r="C14" s="90" t="s">
        <v>48</v>
      </c>
      <c r="D14" s="115">
        <v>11</v>
      </c>
      <c r="E14" s="90">
        <v>11</v>
      </c>
      <c r="F14" s="90">
        <v>20</v>
      </c>
      <c r="G14" s="90">
        <v>19</v>
      </c>
      <c r="H14" s="90">
        <v>22</v>
      </c>
      <c r="I14" s="90">
        <v>21.69</v>
      </c>
      <c r="J14" s="90">
        <v>14</v>
      </c>
      <c r="K14" s="90">
        <v>13.2</v>
      </c>
      <c r="L14" s="90">
        <v>3</v>
      </c>
      <c r="M14" s="90">
        <v>3</v>
      </c>
      <c r="N14" s="90">
        <v>1</v>
      </c>
      <c r="O14" s="90">
        <v>0.4</v>
      </c>
      <c r="P14" s="43">
        <f t="shared" si="1"/>
        <v>71</v>
      </c>
      <c r="Q14" s="44">
        <f t="shared" si="1"/>
        <v>68.29</v>
      </c>
      <c r="R14" s="117">
        <v>0</v>
      </c>
      <c r="S14" s="63">
        <v>0</v>
      </c>
      <c r="T14" s="63">
        <v>0</v>
      </c>
      <c r="U14" s="63">
        <v>0</v>
      </c>
      <c r="V14" s="63">
        <v>0</v>
      </c>
      <c r="W14" s="63">
        <v>0</v>
      </c>
      <c r="X14" s="63">
        <v>0</v>
      </c>
      <c r="Y14" s="63">
        <v>0</v>
      </c>
      <c r="Z14" s="100">
        <f t="shared" si="0"/>
        <v>0</v>
      </c>
      <c r="AA14" s="47">
        <f t="shared" si="0"/>
        <v>0</v>
      </c>
      <c r="AB14" s="43">
        <f t="shared" si="5"/>
        <v>71</v>
      </c>
      <c r="AC14" s="44">
        <f t="shared" si="5"/>
        <v>68.29</v>
      </c>
      <c r="AD14" s="104">
        <f>200488.28-300</f>
        <v>200188.28</v>
      </c>
      <c r="AE14" s="48">
        <v>3174.29</v>
      </c>
      <c r="AF14" s="48">
        <v>300</v>
      </c>
      <c r="AG14" s="48">
        <v>0</v>
      </c>
      <c r="AH14" s="48">
        <v>38585.82</v>
      </c>
      <c r="AI14" s="48">
        <v>17438.47</v>
      </c>
      <c r="AJ14" s="93">
        <f t="shared" si="2"/>
        <v>259686.86000000002</v>
      </c>
      <c r="AK14" s="48">
        <v>0</v>
      </c>
      <c r="AL14" s="48">
        <v>0</v>
      </c>
      <c r="AM14" s="93">
        <f t="shared" si="3"/>
        <v>0</v>
      </c>
      <c r="AN14" s="93">
        <f t="shared" si="4"/>
        <v>259686.86000000002</v>
      </c>
      <c r="AO14" s="130"/>
    </row>
    <row r="15" spans="1:41" ht="72">
      <c r="A15" s="90" t="s">
        <v>68</v>
      </c>
      <c r="B15" s="90" t="s">
        <v>63</v>
      </c>
      <c r="C15" s="90" t="s">
        <v>48</v>
      </c>
      <c r="D15" s="96">
        <v>0</v>
      </c>
      <c r="E15" s="96">
        <v>0</v>
      </c>
      <c r="F15" s="96">
        <v>0</v>
      </c>
      <c r="G15" s="96">
        <v>0</v>
      </c>
      <c r="H15" s="96">
        <v>0</v>
      </c>
      <c r="I15" s="96">
        <v>0</v>
      </c>
      <c r="J15" s="96">
        <v>0</v>
      </c>
      <c r="K15" s="96">
        <v>0</v>
      </c>
      <c r="L15" s="96">
        <v>0</v>
      </c>
      <c r="M15" s="96">
        <v>0</v>
      </c>
      <c r="N15" s="96">
        <v>29</v>
      </c>
      <c r="O15" s="96">
        <v>29</v>
      </c>
      <c r="P15" s="43">
        <f t="shared" si="1"/>
        <v>29</v>
      </c>
      <c r="Q15" s="44">
        <f t="shared" si="1"/>
        <v>29</v>
      </c>
      <c r="R15" s="117">
        <v>0</v>
      </c>
      <c r="S15" s="63">
        <v>0</v>
      </c>
      <c r="T15" s="63">
        <v>0</v>
      </c>
      <c r="U15" s="63">
        <v>0</v>
      </c>
      <c r="V15" s="63">
        <v>0</v>
      </c>
      <c r="W15" s="63">
        <v>0</v>
      </c>
      <c r="X15" s="63">
        <v>0</v>
      </c>
      <c r="Y15" s="63">
        <v>0</v>
      </c>
      <c r="Z15" s="100">
        <f t="shared" si="0"/>
        <v>0</v>
      </c>
      <c r="AA15" s="47">
        <f t="shared" si="0"/>
        <v>0</v>
      </c>
      <c r="AB15" s="43">
        <f t="shared" si="5"/>
        <v>29</v>
      </c>
      <c r="AC15" s="44">
        <f t="shared" si="5"/>
        <v>29</v>
      </c>
      <c r="AD15" s="108">
        <v>138524.57</v>
      </c>
      <c r="AE15" s="48">
        <v>0</v>
      </c>
      <c r="AF15" s="48">
        <v>0</v>
      </c>
      <c r="AG15" s="48">
        <v>0</v>
      </c>
      <c r="AH15" s="98">
        <v>30601.8</v>
      </c>
      <c r="AI15" s="98">
        <v>16533.02</v>
      </c>
      <c r="AJ15" s="93">
        <f t="shared" si="2"/>
        <v>185659.38999999998</v>
      </c>
      <c r="AK15" s="48">
        <v>0</v>
      </c>
      <c r="AL15" s="48">
        <v>0</v>
      </c>
      <c r="AM15" s="93">
        <f t="shared" si="3"/>
        <v>0</v>
      </c>
      <c r="AN15" s="93">
        <f t="shared" si="4"/>
        <v>185659.38999999998</v>
      </c>
      <c r="AO15" s="128" t="s">
        <v>69</v>
      </c>
    </row>
    <row r="16" spans="1:41" ht="45">
      <c r="A16" s="90" t="s">
        <v>70</v>
      </c>
      <c r="B16" s="90" t="s">
        <v>63</v>
      </c>
      <c r="C16" s="90" t="s">
        <v>48</v>
      </c>
      <c r="D16" s="116">
        <v>791</v>
      </c>
      <c r="E16" s="96">
        <v>746.97</v>
      </c>
      <c r="F16" s="96">
        <v>264</v>
      </c>
      <c r="G16" s="96">
        <v>254.3</v>
      </c>
      <c r="H16" s="96">
        <v>397</v>
      </c>
      <c r="I16" s="96">
        <v>380.71</v>
      </c>
      <c r="J16" s="96">
        <v>102</v>
      </c>
      <c r="K16" s="96">
        <v>100.27</v>
      </c>
      <c r="L16" s="96">
        <v>16</v>
      </c>
      <c r="M16" s="96">
        <v>10.2</v>
      </c>
      <c r="N16" s="96">
        <v>0</v>
      </c>
      <c r="O16" s="96">
        <v>0</v>
      </c>
      <c r="P16" s="43">
        <f t="shared" si="1"/>
        <v>1570</v>
      </c>
      <c r="Q16" s="44">
        <f t="shared" si="1"/>
        <v>1492.45</v>
      </c>
      <c r="R16" s="117">
        <v>44</v>
      </c>
      <c r="S16" s="63">
        <v>41.6</v>
      </c>
      <c r="T16" s="63">
        <v>0</v>
      </c>
      <c r="U16" s="84">
        <v>0</v>
      </c>
      <c r="V16" s="63">
        <v>70</v>
      </c>
      <c r="W16" s="63">
        <v>68.83</v>
      </c>
      <c r="X16" s="63">
        <v>0</v>
      </c>
      <c r="Y16" s="84">
        <v>0</v>
      </c>
      <c r="Z16" s="46">
        <f t="shared" si="0"/>
        <v>114</v>
      </c>
      <c r="AA16" s="47">
        <f t="shared" si="0"/>
        <v>110.43</v>
      </c>
      <c r="AB16" s="43">
        <f t="shared" si="5"/>
        <v>1684</v>
      </c>
      <c r="AC16" s="44">
        <f t="shared" si="5"/>
        <v>1602.88</v>
      </c>
      <c r="AD16" s="108">
        <v>3517080.43</v>
      </c>
      <c r="AE16" s="48">
        <v>0</v>
      </c>
      <c r="AF16" s="48">
        <v>0</v>
      </c>
      <c r="AG16" s="98">
        <v>95532.57</v>
      </c>
      <c r="AH16" s="98">
        <v>21956.28</v>
      </c>
      <c r="AI16" s="98">
        <v>279782.18</v>
      </c>
      <c r="AJ16" s="93">
        <f t="shared" si="2"/>
        <v>3914351.46</v>
      </c>
      <c r="AK16" s="108">
        <f>198567.77+532049.4</f>
        <v>730617.17</v>
      </c>
      <c r="AL16" s="48">
        <v>0</v>
      </c>
      <c r="AM16" s="93">
        <f t="shared" si="3"/>
        <v>730617.17</v>
      </c>
      <c r="AN16" s="93">
        <f t="shared" si="4"/>
        <v>4644968.63</v>
      </c>
      <c r="AO16" s="130"/>
    </row>
    <row r="17" spans="1:41" ht="45">
      <c r="A17" s="90" t="s">
        <v>71</v>
      </c>
      <c r="B17" s="90" t="s">
        <v>63</v>
      </c>
      <c r="C17" s="90" t="s">
        <v>48</v>
      </c>
      <c r="D17" s="115">
        <v>21</v>
      </c>
      <c r="E17" s="90">
        <v>20.12</v>
      </c>
      <c r="F17" s="90">
        <v>49</v>
      </c>
      <c r="G17" s="90">
        <v>48.53</v>
      </c>
      <c r="H17" s="90">
        <v>15</v>
      </c>
      <c r="I17" s="90">
        <v>14.06</v>
      </c>
      <c r="J17" s="90">
        <v>6</v>
      </c>
      <c r="K17" s="90">
        <v>6</v>
      </c>
      <c r="L17" s="90">
        <v>1</v>
      </c>
      <c r="M17" s="90">
        <v>1</v>
      </c>
      <c r="N17" s="90">
        <v>0</v>
      </c>
      <c r="O17" s="90">
        <v>0</v>
      </c>
      <c r="P17" s="43">
        <f t="shared" si="1"/>
        <v>92</v>
      </c>
      <c r="Q17" s="44">
        <f t="shared" si="1"/>
        <v>89.71000000000001</v>
      </c>
      <c r="R17" s="114">
        <v>7</v>
      </c>
      <c r="S17" s="68">
        <v>7</v>
      </c>
      <c r="T17" s="68">
        <v>0</v>
      </c>
      <c r="U17" s="68">
        <v>0</v>
      </c>
      <c r="V17" s="68">
        <v>0</v>
      </c>
      <c r="W17" s="68">
        <v>0</v>
      </c>
      <c r="X17" s="68">
        <v>0</v>
      </c>
      <c r="Y17" s="68">
        <v>0</v>
      </c>
      <c r="Z17" s="46">
        <f t="shared" si="0"/>
        <v>7</v>
      </c>
      <c r="AA17" s="47">
        <f t="shared" si="0"/>
        <v>7</v>
      </c>
      <c r="AB17" s="43">
        <f t="shared" si="5"/>
        <v>99</v>
      </c>
      <c r="AC17" s="44">
        <f t="shared" si="5"/>
        <v>96.71000000000001</v>
      </c>
      <c r="AD17" s="104">
        <f>178782.22+442.29-119.76</f>
        <v>179104.75</v>
      </c>
      <c r="AE17" s="48">
        <f>152.07-1068.12+20382.2+720-2125.68-50</f>
        <v>18010.47</v>
      </c>
      <c r="AF17" s="48">
        <v>0</v>
      </c>
      <c r="AG17" s="48">
        <f>2495.91</f>
        <v>2495.91</v>
      </c>
      <c r="AH17" s="48">
        <f>16453.16</f>
        <v>16453.16</v>
      </c>
      <c r="AI17" s="48">
        <f>377.69+33804.13</f>
        <v>34181.82</v>
      </c>
      <c r="AJ17" s="93">
        <f t="shared" si="2"/>
        <v>250246.11000000002</v>
      </c>
      <c r="AK17" s="104">
        <f>6886.2+4395.02+19814</f>
        <v>31095.22</v>
      </c>
      <c r="AL17" s="48">
        <v>0</v>
      </c>
      <c r="AM17" s="93">
        <f t="shared" si="3"/>
        <v>31095.22</v>
      </c>
      <c r="AN17" s="93">
        <f t="shared" si="4"/>
        <v>281341.33</v>
      </c>
      <c r="AO17" s="130"/>
    </row>
    <row r="18" spans="1:41" ht="360">
      <c r="A18" s="90" t="s">
        <v>72</v>
      </c>
      <c r="B18" s="90" t="s">
        <v>63</v>
      </c>
      <c r="C18" s="90" t="s">
        <v>48</v>
      </c>
      <c r="D18" s="90">
        <v>0</v>
      </c>
      <c r="E18" s="91">
        <v>0</v>
      </c>
      <c r="F18" s="90">
        <v>0</v>
      </c>
      <c r="G18" s="91">
        <v>0</v>
      </c>
      <c r="H18" s="90">
        <v>0</v>
      </c>
      <c r="I18" s="91">
        <v>0</v>
      </c>
      <c r="J18" s="90">
        <v>0</v>
      </c>
      <c r="K18" s="91">
        <v>0</v>
      </c>
      <c r="L18" s="90">
        <v>0</v>
      </c>
      <c r="M18" s="91">
        <v>0</v>
      </c>
      <c r="N18" s="90">
        <v>19425</v>
      </c>
      <c r="O18" s="90">
        <v>17574</v>
      </c>
      <c r="P18" s="43">
        <f t="shared" si="1"/>
        <v>19425</v>
      </c>
      <c r="Q18" s="44">
        <f t="shared" si="1"/>
        <v>17574</v>
      </c>
      <c r="R18" s="114">
        <v>1507</v>
      </c>
      <c r="S18" s="68">
        <v>1507</v>
      </c>
      <c r="T18" s="68">
        <v>9</v>
      </c>
      <c r="U18" s="68">
        <v>9</v>
      </c>
      <c r="V18" s="68">
        <v>0</v>
      </c>
      <c r="W18" s="68">
        <v>0</v>
      </c>
      <c r="X18" s="68">
        <v>0</v>
      </c>
      <c r="Y18" s="68">
        <v>0</v>
      </c>
      <c r="Z18" s="46">
        <f t="shared" si="0"/>
        <v>1516</v>
      </c>
      <c r="AA18" s="47">
        <f t="shared" si="0"/>
        <v>1516</v>
      </c>
      <c r="AB18" s="43">
        <f t="shared" si="5"/>
        <v>20941</v>
      </c>
      <c r="AC18" s="44">
        <f t="shared" si="5"/>
        <v>19090</v>
      </c>
      <c r="AD18" s="41" t="s">
        <v>90</v>
      </c>
      <c r="AE18" s="41" t="s">
        <v>90</v>
      </c>
      <c r="AF18" s="41" t="s">
        <v>90</v>
      </c>
      <c r="AG18" s="41" t="s">
        <v>90</v>
      </c>
      <c r="AH18" s="41" t="s">
        <v>90</v>
      </c>
      <c r="AI18" s="41" t="s">
        <v>90</v>
      </c>
      <c r="AJ18" s="41" t="s">
        <v>90</v>
      </c>
      <c r="AK18" s="41" t="s">
        <v>90</v>
      </c>
      <c r="AL18" s="41" t="s">
        <v>90</v>
      </c>
      <c r="AM18" s="41" t="s">
        <v>90</v>
      </c>
      <c r="AN18" s="41" t="s">
        <v>90</v>
      </c>
      <c r="AO18" s="129" t="s">
        <v>112</v>
      </c>
    </row>
    <row r="19" spans="1:41" ht="45">
      <c r="A19" s="90" t="s">
        <v>74</v>
      </c>
      <c r="B19" s="90" t="s">
        <v>63</v>
      </c>
      <c r="C19" s="90" t="s">
        <v>48</v>
      </c>
      <c r="D19" s="115">
        <v>13</v>
      </c>
      <c r="E19" s="90">
        <v>11.85</v>
      </c>
      <c r="F19" s="90">
        <v>40</v>
      </c>
      <c r="G19" s="90">
        <v>38.93</v>
      </c>
      <c r="H19" s="90">
        <v>108</v>
      </c>
      <c r="I19" s="90">
        <v>105.61</v>
      </c>
      <c r="J19" s="90">
        <v>34</v>
      </c>
      <c r="K19" s="90">
        <v>34</v>
      </c>
      <c r="L19" s="90">
        <v>4</v>
      </c>
      <c r="M19" s="90">
        <v>3.6</v>
      </c>
      <c r="N19" s="90">
        <v>9</v>
      </c>
      <c r="O19" s="90">
        <v>9</v>
      </c>
      <c r="P19" s="43">
        <f t="shared" si="1"/>
        <v>208</v>
      </c>
      <c r="Q19" s="44">
        <f t="shared" si="1"/>
        <v>202.98999999999998</v>
      </c>
      <c r="R19" s="114">
        <v>9</v>
      </c>
      <c r="S19" s="68">
        <v>9</v>
      </c>
      <c r="T19" s="68">
        <v>0</v>
      </c>
      <c r="U19" s="73">
        <v>0</v>
      </c>
      <c r="V19" s="68">
        <v>7</v>
      </c>
      <c r="W19" s="68">
        <v>6.8</v>
      </c>
      <c r="X19" s="68">
        <v>0</v>
      </c>
      <c r="Y19" s="73">
        <v>0</v>
      </c>
      <c r="Z19" s="46">
        <f t="shared" si="0"/>
        <v>16</v>
      </c>
      <c r="AA19" s="47">
        <f t="shared" si="0"/>
        <v>15.8</v>
      </c>
      <c r="AB19" s="43">
        <f t="shared" si="5"/>
        <v>224</v>
      </c>
      <c r="AC19" s="44">
        <f t="shared" si="5"/>
        <v>218.79</v>
      </c>
      <c r="AD19" s="104">
        <v>628426.33</v>
      </c>
      <c r="AE19" s="48">
        <v>62488.88</v>
      </c>
      <c r="AF19" s="48">
        <v>0</v>
      </c>
      <c r="AG19" s="48">
        <v>8398.29</v>
      </c>
      <c r="AH19" s="48">
        <v>128699.44</v>
      </c>
      <c r="AI19" s="48">
        <v>61678.27</v>
      </c>
      <c r="AJ19" s="93">
        <f t="shared" si="2"/>
        <v>889691.21</v>
      </c>
      <c r="AK19" s="104">
        <v>67543.21</v>
      </c>
      <c r="AL19" s="48">
        <v>0</v>
      </c>
      <c r="AM19" s="93">
        <f t="shared" si="3"/>
        <v>67543.21</v>
      </c>
      <c r="AN19" s="93">
        <f t="shared" si="4"/>
        <v>957234.4199999999</v>
      </c>
      <c r="AO19" s="130"/>
    </row>
    <row r="20" spans="1:41" ht="15">
      <c r="A20" s="3"/>
      <c r="B20" s="3"/>
      <c r="C20" s="3"/>
      <c r="D20" s="12"/>
      <c r="E20" s="12"/>
      <c r="F20" s="12"/>
      <c r="G20" s="12"/>
      <c r="H20" s="12"/>
      <c r="I20" s="12"/>
      <c r="J20" s="12"/>
      <c r="K20" s="12"/>
      <c r="L20" s="12"/>
      <c r="M20" s="12"/>
      <c r="N20" s="12"/>
      <c r="O20" s="12"/>
      <c r="P20" s="13"/>
      <c r="Q20" s="13"/>
      <c r="R20" s="12"/>
      <c r="S20" s="12"/>
      <c r="T20" s="12"/>
      <c r="U20" s="12"/>
      <c r="V20" s="12"/>
      <c r="W20" s="12"/>
      <c r="X20" s="12"/>
      <c r="Y20" s="12"/>
      <c r="Z20" s="14"/>
      <c r="AA20" s="14"/>
      <c r="AB20" s="4"/>
      <c r="AC20" s="4"/>
      <c r="AD20" s="6"/>
      <c r="AE20" s="6"/>
      <c r="AF20" s="6"/>
      <c r="AG20" s="6"/>
      <c r="AH20" s="6"/>
      <c r="AI20" s="6"/>
      <c r="AJ20" s="7"/>
      <c r="AK20" s="5"/>
      <c r="AL20" s="5"/>
      <c r="AM20" s="8"/>
      <c r="AN20" s="8"/>
      <c r="AO20" s="9"/>
    </row>
    <row r="21" spans="1:41" ht="15">
      <c r="A21" s="3"/>
      <c r="B21" s="3"/>
      <c r="C21" s="3"/>
      <c r="D21" s="12"/>
      <c r="E21" s="12"/>
      <c r="F21" s="12"/>
      <c r="G21" s="12"/>
      <c r="H21" s="12"/>
      <c r="I21" s="12"/>
      <c r="J21" s="12"/>
      <c r="K21" s="12"/>
      <c r="L21" s="12"/>
      <c r="M21" s="12"/>
      <c r="N21" s="12"/>
      <c r="O21" s="12"/>
      <c r="P21" s="13"/>
      <c r="Q21" s="13"/>
      <c r="R21" s="12"/>
      <c r="S21" s="12"/>
      <c r="T21" s="12"/>
      <c r="U21" s="12"/>
      <c r="V21" s="12"/>
      <c r="W21" s="12"/>
      <c r="X21" s="12"/>
      <c r="Y21" s="12"/>
      <c r="Z21" s="14"/>
      <c r="AA21" s="14"/>
      <c r="AB21" s="4"/>
      <c r="AC21" s="4"/>
      <c r="AD21" s="6"/>
      <c r="AE21" s="6"/>
      <c r="AF21" s="6"/>
      <c r="AG21" s="6"/>
      <c r="AH21" s="6"/>
      <c r="AI21" s="6"/>
      <c r="AJ21" s="7"/>
      <c r="AK21" s="5"/>
      <c r="AL21" s="5"/>
      <c r="AM21" s="8"/>
      <c r="AN21" s="8"/>
      <c r="AO21" s="9"/>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row r="101" spans="1:41" ht="15">
      <c r="A101" s="3"/>
      <c r="B101" s="3"/>
      <c r="C101" s="3"/>
      <c r="D101" s="12"/>
      <c r="E101" s="12"/>
      <c r="F101" s="12"/>
      <c r="G101" s="12"/>
      <c r="H101" s="12"/>
      <c r="I101" s="12"/>
      <c r="J101" s="12"/>
      <c r="K101" s="12"/>
      <c r="L101" s="12"/>
      <c r="M101" s="12"/>
      <c r="N101" s="12"/>
      <c r="O101" s="12"/>
      <c r="P101" s="13"/>
      <c r="Q101" s="13"/>
      <c r="R101" s="12"/>
      <c r="S101" s="12"/>
      <c r="T101" s="12"/>
      <c r="U101" s="12"/>
      <c r="V101" s="12"/>
      <c r="W101" s="12"/>
      <c r="X101" s="12"/>
      <c r="Y101" s="12"/>
      <c r="Z101" s="14"/>
      <c r="AA101" s="14"/>
      <c r="AB101" s="4"/>
      <c r="AC101" s="4"/>
      <c r="AD101" s="6"/>
      <c r="AE101" s="6"/>
      <c r="AF101" s="6"/>
      <c r="AG101" s="6"/>
      <c r="AH101" s="6"/>
      <c r="AI101" s="6"/>
      <c r="AJ101" s="7"/>
      <c r="AK101" s="5"/>
      <c r="AL101" s="5"/>
      <c r="AM101" s="8"/>
      <c r="AN101" s="8"/>
      <c r="AO101" s="9"/>
    </row>
    <row r="102" spans="1:41" ht="15">
      <c r="A102" s="3"/>
      <c r="B102" s="3"/>
      <c r="C102" s="3"/>
      <c r="D102" s="12"/>
      <c r="E102" s="12"/>
      <c r="F102" s="12"/>
      <c r="G102" s="12"/>
      <c r="H102" s="12"/>
      <c r="I102" s="12"/>
      <c r="J102" s="12"/>
      <c r="K102" s="12"/>
      <c r="L102" s="12"/>
      <c r="M102" s="12"/>
      <c r="N102" s="12"/>
      <c r="O102" s="12"/>
      <c r="P102" s="13"/>
      <c r="Q102" s="13"/>
      <c r="R102" s="12"/>
      <c r="S102" s="12"/>
      <c r="T102" s="12"/>
      <c r="U102" s="12"/>
      <c r="V102" s="12"/>
      <c r="W102" s="12"/>
      <c r="X102" s="12"/>
      <c r="Y102" s="12"/>
      <c r="Z102" s="14"/>
      <c r="AA102" s="14"/>
      <c r="AB102" s="4"/>
      <c r="AC102" s="4"/>
      <c r="AD102" s="6"/>
      <c r="AE102" s="6"/>
      <c r="AF102" s="6"/>
      <c r="AG102" s="6"/>
      <c r="AH102" s="6"/>
      <c r="AI102" s="6"/>
      <c r="AJ102" s="7"/>
      <c r="AK102" s="5"/>
      <c r="AL102" s="5"/>
      <c r="AM102" s="8"/>
      <c r="AN102" s="8"/>
      <c r="AO102" s="9"/>
    </row>
    <row r="103" spans="1:41" ht="15">
      <c r="A103" s="3"/>
      <c r="B103" s="3"/>
      <c r="C103" s="3"/>
      <c r="D103" s="12"/>
      <c r="E103" s="12"/>
      <c r="F103" s="12"/>
      <c r="G103" s="12"/>
      <c r="H103" s="12"/>
      <c r="I103" s="12"/>
      <c r="J103" s="12"/>
      <c r="K103" s="12"/>
      <c r="L103" s="12"/>
      <c r="M103" s="12"/>
      <c r="N103" s="12"/>
      <c r="O103" s="12"/>
      <c r="P103" s="13"/>
      <c r="Q103" s="13"/>
      <c r="R103" s="12"/>
      <c r="S103" s="12"/>
      <c r="T103" s="12"/>
      <c r="U103" s="12"/>
      <c r="V103" s="12"/>
      <c r="W103" s="12"/>
      <c r="X103" s="12"/>
      <c r="Y103" s="12"/>
      <c r="Z103" s="14"/>
      <c r="AA103" s="14"/>
      <c r="AB103" s="4"/>
      <c r="AC103" s="4"/>
      <c r="AD103" s="6"/>
      <c r="AE103" s="6"/>
      <c r="AF103" s="6"/>
      <c r="AG103" s="6"/>
      <c r="AH103" s="6"/>
      <c r="AI103" s="6"/>
      <c r="AJ103" s="7"/>
      <c r="AK103" s="5"/>
      <c r="AL103" s="5"/>
      <c r="AM103" s="8"/>
      <c r="AN103" s="8"/>
      <c r="AO103" s="9"/>
    </row>
  </sheetData>
  <mergeCells count="32">
    <mergeCell ref="AJ5:AJ6"/>
    <mergeCell ref="AK5:AK6"/>
    <mergeCell ref="AL5:AL6"/>
    <mergeCell ref="AM5:AM6"/>
    <mergeCell ref="AF5:AF6"/>
    <mergeCell ref="AG5:AG6"/>
    <mergeCell ref="AH5:AH6"/>
    <mergeCell ref="AI5:AI6"/>
    <mergeCell ref="AN4:AN6"/>
    <mergeCell ref="AO4:AO6"/>
    <mergeCell ref="D5:E5"/>
    <mergeCell ref="F5:G5"/>
    <mergeCell ref="H5:I5"/>
    <mergeCell ref="J5:K5"/>
    <mergeCell ref="L5:M5"/>
    <mergeCell ref="N5:O5"/>
    <mergeCell ref="P5:Q5"/>
    <mergeCell ref="R5:S5"/>
    <mergeCell ref="R4:AA4"/>
    <mergeCell ref="AB4:AC5"/>
    <mergeCell ref="AD4:AJ4"/>
    <mergeCell ref="AK4:AM4"/>
    <mergeCell ref="T5:U5"/>
    <mergeCell ref="V5:W5"/>
    <mergeCell ref="X5:Y5"/>
    <mergeCell ref="Z5:AA5"/>
    <mergeCell ref="AD5:AD6"/>
    <mergeCell ref="AE5:AE6"/>
    <mergeCell ref="A4:A6"/>
    <mergeCell ref="B4:B6"/>
    <mergeCell ref="C4:C6"/>
    <mergeCell ref="D4:Q4"/>
  </mergeCells>
  <conditionalFormatting sqref="B7:B103">
    <cfRule type="expression" priority="1" dxfId="22" stopIfTrue="1">
      <formula>AND(NOT(ISBLANK($A7)),ISBLANK(B7))</formula>
    </cfRule>
  </conditionalFormatting>
  <conditionalFormatting sqref="C7:C103">
    <cfRule type="expression" priority="2" dxfId="22" stopIfTrue="1">
      <formula>AND(NOT(ISBLANK(A7)),ISBLANK(C7))</formula>
    </cfRule>
  </conditionalFormatting>
  <conditionalFormatting sqref="R20:R103 T20:T103 V20:V103 X20:X103 H7:H103 J7:J103 L7:L103 F7:F103 X7:X9 R7:R8 D7:D103 T7:T8 V7:V8 AD18:AN18 N7:N103">
    <cfRule type="expression" priority="3" dxfId="22" stopIfTrue="1">
      <formula>AND(NOT(ISBLANK(E7)),ISBLANK(D7))</formula>
    </cfRule>
  </conditionalFormatting>
  <conditionalFormatting sqref="S20:S103 U20:U103 W20:W103 Y20:Y103 I7:I103 K7:K103 M7:M103 G7:G103 Y7:Y9 S7:S8 E7:E103 U7:U8 W7:W8 Z8:AC8 O7:O103">
    <cfRule type="expression" priority="4" dxfId="22" stopIfTrue="1">
      <formula>AND(NOT(ISBLANK(D7)),ISBLANK(E7))</formula>
    </cfRule>
  </conditionalFormatting>
  <dataValidations count="8">
    <dataValidation type="decimal" operator="greaterThan" allowBlank="1" showInputMessage="1" showErrorMessage="1" sqref="AL9:AL10 AF9:AI9 AD10:AI10 AD7:AI7 AK7:AK10 AL7 AG13 AK12:AK13 AE12:AE14 AF14 AF20:AF103 AE17 AK16:AK17 AG16:AG17 AD12:AD17 AH12:AI17 AD19:AE103 AG19:AI103 AK19:AK103 AL20:AL103">
      <formula1>0</formula1>
    </dataValidation>
    <dataValidation operator="lessThanOrEqual" allowBlank="1" showInputMessage="1" showErrorMessage="1" error="FTE cannot be greater than Headcount&#10;" sqref="AP1:IV65536 R104:AN65536 AO4 P7:Q65536 R4 A4:C4 P5 A104:O65536 AB4 AO7:AO10 AO19:AO65536 AO13:AO14 AO16:AO17 AB6:AC7 AC9:AC103 AB9 AB11:AB103"/>
    <dataValidation type="custom" allowBlank="1" showInputMessage="1" showErrorMessage="1" errorTitle="Headcount" error="The value entered in the headcount field must be greater than or equal to the value entered in the FTE field." sqref="H7:H103 J7:J103 L7:L103 AD18:AN18 T20:T103 V20:V103 X20:X103 R20:R103 D7:D103 F7:F103 R8 V8 X8:X9 T8 N7:N103">
      <formula1>H7&gt;=I7</formula1>
    </dataValidation>
    <dataValidation type="custom" allowBlank="1" showInputMessage="1" showErrorMessage="1" errorTitle="FTE" error="The value entered in the FTE field must be less than or equal to the value entered in the headcount field." sqref="G7:G103 I7:I103 K7:K103 Y9 U20:U103 W20:W103 Y20:Y103 S20:S103 E7:E103 M7:M103 S8 W8 Y8:AC8 U8 O7:O103">
      <formula1>G7&lt;=F7</formula1>
    </dataValidation>
    <dataValidation errorStyle="information" type="textLength" allowBlank="1" showInputMessage="1" showErrorMessage="1" error="XLBVal:6=5140.19&#13;&#10;" sqref="AE9">
      <formula1>0</formula1>
      <formula2>300</formula2>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19">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19">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19">
      <formula1>INDIRECT("List_of_organisations")</formula1>
    </dataValidation>
  </dataValidation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AO19"/>
  <sheetViews>
    <sheetView zoomScale="75" zoomScaleNormal="75" workbookViewId="0" topLeftCell="A1">
      <selection activeCell="A1" sqref="A1:A3"/>
    </sheetView>
  </sheetViews>
  <sheetFormatPr defaultColWidth="8.88671875" defaultRowHeight="15"/>
  <cols>
    <col min="1" max="1" width="23.10546875" style="0" customWidth="1"/>
    <col min="2" max="2" width="24.99609375" style="0" customWidth="1"/>
    <col min="3" max="3" width="14.5546875" style="0" customWidth="1"/>
    <col min="5" max="5" width="12.10546875" style="0" bestFit="1" customWidth="1"/>
    <col min="25" max="28" width="8.99609375" style="0" bestFit="1" customWidth="1"/>
    <col min="29" max="29" width="9.21484375" style="0" bestFit="1" customWidth="1"/>
    <col min="30" max="30" width="15.21484375" style="0" bestFit="1" customWidth="1"/>
    <col min="31" max="31" width="13.21484375" style="0" bestFit="1" customWidth="1"/>
    <col min="32" max="32" width="23.88671875" style="0" customWidth="1"/>
    <col min="33" max="33" width="13.4453125" style="0" bestFit="1" customWidth="1"/>
    <col min="34" max="34" width="17.6640625" style="0" customWidth="1"/>
    <col min="35" max="36" width="18.10546875" style="0" customWidth="1"/>
    <col min="37" max="37" width="17.21484375" style="0" customWidth="1"/>
    <col min="38" max="38" width="15.3359375" style="0" customWidth="1"/>
    <col min="39" max="39" width="16.5546875" style="0" customWidth="1"/>
    <col min="40" max="40" width="17.88671875" style="0" customWidth="1"/>
    <col min="41" max="41" width="29.4453125" style="0" customWidth="1"/>
  </cols>
  <sheetData>
    <row r="1" spans="1:23" ht="15">
      <c r="A1" s="2" t="s">
        <v>92</v>
      </c>
      <c r="W1" s="2" t="s">
        <v>92</v>
      </c>
    </row>
    <row r="2" spans="1:23" ht="15">
      <c r="A2" s="24" t="s">
        <v>93</v>
      </c>
      <c r="W2" s="24" t="s">
        <v>93</v>
      </c>
    </row>
    <row r="3" spans="1:23" ht="15">
      <c r="A3" s="24" t="s">
        <v>94</v>
      </c>
      <c r="W3" s="24" t="s">
        <v>94</v>
      </c>
    </row>
    <row r="4" spans="1:41" ht="15.75">
      <c r="A4" s="383" t="s">
        <v>26</v>
      </c>
      <c r="B4" s="383" t="s">
        <v>15</v>
      </c>
      <c r="C4" s="383" t="s">
        <v>14</v>
      </c>
      <c r="D4" s="383" t="s">
        <v>22</v>
      </c>
      <c r="E4" s="383"/>
      <c r="F4" s="383"/>
      <c r="G4" s="383"/>
      <c r="H4" s="383"/>
      <c r="I4" s="383"/>
      <c r="J4" s="383"/>
      <c r="K4" s="383"/>
      <c r="L4" s="383"/>
      <c r="M4" s="383"/>
      <c r="N4" s="383"/>
      <c r="O4" s="383"/>
      <c r="P4" s="383"/>
      <c r="Q4" s="383"/>
      <c r="R4" s="385" t="s">
        <v>29</v>
      </c>
      <c r="S4" s="385"/>
      <c r="T4" s="385"/>
      <c r="U4" s="385"/>
      <c r="V4" s="385"/>
      <c r="W4" s="385"/>
      <c r="X4" s="385"/>
      <c r="Y4" s="385"/>
      <c r="Z4" s="385"/>
      <c r="AA4" s="385"/>
      <c r="AB4" s="384" t="s">
        <v>39</v>
      </c>
      <c r="AC4" s="384"/>
      <c r="AD4" s="385" t="s">
        <v>25</v>
      </c>
      <c r="AE4" s="385"/>
      <c r="AF4" s="385"/>
      <c r="AG4" s="385"/>
      <c r="AH4" s="385"/>
      <c r="AI4" s="385"/>
      <c r="AJ4" s="385"/>
      <c r="AK4" s="385" t="s">
        <v>46</v>
      </c>
      <c r="AL4" s="385"/>
      <c r="AM4" s="385"/>
      <c r="AN4" s="384" t="s">
        <v>38</v>
      </c>
      <c r="AO4" s="383" t="s">
        <v>47</v>
      </c>
    </row>
    <row r="5" spans="1:41" ht="15.75">
      <c r="A5" s="386"/>
      <c r="B5" s="386"/>
      <c r="C5" s="386"/>
      <c r="D5" s="383" t="s">
        <v>42</v>
      </c>
      <c r="E5" s="383"/>
      <c r="F5" s="383" t="s">
        <v>43</v>
      </c>
      <c r="G5" s="383"/>
      <c r="H5" s="383" t="s">
        <v>44</v>
      </c>
      <c r="I5" s="383"/>
      <c r="J5" s="383" t="s">
        <v>20</v>
      </c>
      <c r="K5" s="383"/>
      <c r="L5" s="383" t="s">
        <v>45</v>
      </c>
      <c r="M5" s="383"/>
      <c r="N5" s="383" t="s">
        <v>19</v>
      </c>
      <c r="O5" s="383"/>
      <c r="P5" s="383" t="s">
        <v>23</v>
      </c>
      <c r="Q5" s="383"/>
      <c r="R5" s="383" t="s">
        <v>27</v>
      </c>
      <c r="S5" s="385"/>
      <c r="T5" s="385" t="s">
        <v>17</v>
      </c>
      <c r="U5" s="385"/>
      <c r="V5" s="385" t="s">
        <v>18</v>
      </c>
      <c r="W5" s="385"/>
      <c r="X5" s="385" t="s">
        <v>28</v>
      </c>
      <c r="Y5" s="385"/>
      <c r="Z5" s="383" t="s">
        <v>24</v>
      </c>
      <c r="AA5" s="383"/>
      <c r="AB5" s="384"/>
      <c r="AC5" s="384"/>
      <c r="AD5" s="383" t="s">
        <v>31</v>
      </c>
      <c r="AE5" s="383" t="s">
        <v>30</v>
      </c>
      <c r="AF5" s="383" t="s">
        <v>32</v>
      </c>
      <c r="AG5" s="383" t="s">
        <v>33</v>
      </c>
      <c r="AH5" s="383" t="s">
        <v>34</v>
      </c>
      <c r="AI5" s="383" t="s">
        <v>35</v>
      </c>
      <c r="AJ5" s="383" t="s">
        <v>37</v>
      </c>
      <c r="AK5" s="383" t="s">
        <v>40</v>
      </c>
      <c r="AL5" s="383" t="s">
        <v>41</v>
      </c>
      <c r="AM5" s="383" t="s">
        <v>36</v>
      </c>
      <c r="AN5" s="384"/>
      <c r="AO5" s="383"/>
    </row>
    <row r="6" spans="1:41" ht="47.25">
      <c r="A6" s="386"/>
      <c r="B6" s="386"/>
      <c r="C6" s="386"/>
      <c r="D6" s="34" t="s">
        <v>16</v>
      </c>
      <c r="E6" s="34" t="s">
        <v>21</v>
      </c>
      <c r="F6" s="34" t="s">
        <v>16</v>
      </c>
      <c r="G6" s="34" t="s">
        <v>21</v>
      </c>
      <c r="H6" s="34" t="s">
        <v>16</v>
      </c>
      <c r="I6" s="34" t="s">
        <v>21</v>
      </c>
      <c r="J6" s="34" t="s">
        <v>16</v>
      </c>
      <c r="K6" s="34" t="s">
        <v>21</v>
      </c>
      <c r="L6" s="34" t="s">
        <v>16</v>
      </c>
      <c r="M6" s="34" t="s">
        <v>21</v>
      </c>
      <c r="N6" s="34" t="s">
        <v>16</v>
      </c>
      <c r="O6" s="34" t="s">
        <v>21</v>
      </c>
      <c r="P6" s="34" t="s">
        <v>16</v>
      </c>
      <c r="Q6" s="34" t="s">
        <v>21</v>
      </c>
      <c r="R6" s="34" t="s">
        <v>16</v>
      </c>
      <c r="S6" s="34" t="s">
        <v>21</v>
      </c>
      <c r="T6" s="34" t="s">
        <v>16</v>
      </c>
      <c r="U6" s="34" t="s">
        <v>21</v>
      </c>
      <c r="V6" s="34" t="s">
        <v>16</v>
      </c>
      <c r="W6" s="34" t="s">
        <v>21</v>
      </c>
      <c r="X6" s="34" t="s">
        <v>16</v>
      </c>
      <c r="Y6" s="34" t="s">
        <v>21</v>
      </c>
      <c r="Z6" s="34" t="s">
        <v>16</v>
      </c>
      <c r="AA6" s="34" t="s">
        <v>21</v>
      </c>
      <c r="AB6" s="89" t="s">
        <v>16</v>
      </c>
      <c r="AC6" s="88" t="s">
        <v>21</v>
      </c>
      <c r="AD6" s="383"/>
      <c r="AE6" s="383"/>
      <c r="AF6" s="383"/>
      <c r="AG6" s="383"/>
      <c r="AH6" s="383"/>
      <c r="AI6" s="383"/>
      <c r="AJ6" s="383"/>
      <c r="AK6" s="383"/>
      <c r="AL6" s="383"/>
      <c r="AM6" s="383"/>
      <c r="AN6" s="384"/>
      <c r="AO6" s="383"/>
    </row>
    <row r="7" spans="1:41" s="118" customFormat="1" ht="30">
      <c r="A7" s="90" t="s">
        <v>48</v>
      </c>
      <c r="B7" s="90" t="s">
        <v>49</v>
      </c>
      <c r="C7" s="90" t="s">
        <v>48</v>
      </c>
      <c r="D7" s="90">
        <v>1017</v>
      </c>
      <c r="E7" s="91">
        <v>941.03</v>
      </c>
      <c r="F7" s="90">
        <v>921</v>
      </c>
      <c r="G7" s="91">
        <v>887.07</v>
      </c>
      <c r="H7" s="90">
        <v>1603</v>
      </c>
      <c r="I7" s="91">
        <v>1554.13</v>
      </c>
      <c r="J7" s="90">
        <v>776</v>
      </c>
      <c r="K7" s="91">
        <v>753.88</v>
      </c>
      <c r="L7" s="90">
        <v>120</v>
      </c>
      <c r="M7" s="91">
        <v>117.66</v>
      </c>
      <c r="N7" s="90">
        <v>0</v>
      </c>
      <c r="O7" s="91">
        <v>0</v>
      </c>
      <c r="P7" s="43">
        <f>SUM(D7,F7,H7,J7,L7,N7)</f>
        <v>4437</v>
      </c>
      <c r="Q7" s="44">
        <f>SUM(E7,G7,I7,K7,M7,O7)</f>
        <v>4253.7699999999995</v>
      </c>
      <c r="R7" s="90">
        <v>234</v>
      </c>
      <c r="S7" s="90">
        <v>231.55</v>
      </c>
      <c r="T7" s="90">
        <v>25</v>
      </c>
      <c r="U7" s="91">
        <v>24.5</v>
      </c>
      <c r="V7" s="90">
        <v>174</v>
      </c>
      <c r="W7" s="91">
        <v>173.8</v>
      </c>
      <c r="X7" s="92">
        <v>0</v>
      </c>
      <c r="Y7" s="91">
        <v>0</v>
      </c>
      <c r="Z7" s="100">
        <f aca="true" t="shared" si="0" ref="Z7:AA19">R7+T7+V7+X7</f>
        <v>433</v>
      </c>
      <c r="AA7" s="47">
        <f t="shared" si="0"/>
        <v>429.85</v>
      </c>
      <c r="AB7" s="43">
        <f>P7+Z7</f>
        <v>4870</v>
      </c>
      <c r="AC7" s="44">
        <f>Q7+AA7</f>
        <v>4683.62</v>
      </c>
      <c r="AD7" s="48">
        <v>14973328.28999999</v>
      </c>
      <c r="AE7" s="48">
        <v>271708.42</v>
      </c>
      <c r="AF7" s="49">
        <v>51510</v>
      </c>
      <c r="AG7" s="48">
        <v>150074.65</v>
      </c>
      <c r="AH7" s="48">
        <v>2924655.82</v>
      </c>
      <c r="AI7" s="48">
        <v>1190473.22</v>
      </c>
      <c r="AJ7" s="93">
        <f>SUM(AD7:AI7)</f>
        <v>19561750.399999987</v>
      </c>
      <c r="AK7" s="48">
        <v>2887721.12</v>
      </c>
      <c r="AL7" s="48">
        <v>825148.03</v>
      </c>
      <c r="AM7" s="93">
        <f>SUM(AK7:AL7)</f>
        <v>3712869.1500000004</v>
      </c>
      <c r="AN7" s="93">
        <f>SUM(AM7,AJ7)</f>
        <v>23274619.54999999</v>
      </c>
      <c r="AO7" s="94"/>
    </row>
    <row r="8" spans="1:41" s="118" customFormat="1" ht="30">
      <c r="A8" s="90" t="s">
        <v>76</v>
      </c>
      <c r="B8" s="90" t="s">
        <v>51</v>
      </c>
      <c r="C8" s="90" t="s">
        <v>48</v>
      </c>
      <c r="D8" s="90">
        <v>13746</v>
      </c>
      <c r="E8" s="91">
        <v>12031.05</v>
      </c>
      <c r="F8" s="90">
        <v>3094</v>
      </c>
      <c r="G8" s="91">
        <v>2889.8</v>
      </c>
      <c r="H8" s="90">
        <v>2511</v>
      </c>
      <c r="I8" s="91">
        <v>2333.6</v>
      </c>
      <c r="J8" s="90">
        <v>638</v>
      </c>
      <c r="K8" s="91">
        <v>621.97</v>
      </c>
      <c r="L8" s="90">
        <v>31</v>
      </c>
      <c r="M8" s="91">
        <v>30.92</v>
      </c>
      <c r="N8" s="90">
        <v>0</v>
      </c>
      <c r="O8" s="91">
        <v>0</v>
      </c>
      <c r="P8" s="43">
        <f aca="true" t="shared" si="1" ref="P8:Q19">SUM(D8,F8,H8,J8,L8,N8)</f>
        <v>20020</v>
      </c>
      <c r="Q8" s="44">
        <f t="shared" si="1"/>
        <v>17907.339999999997</v>
      </c>
      <c r="R8" s="90" t="s">
        <v>90</v>
      </c>
      <c r="S8" s="90" t="s">
        <v>90</v>
      </c>
      <c r="T8" s="90">
        <v>0</v>
      </c>
      <c r="U8" s="90">
        <v>0</v>
      </c>
      <c r="V8" s="90">
        <v>0</v>
      </c>
      <c r="W8" s="90">
        <v>0</v>
      </c>
      <c r="X8" s="92">
        <v>0</v>
      </c>
      <c r="Y8" s="91">
        <v>0</v>
      </c>
      <c r="Z8" s="119" t="e">
        <f t="shared" si="0"/>
        <v>#VALUE!</v>
      </c>
      <c r="AA8" s="95" t="e">
        <f t="shared" si="0"/>
        <v>#VALUE!</v>
      </c>
      <c r="AB8" s="43" t="e">
        <f aca="true" t="shared" si="2" ref="AB8:AC19">P8+Z8</f>
        <v>#VALUE!</v>
      </c>
      <c r="AC8" s="44" t="e">
        <f t="shared" si="2"/>
        <v>#VALUE!</v>
      </c>
      <c r="AD8" s="104">
        <v>34030069.36000001</v>
      </c>
      <c r="AE8" s="48">
        <v>502741.7</v>
      </c>
      <c r="AF8" s="48">
        <v>90075.3</v>
      </c>
      <c r="AG8" s="48">
        <v>305707.25</v>
      </c>
      <c r="AH8" s="48">
        <v>6370446.779999999</v>
      </c>
      <c r="AI8" s="48">
        <v>2281992.1</v>
      </c>
      <c r="AJ8" s="93">
        <f aca="true" t="shared" si="3" ref="AJ8:AJ19">SUM(AD8:AI8)</f>
        <v>43581032.49000001</v>
      </c>
      <c r="AK8" s="120">
        <v>1229268.05</v>
      </c>
      <c r="AL8" s="41">
        <v>0</v>
      </c>
      <c r="AM8" s="93">
        <f aca="true" t="shared" si="4" ref="AM8:AM19">SUM(AK8:AL8)</f>
        <v>1229268.05</v>
      </c>
      <c r="AN8" s="93">
        <f aca="true" t="shared" si="5" ref="AN8:AN19">SUM(AM8,AJ8)</f>
        <v>44810300.54000001</v>
      </c>
      <c r="AO8" s="99"/>
    </row>
    <row r="9" spans="1:41" s="118" customFormat="1" ht="30">
      <c r="A9" s="90" t="s">
        <v>55</v>
      </c>
      <c r="B9" s="90" t="s">
        <v>51</v>
      </c>
      <c r="C9" s="121" t="s">
        <v>48</v>
      </c>
      <c r="D9" s="96">
        <v>188</v>
      </c>
      <c r="E9" s="96">
        <v>168.37</v>
      </c>
      <c r="F9" s="96">
        <v>126</v>
      </c>
      <c r="G9" s="96">
        <v>121.55</v>
      </c>
      <c r="H9" s="96">
        <v>258</v>
      </c>
      <c r="I9" s="96">
        <v>250.68</v>
      </c>
      <c r="J9" s="96">
        <v>63</v>
      </c>
      <c r="K9" s="96">
        <v>62.16</v>
      </c>
      <c r="L9" s="96">
        <v>6</v>
      </c>
      <c r="M9" s="105">
        <v>6</v>
      </c>
      <c r="N9" s="96">
        <v>0</v>
      </c>
      <c r="O9" s="105">
        <v>0</v>
      </c>
      <c r="P9" s="43">
        <f t="shared" si="1"/>
        <v>641</v>
      </c>
      <c r="Q9" s="44">
        <f t="shared" si="1"/>
        <v>608.76</v>
      </c>
      <c r="R9" s="106">
        <v>6</v>
      </c>
      <c r="S9" s="107">
        <v>4.6</v>
      </c>
      <c r="T9" s="68">
        <v>0</v>
      </c>
      <c r="U9" s="73">
        <v>0</v>
      </c>
      <c r="V9" s="97">
        <v>11</v>
      </c>
      <c r="W9" s="107">
        <v>11</v>
      </c>
      <c r="X9" s="92">
        <v>0</v>
      </c>
      <c r="Y9" s="91">
        <v>0</v>
      </c>
      <c r="Z9" s="100">
        <f t="shared" si="0"/>
        <v>17</v>
      </c>
      <c r="AA9" s="47">
        <f t="shared" si="0"/>
        <v>15.6</v>
      </c>
      <c r="AB9" s="43">
        <f>P9+Z9</f>
        <v>658</v>
      </c>
      <c r="AC9" s="44">
        <f>Q9+AA9</f>
        <v>624.36</v>
      </c>
      <c r="AD9" s="108">
        <v>1486062.4999999998</v>
      </c>
      <c r="AE9" s="98">
        <v>5759.59</v>
      </c>
      <c r="AF9" s="41">
        <v>0</v>
      </c>
      <c r="AG9" s="98">
        <v>25915.04</v>
      </c>
      <c r="AH9" s="98">
        <v>266577.26</v>
      </c>
      <c r="AI9" s="98">
        <v>124709.75</v>
      </c>
      <c r="AJ9" s="93">
        <f t="shared" si="3"/>
        <v>1909024.14</v>
      </c>
      <c r="AK9" s="108">
        <v>81737.64</v>
      </c>
      <c r="AL9" s="41">
        <v>0</v>
      </c>
      <c r="AM9" s="93">
        <f t="shared" si="4"/>
        <v>81737.64</v>
      </c>
      <c r="AN9" s="93">
        <f t="shared" si="5"/>
        <v>1990761.7799999998</v>
      </c>
      <c r="AO9" s="94"/>
    </row>
    <row r="10" spans="1:41" s="118" customFormat="1" ht="30">
      <c r="A10" s="90" t="s">
        <v>56</v>
      </c>
      <c r="B10" s="90" t="s">
        <v>51</v>
      </c>
      <c r="C10" s="121" t="s">
        <v>48</v>
      </c>
      <c r="D10" s="90">
        <v>34304</v>
      </c>
      <c r="E10" s="91">
        <v>32749.62788229111</v>
      </c>
      <c r="F10" s="90">
        <v>6352</v>
      </c>
      <c r="G10" s="91">
        <v>6078.329423746955</v>
      </c>
      <c r="H10" s="90">
        <v>3708</v>
      </c>
      <c r="I10" s="91">
        <v>3468.1195318502578</v>
      </c>
      <c r="J10" s="90">
        <v>625</v>
      </c>
      <c r="K10" s="91">
        <v>609.5036183328866</v>
      </c>
      <c r="L10" s="90">
        <v>38</v>
      </c>
      <c r="M10" s="91">
        <v>37.8780487804878</v>
      </c>
      <c r="N10" s="90">
        <v>0</v>
      </c>
      <c r="O10" s="91">
        <v>0</v>
      </c>
      <c r="P10" s="43">
        <f t="shared" si="1"/>
        <v>45027</v>
      </c>
      <c r="Q10" s="44">
        <f t="shared" si="1"/>
        <v>42943.4585050017</v>
      </c>
      <c r="R10" s="114" t="s">
        <v>90</v>
      </c>
      <c r="S10" s="68">
        <v>203.84</v>
      </c>
      <c r="T10" s="68">
        <v>0</v>
      </c>
      <c r="U10" s="73">
        <v>0</v>
      </c>
      <c r="V10" s="68">
        <v>25</v>
      </c>
      <c r="W10" s="73">
        <v>25</v>
      </c>
      <c r="X10" s="68">
        <v>4</v>
      </c>
      <c r="Y10" s="73">
        <v>4</v>
      </c>
      <c r="Z10" s="46" t="e">
        <f t="shared" si="0"/>
        <v>#VALUE!</v>
      </c>
      <c r="AA10" s="47">
        <f t="shared" si="0"/>
        <v>232.84</v>
      </c>
      <c r="AB10" s="43" t="e">
        <f t="shared" si="2"/>
        <v>#VALUE!</v>
      </c>
      <c r="AC10" s="44">
        <f t="shared" si="2"/>
        <v>43176.298505001694</v>
      </c>
      <c r="AD10" s="104">
        <v>98062789.03</v>
      </c>
      <c r="AE10" s="48">
        <v>0</v>
      </c>
      <c r="AF10" s="48">
        <v>0</v>
      </c>
      <c r="AG10" s="48">
        <v>4999786.78</v>
      </c>
      <c r="AH10" s="48">
        <v>18531716.400000002</v>
      </c>
      <c r="AI10" s="48">
        <v>7778193.099999997</v>
      </c>
      <c r="AJ10" s="93">
        <f t="shared" si="3"/>
        <v>129372485.31</v>
      </c>
      <c r="AK10" s="109">
        <v>2984305.53</v>
      </c>
      <c r="AL10" s="110">
        <v>36000</v>
      </c>
      <c r="AM10" s="93">
        <f t="shared" si="4"/>
        <v>3020305.53</v>
      </c>
      <c r="AN10" s="93">
        <f t="shared" si="5"/>
        <v>132392790.84</v>
      </c>
      <c r="AO10" s="99"/>
    </row>
    <row r="11" spans="1:41" s="118" customFormat="1" ht="48" customHeight="1">
      <c r="A11" s="90" t="s">
        <v>58</v>
      </c>
      <c r="B11" s="90" t="s">
        <v>51</v>
      </c>
      <c r="C11" s="90" t="s">
        <v>48</v>
      </c>
      <c r="D11" s="90">
        <v>296</v>
      </c>
      <c r="E11" s="91">
        <v>277.99</v>
      </c>
      <c r="F11" s="90">
        <v>142</v>
      </c>
      <c r="G11" s="91">
        <v>135.69</v>
      </c>
      <c r="H11" s="90">
        <v>65</v>
      </c>
      <c r="I11" s="91">
        <v>63.39</v>
      </c>
      <c r="J11" s="90">
        <v>10</v>
      </c>
      <c r="K11" s="91">
        <v>9.82</v>
      </c>
      <c r="L11" s="90">
        <v>2</v>
      </c>
      <c r="M11" s="91">
        <v>1.78</v>
      </c>
      <c r="N11" s="90">
        <v>0</v>
      </c>
      <c r="O11" s="91">
        <v>0</v>
      </c>
      <c r="P11" s="43">
        <f t="shared" si="1"/>
        <v>515</v>
      </c>
      <c r="Q11" s="44">
        <f t="shared" si="1"/>
        <v>488.66999999999996</v>
      </c>
      <c r="R11" s="90">
        <v>174</v>
      </c>
      <c r="S11" s="90">
        <v>142.32</v>
      </c>
      <c r="T11" s="90">
        <v>0</v>
      </c>
      <c r="U11" s="91">
        <v>0</v>
      </c>
      <c r="V11" s="90">
        <v>0</v>
      </c>
      <c r="W11" s="91">
        <v>0</v>
      </c>
      <c r="X11" s="92">
        <v>0</v>
      </c>
      <c r="Y11" s="91">
        <v>0</v>
      </c>
      <c r="Z11" s="100">
        <f t="shared" si="0"/>
        <v>174</v>
      </c>
      <c r="AA11" s="47">
        <f t="shared" si="0"/>
        <v>142.32</v>
      </c>
      <c r="AB11" s="43">
        <f t="shared" si="2"/>
        <v>689</v>
      </c>
      <c r="AC11" s="44">
        <f t="shared" si="2"/>
        <v>630.99</v>
      </c>
      <c r="AD11" s="48">
        <v>655305.92</v>
      </c>
      <c r="AE11" s="48">
        <v>12516.32</v>
      </c>
      <c r="AF11" s="48">
        <v>2500</v>
      </c>
      <c r="AG11" s="48">
        <v>26041.64</v>
      </c>
      <c r="AH11" s="48">
        <v>111648.55</v>
      </c>
      <c r="AI11" s="48">
        <v>46618.48</v>
      </c>
      <c r="AJ11" s="93">
        <f t="shared" si="3"/>
        <v>854630.91</v>
      </c>
      <c r="AK11" s="104">
        <v>503098.12</v>
      </c>
      <c r="AL11" s="48">
        <v>0</v>
      </c>
      <c r="AM11" s="93">
        <f t="shared" si="4"/>
        <v>503098.12</v>
      </c>
      <c r="AN11" s="93">
        <f t="shared" si="5"/>
        <v>1357729.03</v>
      </c>
      <c r="AO11" s="111" t="s">
        <v>107</v>
      </c>
    </row>
    <row r="12" spans="1:41" s="118" customFormat="1" ht="76.5">
      <c r="A12" s="90" t="s">
        <v>62</v>
      </c>
      <c r="B12" s="90" t="s">
        <v>63</v>
      </c>
      <c r="C12" s="90" t="s">
        <v>48</v>
      </c>
      <c r="D12" s="90">
        <v>0</v>
      </c>
      <c r="E12" s="91">
        <v>0</v>
      </c>
      <c r="F12" s="90">
        <v>0</v>
      </c>
      <c r="G12" s="91">
        <v>0</v>
      </c>
      <c r="H12" s="90">
        <v>0</v>
      </c>
      <c r="I12" s="91">
        <v>0</v>
      </c>
      <c r="J12" s="90">
        <v>0</v>
      </c>
      <c r="K12" s="91">
        <v>0</v>
      </c>
      <c r="L12" s="90">
        <v>0</v>
      </c>
      <c r="M12" s="91">
        <v>0</v>
      </c>
      <c r="N12" s="90">
        <v>74</v>
      </c>
      <c r="O12" s="90">
        <v>68.37</v>
      </c>
      <c r="P12" s="43">
        <f t="shared" si="1"/>
        <v>74</v>
      </c>
      <c r="Q12" s="122">
        <f t="shared" si="1"/>
        <v>68.37</v>
      </c>
      <c r="R12" s="112">
        <v>3</v>
      </c>
      <c r="S12" s="113">
        <v>3</v>
      </c>
      <c r="T12" s="90">
        <v>0</v>
      </c>
      <c r="U12" s="91">
        <v>0</v>
      </c>
      <c r="V12" s="90">
        <v>0</v>
      </c>
      <c r="W12" s="91">
        <v>0</v>
      </c>
      <c r="X12" s="92">
        <v>0</v>
      </c>
      <c r="Y12" s="91">
        <v>0</v>
      </c>
      <c r="Z12" s="100">
        <f t="shared" si="0"/>
        <v>3</v>
      </c>
      <c r="AA12" s="47">
        <f t="shared" si="0"/>
        <v>3</v>
      </c>
      <c r="AB12" s="43">
        <f t="shared" si="2"/>
        <v>77</v>
      </c>
      <c r="AC12" s="122">
        <f t="shared" si="2"/>
        <v>71.37</v>
      </c>
      <c r="AD12" s="48">
        <v>194212</v>
      </c>
      <c r="AE12" s="48">
        <v>43</v>
      </c>
      <c r="AF12" s="71">
        <v>0</v>
      </c>
      <c r="AG12" s="71">
        <v>0</v>
      </c>
      <c r="AH12" s="48">
        <v>35745</v>
      </c>
      <c r="AI12" s="48">
        <v>15896</v>
      </c>
      <c r="AJ12" s="123">
        <f t="shared" si="3"/>
        <v>245896</v>
      </c>
      <c r="AK12" s="48">
        <v>8059</v>
      </c>
      <c r="AL12" s="71">
        <v>0</v>
      </c>
      <c r="AM12" s="93">
        <f t="shared" si="4"/>
        <v>8059</v>
      </c>
      <c r="AN12" s="123">
        <f t="shared" si="5"/>
        <v>253955</v>
      </c>
      <c r="AO12" s="101" t="s">
        <v>64</v>
      </c>
    </row>
    <row r="13" spans="1:41" s="118" customFormat="1" ht="30">
      <c r="A13" s="90" t="s">
        <v>66</v>
      </c>
      <c r="B13" s="90" t="s">
        <v>63</v>
      </c>
      <c r="C13" s="90" t="s">
        <v>48</v>
      </c>
      <c r="D13" s="90">
        <v>0</v>
      </c>
      <c r="E13" s="91">
        <v>0</v>
      </c>
      <c r="F13" s="90">
        <v>0</v>
      </c>
      <c r="G13" s="91">
        <v>0</v>
      </c>
      <c r="H13" s="90">
        <v>0</v>
      </c>
      <c r="I13" s="91">
        <v>0</v>
      </c>
      <c r="J13" s="90">
        <v>0</v>
      </c>
      <c r="K13" s="91">
        <v>0</v>
      </c>
      <c r="L13" s="90">
        <v>0</v>
      </c>
      <c r="M13" s="91">
        <v>0</v>
      </c>
      <c r="N13" s="90">
        <v>357</v>
      </c>
      <c r="O13" s="91">
        <v>331.3</v>
      </c>
      <c r="P13" s="43">
        <f t="shared" si="1"/>
        <v>357</v>
      </c>
      <c r="Q13" s="44">
        <f t="shared" si="1"/>
        <v>331.3</v>
      </c>
      <c r="R13" s="114">
        <v>23</v>
      </c>
      <c r="S13" s="68">
        <v>21.9</v>
      </c>
      <c r="T13" s="68">
        <v>0</v>
      </c>
      <c r="U13" s="73">
        <v>0</v>
      </c>
      <c r="V13" s="68">
        <v>0</v>
      </c>
      <c r="W13" s="73">
        <v>0</v>
      </c>
      <c r="X13" s="68">
        <v>0</v>
      </c>
      <c r="Y13" s="73">
        <v>0</v>
      </c>
      <c r="Z13" s="46">
        <f t="shared" si="0"/>
        <v>23</v>
      </c>
      <c r="AA13" s="47">
        <f t="shared" si="0"/>
        <v>21.9</v>
      </c>
      <c r="AB13" s="43">
        <f t="shared" si="2"/>
        <v>380</v>
      </c>
      <c r="AC13" s="44">
        <f t="shared" si="2"/>
        <v>353.2</v>
      </c>
      <c r="AD13" s="104">
        <v>733166.75</v>
      </c>
      <c r="AE13" s="48">
        <v>857.65</v>
      </c>
      <c r="AF13" s="71">
        <v>0</v>
      </c>
      <c r="AG13" s="48">
        <v>5833.28</v>
      </c>
      <c r="AH13" s="48">
        <v>132952.45</v>
      </c>
      <c r="AI13" s="48">
        <v>51698.45</v>
      </c>
      <c r="AJ13" s="93">
        <f t="shared" si="3"/>
        <v>924508.5800000001</v>
      </c>
      <c r="AK13" s="104">
        <v>56607.51</v>
      </c>
      <c r="AL13" s="71">
        <v>0</v>
      </c>
      <c r="AM13" s="93">
        <f t="shared" si="4"/>
        <v>56607.51</v>
      </c>
      <c r="AN13" s="93">
        <f t="shared" si="5"/>
        <v>981116.0900000001</v>
      </c>
      <c r="AO13" s="94"/>
    </row>
    <row r="14" spans="1:41" s="118" customFormat="1" ht="30">
      <c r="A14" s="90" t="s">
        <v>67</v>
      </c>
      <c r="B14" s="90" t="s">
        <v>63</v>
      </c>
      <c r="C14" s="90" t="s">
        <v>48</v>
      </c>
      <c r="D14" s="115">
        <v>10</v>
      </c>
      <c r="E14" s="91">
        <v>10</v>
      </c>
      <c r="F14" s="90">
        <v>20</v>
      </c>
      <c r="G14" s="91">
        <v>18</v>
      </c>
      <c r="H14" s="90">
        <v>24</v>
      </c>
      <c r="I14" s="90">
        <v>23.69</v>
      </c>
      <c r="J14" s="90">
        <v>16</v>
      </c>
      <c r="K14" s="91">
        <v>15.2</v>
      </c>
      <c r="L14" s="90">
        <v>3</v>
      </c>
      <c r="M14" s="91">
        <v>3</v>
      </c>
      <c r="N14" s="90">
        <v>1</v>
      </c>
      <c r="O14" s="91">
        <v>0.4</v>
      </c>
      <c r="P14" s="43">
        <f t="shared" si="1"/>
        <v>74</v>
      </c>
      <c r="Q14" s="44">
        <f t="shared" si="1"/>
        <v>70.29</v>
      </c>
      <c r="R14" s="90">
        <v>0</v>
      </c>
      <c r="S14" s="91">
        <v>0</v>
      </c>
      <c r="T14" s="90">
        <v>0</v>
      </c>
      <c r="U14" s="91">
        <v>0</v>
      </c>
      <c r="V14" s="90">
        <v>0</v>
      </c>
      <c r="W14" s="91">
        <v>0</v>
      </c>
      <c r="X14" s="92">
        <v>0</v>
      </c>
      <c r="Y14" s="91">
        <v>0</v>
      </c>
      <c r="Z14" s="100">
        <f t="shared" si="0"/>
        <v>0</v>
      </c>
      <c r="AA14" s="47">
        <f t="shared" si="0"/>
        <v>0</v>
      </c>
      <c r="AB14" s="43">
        <f t="shared" si="2"/>
        <v>74</v>
      </c>
      <c r="AC14" s="44">
        <f t="shared" si="2"/>
        <v>70.29</v>
      </c>
      <c r="AD14" s="104">
        <v>198005</v>
      </c>
      <c r="AE14" s="48">
        <v>1669</v>
      </c>
      <c r="AF14" s="48">
        <v>1300</v>
      </c>
      <c r="AG14" s="71">
        <v>0</v>
      </c>
      <c r="AH14" s="48">
        <v>44645</v>
      </c>
      <c r="AI14" s="48">
        <v>17164</v>
      </c>
      <c r="AJ14" s="93">
        <f t="shared" si="3"/>
        <v>262783</v>
      </c>
      <c r="AK14" s="71">
        <v>0</v>
      </c>
      <c r="AL14" s="71">
        <v>0</v>
      </c>
      <c r="AM14" s="93">
        <f t="shared" si="4"/>
        <v>0</v>
      </c>
      <c r="AN14" s="93">
        <f t="shared" si="5"/>
        <v>262783</v>
      </c>
      <c r="AO14" s="94"/>
    </row>
    <row r="15" spans="1:41" s="118" customFormat="1" ht="51">
      <c r="A15" s="90" t="s">
        <v>68</v>
      </c>
      <c r="B15" s="90" t="s">
        <v>63</v>
      </c>
      <c r="C15" s="90" t="s">
        <v>48</v>
      </c>
      <c r="D15" s="90">
        <v>0</v>
      </c>
      <c r="E15" s="91">
        <v>0</v>
      </c>
      <c r="F15" s="90">
        <v>0</v>
      </c>
      <c r="G15" s="91">
        <v>0</v>
      </c>
      <c r="H15" s="90">
        <v>0</v>
      </c>
      <c r="I15" s="91">
        <v>0</v>
      </c>
      <c r="J15" s="90">
        <v>0</v>
      </c>
      <c r="K15" s="91">
        <v>0</v>
      </c>
      <c r="L15" s="90">
        <v>0</v>
      </c>
      <c r="M15" s="91">
        <v>0</v>
      </c>
      <c r="N15" s="96">
        <v>29</v>
      </c>
      <c r="O15" s="105">
        <v>29</v>
      </c>
      <c r="P15" s="43">
        <f t="shared" si="1"/>
        <v>29</v>
      </c>
      <c r="Q15" s="44">
        <f t="shared" si="1"/>
        <v>29</v>
      </c>
      <c r="R15" s="90">
        <v>0</v>
      </c>
      <c r="S15" s="91">
        <v>0</v>
      </c>
      <c r="T15" s="90">
        <v>0</v>
      </c>
      <c r="U15" s="91">
        <v>0</v>
      </c>
      <c r="V15" s="90">
        <v>0</v>
      </c>
      <c r="W15" s="91">
        <v>0</v>
      </c>
      <c r="X15" s="92">
        <v>0</v>
      </c>
      <c r="Y15" s="91">
        <v>0</v>
      </c>
      <c r="Z15" s="100">
        <f t="shared" si="0"/>
        <v>0</v>
      </c>
      <c r="AA15" s="47">
        <f t="shared" si="0"/>
        <v>0</v>
      </c>
      <c r="AB15" s="43">
        <f t="shared" si="2"/>
        <v>29</v>
      </c>
      <c r="AC15" s="44">
        <f t="shared" si="2"/>
        <v>29</v>
      </c>
      <c r="AD15" s="108">
        <v>134855.64</v>
      </c>
      <c r="AE15" s="71">
        <v>0</v>
      </c>
      <c r="AF15" s="71">
        <v>0</v>
      </c>
      <c r="AG15" s="71">
        <v>0</v>
      </c>
      <c r="AH15" s="98">
        <v>29740.76</v>
      </c>
      <c r="AI15" s="98">
        <v>16712.06</v>
      </c>
      <c r="AJ15" s="93">
        <f t="shared" si="3"/>
        <v>181308.46000000002</v>
      </c>
      <c r="AK15" s="71">
        <v>0</v>
      </c>
      <c r="AL15" s="71">
        <v>0</v>
      </c>
      <c r="AM15" s="93">
        <f t="shared" si="4"/>
        <v>0</v>
      </c>
      <c r="AN15" s="93">
        <f t="shared" si="5"/>
        <v>181308.46000000002</v>
      </c>
      <c r="AO15" s="102" t="s">
        <v>69</v>
      </c>
    </row>
    <row r="16" spans="1:41" s="118" customFormat="1" ht="30">
      <c r="A16" s="90" t="s">
        <v>70</v>
      </c>
      <c r="B16" s="90" t="s">
        <v>63</v>
      </c>
      <c r="C16" s="90" t="s">
        <v>48</v>
      </c>
      <c r="D16" s="116">
        <v>796</v>
      </c>
      <c r="E16" s="96">
        <v>750.33</v>
      </c>
      <c r="F16" s="96">
        <v>261</v>
      </c>
      <c r="G16" s="96">
        <v>251.08</v>
      </c>
      <c r="H16" s="96">
        <v>398</v>
      </c>
      <c r="I16" s="96">
        <v>381.44</v>
      </c>
      <c r="J16" s="96">
        <v>101</v>
      </c>
      <c r="K16" s="96">
        <v>99.27</v>
      </c>
      <c r="L16" s="96">
        <v>16</v>
      </c>
      <c r="M16" s="105">
        <v>10.2</v>
      </c>
      <c r="N16" s="96">
        <v>0</v>
      </c>
      <c r="O16" s="105">
        <v>0</v>
      </c>
      <c r="P16" s="43">
        <f t="shared" si="1"/>
        <v>1572</v>
      </c>
      <c r="Q16" s="44">
        <f t="shared" si="1"/>
        <v>1492.3200000000002</v>
      </c>
      <c r="R16" s="117">
        <v>66</v>
      </c>
      <c r="S16" s="84">
        <v>50.3</v>
      </c>
      <c r="T16" s="63">
        <v>0</v>
      </c>
      <c r="U16" s="84">
        <v>0</v>
      </c>
      <c r="V16" s="63">
        <v>72</v>
      </c>
      <c r="W16" s="84">
        <v>72</v>
      </c>
      <c r="X16" s="63">
        <v>0</v>
      </c>
      <c r="Y16" s="84">
        <v>0</v>
      </c>
      <c r="Z16" s="46">
        <f t="shared" si="0"/>
        <v>138</v>
      </c>
      <c r="AA16" s="47">
        <f t="shared" si="0"/>
        <v>122.3</v>
      </c>
      <c r="AB16" s="43">
        <f t="shared" si="2"/>
        <v>1710</v>
      </c>
      <c r="AC16" s="44">
        <f t="shared" si="2"/>
        <v>1614.6200000000001</v>
      </c>
      <c r="AD16" s="108">
        <v>3492140.49</v>
      </c>
      <c r="AE16" s="71">
        <v>0</v>
      </c>
      <c r="AF16" s="71">
        <v>0</v>
      </c>
      <c r="AG16" s="98">
        <v>29189.34</v>
      </c>
      <c r="AH16" s="98">
        <v>21926.11</v>
      </c>
      <c r="AI16" s="98">
        <v>273263.38</v>
      </c>
      <c r="AJ16" s="93">
        <f t="shared" si="3"/>
        <v>3816519.32</v>
      </c>
      <c r="AK16" s="108">
        <v>1047142.05</v>
      </c>
      <c r="AL16" s="71">
        <v>0</v>
      </c>
      <c r="AM16" s="93">
        <f t="shared" si="4"/>
        <v>1047142.05</v>
      </c>
      <c r="AN16" s="93">
        <f t="shared" si="5"/>
        <v>4863661.37</v>
      </c>
      <c r="AO16" s="94"/>
    </row>
    <row r="17" spans="1:41" s="118" customFormat="1" ht="30">
      <c r="A17" s="90" t="s">
        <v>71</v>
      </c>
      <c r="B17" s="90" t="s">
        <v>63</v>
      </c>
      <c r="C17" s="90" t="s">
        <v>48</v>
      </c>
      <c r="D17" s="116">
        <v>15</v>
      </c>
      <c r="E17" s="96">
        <v>13.77</v>
      </c>
      <c r="F17" s="96">
        <v>46</v>
      </c>
      <c r="G17" s="96">
        <v>45.73</v>
      </c>
      <c r="H17" s="96">
        <v>15</v>
      </c>
      <c r="I17" s="96">
        <v>14.06</v>
      </c>
      <c r="J17" s="96">
        <v>6</v>
      </c>
      <c r="K17" s="105">
        <v>6</v>
      </c>
      <c r="L17" s="96">
        <v>1</v>
      </c>
      <c r="M17" s="105">
        <v>1</v>
      </c>
      <c r="N17" s="96">
        <v>0</v>
      </c>
      <c r="O17" s="105">
        <v>0</v>
      </c>
      <c r="P17" s="43">
        <f t="shared" si="1"/>
        <v>83</v>
      </c>
      <c r="Q17" s="44">
        <f t="shared" si="1"/>
        <v>80.56</v>
      </c>
      <c r="R17" s="117">
        <v>5</v>
      </c>
      <c r="S17" s="84">
        <v>5</v>
      </c>
      <c r="T17" s="63">
        <v>0</v>
      </c>
      <c r="U17" s="84">
        <v>0</v>
      </c>
      <c r="V17" s="63">
        <v>0</v>
      </c>
      <c r="W17" s="84">
        <v>0</v>
      </c>
      <c r="X17" s="63">
        <v>0</v>
      </c>
      <c r="Y17" s="84">
        <v>0</v>
      </c>
      <c r="Z17" s="46">
        <f t="shared" si="0"/>
        <v>5</v>
      </c>
      <c r="AA17" s="47">
        <f t="shared" si="0"/>
        <v>5</v>
      </c>
      <c r="AB17" s="43">
        <f t="shared" si="2"/>
        <v>88</v>
      </c>
      <c r="AC17" s="44">
        <f t="shared" si="2"/>
        <v>85.56</v>
      </c>
      <c r="AD17" s="108">
        <v>174303.13</v>
      </c>
      <c r="AE17" s="98">
        <v>15037.98</v>
      </c>
      <c r="AF17" s="71">
        <v>0</v>
      </c>
      <c r="AG17" s="98">
        <v>1872.72</v>
      </c>
      <c r="AH17" s="98">
        <v>33639.91</v>
      </c>
      <c r="AI17" s="98">
        <v>15970.13</v>
      </c>
      <c r="AJ17" s="93">
        <f t="shared" si="3"/>
        <v>240823.87000000002</v>
      </c>
      <c r="AK17" s="108">
        <v>26772.02</v>
      </c>
      <c r="AL17" s="71">
        <v>0</v>
      </c>
      <c r="AM17" s="93">
        <f t="shared" si="4"/>
        <v>26772.02</v>
      </c>
      <c r="AN17" s="93">
        <f t="shared" si="5"/>
        <v>267595.89</v>
      </c>
      <c r="AO17" s="94"/>
    </row>
    <row r="18" spans="1:41" s="118" customFormat="1" ht="216">
      <c r="A18" s="90" t="s">
        <v>72</v>
      </c>
      <c r="B18" s="90" t="s">
        <v>63</v>
      </c>
      <c r="C18" s="90" t="s">
        <v>48</v>
      </c>
      <c r="D18" s="90">
        <v>0</v>
      </c>
      <c r="E18" s="91">
        <v>0</v>
      </c>
      <c r="F18" s="90">
        <v>0</v>
      </c>
      <c r="G18" s="91">
        <v>0</v>
      </c>
      <c r="H18" s="90">
        <v>0</v>
      </c>
      <c r="I18" s="91">
        <v>0</v>
      </c>
      <c r="J18" s="90">
        <v>0</v>
      </c>
      <c r="K18" s="91">
        <v>0</v>
      </c>
      <c r="L18" s="90">
        <v>0</v>
      </c>
      <c r="M18" s="91">
        <v>0</v>
      </c>
      <c r="N18" s="90">
        <v>19444</v>
      </c>
      <c r="O18" s="90">
        <v>17604</v>
      </c>
      <c r="P18" s="43">
        <f t="shared" si="1"/>
        <v>19444</v>
      </c>
      <c r="Q18" s="44">
        <f t="shared" si="1"/>
        <v>17604</v>
      </c>
      <c r="R18" s="90">
        <v>1509</v>
      </c>
      <c r="S18" s="90">
        <v>1509</v>
      </c>
      <c r="T18" s="90">
        <v>9</v>
      </c>
      <c r="U18" s="90">
        <v>9</v>
      </c>
      <c r="V18" s="63">
        <v>0</v>
      </c>
      <c r="W18" s="84">
        <v>0</v>
      </c>
      <c r="X18" s="63">
        <v>0</v>
      </c>
      <c r="Y18" s="84">
        <v>0</v>
      </c>
      <c r="Z18" s="46">
        <f t="shared" si="0"/>
        <v>1518</v>
      </c>
      <c r="AA18" s="47">
        <f t="shared" si="0"/>
        <v>1518</v>
      </c>
      <c r="AB18" s="43">
        <f t="shared" si="2"/>
        <v>20962</v>
      </c>
      <c r="AC18" s="44">
        <f t="shared" si="2"/>
        <v>19122</v>
      </c>
      <c r="AD18" s="41" t="s">
        <v>90</v>
      </c>
      <c r="AE18" s="41" t="s">
        <v>90</v>
      </c>
      <c r="AF18" s="41" t="s">
        <v>90</v>
      </c>
      <c r="AG18" s="41" t="s">
        <v>90</v>
      </c>
      <c r="AH18" s="41" t="s">
        <v>90</v>
      </c>
      <c r="AI18" s="41" t="s">
        <v>90</v>
      </c>
      <c r="AJ18" s="41" t="s">
        <v>90</v>
      </c>
      <c r="AK18" s="41" t="s">
        <v>90</v>
      </c>
      <c r="AL18" s="41" t="s">
        <v>90</v>
      </c>
      <c r="AM18" s="41" t="s">
        <v>90</v>
      </c>
      <c r="AN18" s="41" t="s">
        <v>90</v>
      </c>
      <c r="AO18" s="124" t="s">
        <v>108</v>
      </c>
    </row>
    <row r="19" spans="1:41" s="118" customFormat="1" ht="30">
      <c r="A19" s="90" t="s">
        <v>74</v>
      </c>
      <c r="B19" s="90" t="s">
        <v>63</v>
      </c>
      <c r="C19" s="90" t="s">
        <v>48</v>
      </c>
      <c r="D19" s="115">
        <v>15</v>
      </c>
      <c r="E19" s="90">
        <v>13.85</v>
      </c>
      <c r="F19" s="90">
        <v>40</v>
      </c>
      <c r="G19" s="90">
        <v>38.93</v>
      </c>
      <c r="H19" s="90">
        <v>107</v>
      </c>
      <c r="I19" s="90">
        <v>104.94</v>
      </c>
      <c r="J19" s="90">
        <v>34</v>
      </c>
      <c r="K19" s="91">
        <v>33.9</v>
      </c>
      <c r="L19" s="90">
        <v>4</v>
      </c>
      <c r="M19" s="91">
        <v>3.6</v>
      </c>
      <c r="N19" s="90">
        <v>9</v>
      </c>
      <c r="O19" s="91">
        <v>9</v>
      </c>
      <c r="P19" s="43">
        <f t="shared" si="1"/>
        <v>209</v>
      </c>
      <c r="Q19" s="44">
        <f t="shared" si="1"/>
        <v>204.22</v>
      </c>
      <c r="R19" s="114">
        <v>10</v>
      </c>
      <c r="S19" s="73">
        <v>10</v>
      </c>
      <c r="T19" s="68">
        <v>0</v>
      </c>
      <c r="U19" s="73">
        <v>0</v>
      </c>
      <c r="V19" s="68">
        <v>7</v>
      </c>
      <c r="W19" s="73">
        <v>6.8</v>
      </c>
      <c r="X19" s="68">
        <v>0</v>
      </c>
      <c r="Y19" s="73">
        <v>0</v>
      </c>
      <c r="Z19" s="46">
        <f t="shared" si="0"/>
        <v>17</v>
      </c>
      <c r="AA19" s="47">
        <f t="shared" si="0"/>
        <v>16.8</v>
      </c>
      <c r="AB19" s="43">
        <f t="shared" si="2"/>
        <v>226</v>
      </c>
      <c r="AC19" s="44">
        <f t="shared" si="2"/>
        <v>221.02</v>
      </c>
      <c r="AD19" s="104">
        <v>692128.62</v>
      </c>
      <c r="AE19" s="48">
        <v>47213.08</v>
      </c>
      <c r="AF19" s="90">
        <v>0</v>
      </c>
      <c r="AG19" s="48">
        <v>6509.14</v>
      </c>
      <c r="AH19" s="48">
        <v>132080.26</v>
      </c>
      <c r="AI19" s="48">
        <v>63399.43</v>
      </c>
      <c r="AJ19" s="93">
        <f t="shared" si="3"/>
        <v>941330.53</v>
      </c>
      <c r="AK19" s="104">
        <v>156652.59</v>
      </c>
      <c r="AL19" s="90">
        <v>0</v>
      </c>
      <c r="AM19" s="93">
        <f t="shared" si="4"/>
        <v>156652.59</v>
      </c>
      <c r="AN19" s="93">
        <f t="shared" si="5"/>
        <v>1097983.12</v>
      </c>
      <c r="AO19" s="94"/>
    </row>
  </sheetData>
  <mergeCells count="32">
    <mergeCell ref="A4:A6"/>
    <mergeCell ref="B4:B6"/>
    <mergeCell ref="C4:C6"/>
    <mergeCell ref="D4:Q4"/>
    <mergeCell ref="AB4:AC5"/>
    <mergeCell ref="AD4:AJ4"/>
    <mergeCell ref="AK4:AM4"/>
    <mergeCell ref="R5:S5"/>
    <mergeCell ref="T5:U5"/>
    <mergeCell ref="V5:W5"/>
    <mergeCell ref="X5:Y5"/>
    <mergeCell ref="Z5:AA5"/>
    <mergeCell ref="AD5:AD6"/>
    <mergeCell ref="AE5:AE6"/>
    <mergeCell ref="AN4:AN6"/>
    <mergeCell ref="AO4:AO6"/>
    <mergeCell ref="D5:E5"/>
    <mergeCell ref="F5:G5"/>
    <mergeCell ref="H5:I5"/>
    <mergeCell ref="J5:K5"/>
    <mergeCell ref="L5:M5"/>
    <mergeCell ref="N5:O5"/>
    <mergeCell ref="P5:Q5"/>
    <mergeCell ref="R4:AA4"/>
    <mergeCell ref="AF5:AF6"/>
    <mergeCell ref="AG5:AG6"/>
    <mergeCell ref="AH5:AH6"/>
    <mergeCell ref="AM5:AM6"/>
    <mergeCell ref="AI5:AI6"/>
    <mergeCell ref="AJ5:AJ6"/>
    <mergeCell ref="AK5:AK6"/>
    <mergeCell ref="AL5:AL6"/>
  </mergeCells>
  <conditionalFormatting sqref="B7:B19">
    <cfRule type="expression" priority="1" dxfId="22" stopIfTrue="1">
      <formula>AND(NOT(ISBLANK($A7)),ISBLANK(B7))</formula>
    </cfRule>
  </conditionalFormatting>
  <conditionalFormatting sqref="C7:C19">
    <cfRule type="expression" priority="2" dxfId="22" stopIfTrue="1">
      <formula>AND(NOT(ISBLANK(A7)),ISBLANK(C7))</formula>
    </cfRule>
  </conditionalFormatting>
  <conditionalFormatting sqref="V11:V12 T11:T12 X11:X12 D7:D19 R18 T18 J7:J19 L7:L19 R11 T7:T8 V7:V8 R7:R8 N7:N19 X14:X15 V14:V15 T14:T15 R14:R15 F7:F19 H7:H19 X7:X9 AL8:AL9 AF9 AF12:AG12 AK14:AK15 AL12:AL17 AD18:AN18 AF13 AG14:AG15 AE15:AF16 AF17">
    <cfRule type="expression" priority="3" dxfId="22" stopIfTrue="1">
      <formula>AND(NOT(ISBLANK(E7)),ISBLANK(D7))</formula>
    </cfRule>
  </conditionalFormatting>
  <conditionalFormatting sqref="W11:W12 U11:U12 Y11:Y12 S18 U18 M7:M19 E7:E19 S11 U7:U8 W7:W8 S7:S8 O7:O19 Y14:Y15 W14:W15 U14:U15 S14:S15 G7:G19 I7:I19 K7:K19 Y7:Y9 AF19 AL19">
    <cfRule type="expression" priority="4" dxfId="22" stopIfTrue="1">
      <formula>AND(NOT(ISBLANK(D7)),ISBLANK(E7))</formula>
    </cfRule>
  </conditionalFormatting>
  <dataValidations count="7">
    <dataValidation type="decimal" operator="greaterThan" allowBlank="1" showInputMessage="1" showErrorMessage="1" sqref="AL7 AK7:AK9 AF7:AF8 AF10:AF11 AG19:AI19 AG7:AG11 AL11 AK11:AK13 AK16:AK17 AH7:AI17 AE17 AG13 AF14 AD7:AD17 AE7:AE14 AG16:AG17 AD19:AE19 AK19">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19">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19">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19">
      <formula1>INDIRECT("List_of_organisations")</formula1>
    </dataValidation>
    <dataValidation type="custom" allowBlank="1" showInputMessage="1" showErrorMessage="1" errorTitle="Headcount" error="The value entered in the headcount field must be greater than or equal to the value entered in the FTE field." sqref="T18 F7:F19 L7:L19 X11:X12 V11:V12 T11:T12 X14:X15 V14:V15 T14:T15 R18 R11 V7:V8 X7:X9 R7:R8 N7:N19 T7:T8 D7:D19 R14:R15 J7:J19 H7:H19 AL8:AL9 AF9 AD18:AN18">
      <formula1>T18&gt;=U18</formula1>
    </dataValidation>
    <dataValidation type="custom" allowBlank="1" showInputMessage="1" showErrorMessage="1" errorTitle="FTE" error="The value entered in the FTE field must be less than or equal to the value entered in the headcount field." sqref="U18 E7:E19 K7:K19 Y11:Y12 W11:W12 U11:U12 Y14:Y15 W14:W15 U14:U15 S18 S11 W7:W8 Y7:Y9 S7:S8 O7:O19 U7:U8 S14:S15 I7:I19 G7:G19 M7:M19 AF19 AL19">
      <formula1>U18&lt;=T18</formula1>
    </dataValidation>
    <dataValidation operator="lessThanOrEqual" allowBlank="1" showInputMessage="1" showErrorMessage="1" error="FTE cannot be greater than Headcount&#10;" sqref="AO7:AO10 AB6:AC19 P7:Q19 AO13:AO14 AO16:AO19 AO4 R4 A4:C4 P5 AB4"/>
  </dataValidation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AO103"/>
  <sheetViews>
    <sheetView zoomScale="75" zoomScaleNormal="75" workbookViewId="0" topLeftCell="A1">
      <selection activeCell="I27" sqref="I27"/>
    </sheetView>
  </sheetViews>
  <sheetFormatPr defaultColWidth="8.88671875" defaultRowHeight="15"/>
  <cols>
    <col min="1" max="1" width="30.3359375" style="0" customWidth="1"/>
    <col min="2" max="2" width="25.4453125" style="0" customWidth="1"/>
    <col min="3" max="3" width="11.5546875" style="0" bestFit="1" customWidth="1"/>
    <col min="4" max="4" width="9.99609375" style="0" bestFit="1" customWidth="1"/>
    <col min="5" max="5" width="9.5546875" style="0" bestFit="1" customWidth="1"/>
    <col min="6" max="6" width="9.99609375" style="0" bestFit="1" customWidth="1"/>
    <col min="7" max="7" width="9.5546875" style="0" bestFit="1" customWidth="1"/>
    <col min="8" max="8" width="9.99609375" style="0" bestFit="1" customWidth="1"/>
    <col min="9" max="9" width="9.5546875" style="0" bestFit="1" customWidth="1"/>
    <col min="10" max="10" width="9.99609375" style="0" bestFit="1" customWidth="1"/>
    <col min="11" max="11" width="9.5546875" style="0" bestFit="1" customWidth="1"/>
    <col min="12" max="12" width="9.99609375" style="0" bestFit="1" customWidth="1"/>
    <col min="13" max="13" width="9.5546875" style="0" bestFit="1" customWidth="1"/>
    <col min="14" max="14" width="9.99609375" style="0" bestFit="1" customWidth="1"/>
    <col min="15" max="15" width="9.5546875" style="0" bestFit="1" customWidth="1"/>
    <col min="16" max="16" width="9.99609375" style="0" bestFit="1" customWidth="1"/>
    <col min="17" max="17" width="9.5546875" style="0" bestFit="1" customWidth="1"/>
    <col min="18" max="18" width="9.99609375" style="0" bestFit="1" customWidth="1"/>
    <col min="19" max="19" width="9.5546875" style="0" bestFit="1" customWidth="1"/>
    <col min="20" max="20" width="9.99609375" style="0" bestFit="1" customWidth="1"/>
    <col min="21" max="21" width="9.5546875" style="0" bestFit="1" customWidth="1"/>
    <col min="22" max="22" width="9.99609375" style="0" bestFit="1" customWidth="1"/>
    <col min="23" max="23" width="9.5546875" style="0" bestFit="1" customWidth="1"/>
    <col min="24" max="24" width="9.99609375" style="0" bestFit="1" customWidth="1"/>
    <col min="25" max="25" width="9.5546875" style="0" bestFit="1" customWidth="1"/>
    <col min="26" max="26" width="9.99609375" style="0" bestFit="1" customWidth="1"/>
    <col min="27" max="27" width="9.5546875" style="0" bestFit="1" customWidth="1"/>
    <col min="28" max="28" width="10.4453125" style="0" bestFit="1" customWidth="1"/>
    <col min="29" max="29" width="9.5546875" style="0" bestFit="1" customWidth="1"/>
    <col min="30" max="30" width="13.88671875" style="0" bestFit="1" customWidth="1"/>
    <col min="31" max="31" width="11.21484375" style="0" bestFit="1" customWidth="1"/>
    <col min="32" max="32" width="24.3359375" style="0" customWidth="1"/>
    <col min="33" max="33" width="12.6640625" style="0" bestFit="1" customWidth="1"/>
    <col min="34" max="34" width="15.5546875" style="0" customWidth="1"/>
    <col min="35" max="35" width="21.99609375" style="0" customWidth="1"/>
    <col min="36" max="36" width="15.6640625" style="0" customWidth="1"/>
    <col min="37" max="37" width="21.10546875" style="0" customWidth="1"/>
    <col min="38" max="38" width="18.77734375" style="0" customWidth="1"/>
    <col min="39" max="39" width="16.3359375" style="0" customWidth="1"/>
    <col min="40" max="40" width="15.99609375" style="0" customWidth="1"/>
    <col min="41" max="41" width="40.99609375" style="0" customWidth="1"/>
  </cols>
  <sheetData>
    <row r="1" ht="15">
      <c r="A1" s="2" t="s">
        <v>92</v>
      </c>
    </row>
    <row r="2" ht="15">
      <c r="A2" s="24" t="s">
        <v>93</v>
      </c>
    </row>
    <row r="3" ht="15">
      <c r="A3" s="24" t="s">
        <v>94</v>
      </c>
    </row>
    <row r="4" spans="1:41" ht="15.75">
      <c r="A4" s="383" t="s">
        <v>26</v>
      </c>
      <c r="B4" s="383" t="s">
        <v>15</v>
      </c>
      <c r="C4" s="383" t="s">
        <v>14</v>
      </c>
      <c r="D4" s="383" t="s">
        <v>22</v>
      </c>
      <c r="E4" s="383"/>
      <c r="F4" s="383"/>
      <c r="G4" s="383"/>
      <c r="H4" s="383"/>
      <c r="I4" s="383"/>
      <c r="J4" s="383"/>
      <c r="K4" s="383"/>
      <c r="L4" s="383"/>
      <c r="M4" s="383"/>
      <c r="N4" s="383"/>
      <c r="O4" s="383"/>
      <c r="P4" s="383"/>
      <c r="Q4" s="383"/>
      <c r="R4" s="385" t="s">
        <v>29</v>
      </c>
      <c r="S4" s="385"/>
      <c r="T4" s="385"/>
      <c r="U4" s="385"/>
      <c r="V4" s="385"/>
      <c r="W4" s="385"/>
      <c r="X4" s="385"/>
      <c r="Y4" s="385"/>
      <c r="Z4" s="385"/>
      <c r="AA4" s="385"/>
      <c r="AB4" s="384" t="s">
        <v>39</v>
      </c>
      <c r="AC4" s="384"/>
      <c r="AD4" s="385" t="s">
        <v>25</v>
      </c>
      <c r="AE4" s="385"/>
      <c r="AF4" s="385"/>
      <c r="AG4" s="385"/>
      <c r="AH4" s="385"/>
      <c r="AI4" s="385"/>
      <c r="AJ4" s="385"/>
      <c r="AK4" s="385" t="s">
        <v>46</v>
      </c>
      <c r="AL4" s="385"/>
      <c r="AM4" s="385"/>
      <c r="AN4" s="384" t="s">
        <v>38</v>
      </c>
      <c r="AO4" s="383" t="s">
        <v>47</v>
      </c>
    </row>
    <row r="5" spans="1:41" ht="15.75">
      <c r="A5" s="386"/>
      <c r="B5" s="386"/>
      <c r="C5" s="386"/>
      <c r="D5" s="383" t="s">
        <v>42</v>
      </c>
      <c r="E5" s="383"/>
      <c r="F5" s="383" t="s">
        <v>43</v>
      </c>
      <c r="G5" s="383"/>
      <c r="H5" s="383" t="s">
        <v>44</v>
      </c>
      <c r="I5" s="383"/>
      <c r="J5" s="383" t="s">
        <v>20</v>
      </c>
      <c r="K5" s="383"/>
      <c r="L5" s="383" t="s">
        <v>45</v>
      </c>
      <c r="M5" s="383"/>
      <c r="N5" s="383" t="s">
        <v>19</v>
      </c>
      <c r="O5" s="383"/>
      <c r="P5" s="383" t="s">
        <v>23</v>
      </c>
      <c r="Q5" s="383"/>
      <c r="R5" s="383" t="s">
        <v>27</v>
      </c>
      <c r="S5" s="385"/>
      <c r="T5" s="385" t="s">
        <v>17</v>
      </c>
      <c r="U5" s="385"/>
      <c r="V5" s="385" t="s">
        <v>18</v>
      </c>
      <c r="W5" s="385"/>
      <c r="X5" s="385" t="s">
        <v>28</v>
      </c>
      <c r="Y5" s="385"/>
      <c r="Z5" s="383" t="s">
        <v>24</v>
      </c>
      <c r="AA5" s="383"/>
      <c r="AB5" s="384"/>
      <c r="AC5" s="384"/>
      <c r="AD5" s="383" t="s">
        <v>31</v>
      </c>
      <c r="AE5" s="383" t="s">
        <v>30</v>
      </c>
      <c r="AF5" s="383" t="s">
        <v>32</v>
      </c>
      <c r="AG5" s="383" t="s">
        <v>33</v>
      </c>
      <c r="AH5" s="383" t="s">
        <v>34</v>
      </c>
      <c r="AI5" s="383" t="s">
        <v>35</v>
      </c>
      <c r="AJ5" s="383" t="s">
        <v>37</v>
      </c>
      <c r="AK5" s="383" t="s">
        <v>40</v>
      </c>
      <c r="AL5" s="383" t="s">
        <v>41</v>
      </c>
      <c r="AM5" s="383" t="s">
        <v>36</v>
      </c>
      <c r="AN5" s="384"/>
      <c r="AO5" s="383"/>
    </row>
    <row r="6" spans="1:41" ht="63">
      <c r="A6" s="386"/>
      <c r="B6" s="386"/>
      <c r="C6" s="386"/>
      <c r="D6" s="34" t="s">
        <v>16</v>
      </c>
      <c r="E6" s="34" t="s">
        <v>21</v>
      </c>
      <c r="F6" s="34" t="s">
        <v>16</v>
      </c>
      <c r="G6" s="34" t="s">
        <v>21</v>
      </c>
      <c r="H6" s="34" t="s">
        <v>16</v>
      </c>
      <c r="I6" s="34" t="s">
        <v>21</v>
      </c>
      <c r="J6" s="34" t="s">
        <v>16</v>
      </c>
      <c r="K6" s="34" t="s">
        <v>21</v>
      </c>
      <c r="L6" s="34" t="s">
        <v>16</v>
      </c>
      <c r="M6" s="34" t="s">
        <v>21</v>
      </c>
      <c r="N6" s="34" t="s">
        <v>16</v>
      </c>
      <c r="O6" s="34" t="s">
        <v>21</v>
      </c>
      <c r="P6" s="34" t="s">
        <v>16</v>
      </c>
      <c r="Q6" s="34" t="s">
        <v>21</v>
      </c>
      <c r="R6" s="34" t="s">
        <v>16</v>
      </c>
      <c r="S6" s="34" t="s">
        <v>21</v>
      </c>
      <c r="T6" s="34" t="s">
        <v>16</v>
      </c>
      <c r="U6" s="34" t="s">
        <v>21</v>
      </c>
      <c r="V6" s="34" t="s">
        <v>16</v>
      </c>
      <c r="W6" s="34" t="s">
        <v>21</v>
      </c>
      <c r="X6" s="34" t="s">
        <v>16</v>
      </c>
      <c r="Y6" s="34" t="s">
        <v>21</v>
      </c>
      <c r="Z6" s="34" t="s">
        <v>16</v>
      </c>
      <c r="AA6" s="34" t="s">
        <v>21</v>
      </c>
      <c r="AB6" s="89" t="s">
        <v>16</v>
      </c>
      <c r="AC6" s="88" t="s">
        <v>21</v>
      </c>
      <c r="AD6" s="383"/>
      <c r="AE6" s="383"/>
      <c r="AF6" s="383"/>
      <c r="AG6" s="383"/>
      <c r="AH6" s="383"/>
      <c r="AI6" s="383"/>
      <c r="AJ6" s="383"/>
      <c r="AK6" s="383"/>
      <c r="AL6" s="383"/>
      <c r="AM6" s="383"/>
      <c r="AN6" s="384"/>
      <c r="AO6" s="383"/>
    </row>
    <row r="7" spans="1:41" ht="30">
      <c r="A7" s="90" t="s">
        <v>48</v>
      </c>
      <c r="B7" s="254" t="s">
        <v>49</v>
      </c>
      <c r="C7" s="254" t="s">
        <v>48</v>
      </c>
      <c r="D7" s="254">
        <v>1017</v>
      </c>
      <c r="E7" s="255">
        <v>941.01</v>
      </c>
      <c r="F7" s="254">
        <v>917</v>
      </c>
      <c r="G7" s="255">
        <v>884.3</v>
      </c>
      <c r="H7" s="254">
        <v>1592</v>
      </c>
      <c r="I7" s="255">
        <v>1543.39</v>
      </c>
      <c r="J7" s="254">
        <v>767</v>
      </c>
      <c r="K7" s="255">
        <v>744.78</v>
      </c>
      <c r="L7" s="254">
        <v>119</v>
      </c>
      <c r="M7" s="255">
        <v>116.66</v>
      </c>
      <c r="N7" s="254">
        <v>0</v>
      </c>
      <c r="O7" s="255">
        <v>0</v>
      </c>
      <c r="P7" s="212">
        <f>SUM(D7,F7,H7,J7,L7,N7)</f>
        <v>4412</v>
      </c>
      <c r="Q7" s="213">
        <f>SUM(E7,G7,I7,K7,M7,O7)</f>
        <v>4230.139999999999</v>
      </c>
      <c r="R7" s="254">
        <v>175</v>
      </c>
      <c r="S7" s="254">
        <v>172.3</v>
      </c>
      <c r="T7" s="254">
        <v>15</v>
      </c>
      <c r="U7" s="254">
        <v>15</v>
      </c>
      <c r="V7" s="254">
        <v>169</v>
      </c>
      <c r="W7" s="254">
        <v>168</v>
      </c>
      <c r="X7" s="256">
        <v>0</v>
      </c>
      <c r="Y7" s="255">
        <v>0</v>
      </c>
      <c r="Z7" s="228">
        <f>SUM(R7,T7,V7,X7,)</f>
        <v>359</v>
      </c>
      <c r="AA7" s="215">
        <f>SUM(S7,U7,W7,Y7)</f>
        <v>355.3</v>
      </c>
      <c r="AB7" s="216">
        <f>P7+Z7</f>
        <v>4771</v>
      </c>
      <c r="AC7" s="217">
        <f>Q7+AA7</f>
        <v>4585.44</v>
      </c>
      <c r="AD7" s="103">
        <v>12319172.83</v>
      </c>
      <c r="AE7" s="103">
        <v>193562.6</v>
      </c>
      <c r="AF7" s="257">
        <v>23990</v>
      </c>
      <c r="AG7" s="103">
        <v>93518.35</v>
      </c>
      <c r="AH7" s="103">
        <v>1920290.85</v>
      </c>
      <c r="AI7" s="103">
        <v>990961.53</v>
      </c>
      <c r="AJ7" s="218">
        <f>SUM(AD7:AI7)</f>
        <v>15541496.159999998</v>
      </c>
      <c r="AK7" s="239">
        <v>2273370.94</v>
      </c>
      <c r="AL7" s="239">
        <v>2294574.29</v>
      </c>
      <c r="AM7" s="218">
        <f>SUM(AK7:AL7)</f>
        <v>4567945.23</v>
      </c>
      <c r="AN7" s="218">
        <f>SUM(AM7,AJ7)</f>
        <v>20109441.39</v>
      </c>
      <c r="AO7" s="258"/>
    </row>
    <row r="8" spans="1:41" ht="30">
      <c r="A8" s="90" t="s">
        <v>76</v>
      </c>
      <c r="B8" s="254" t="s">
        <v>51</v>
      </c>
      <c r="C8" s="254" t="s">
        <v>48</v>
      </c>
      <c r="D8" s="254">
        <v>13799</v>
      </c>
      <c r="E8" s="255">
        <v>12068.49</v>
      </c>
      <c r="F8" s="254">
        <v>3121</v>
      </c>
      <c r="G8" s="255">
        <v>2915.59</v>
      </c>
      <c r="H8" s="254">
        <v>2536</v>
      </c>
      <c r="I8" s="255">
        <v>2355.05</v>
      </c>
      <c r="J8" s="254">
        <v>638</v>
      </c>
      <c r="K8" s="255">
        <v>622.48</v>
      </c>
      <c r="L8" s="254">
        <v>32</v>
      </c>
      <c r="M8" s="255">
        <v>31.92</v>
      </c>
      <c r="N8" s="254">
        <v>0</v>
      </c>
      <c r="O8" s="255">
        <v>0</v>
      </c>
      <c r="P8" s="212">
        <f aca="true" t="shared" si="0" ref="P8:Q19">SUM(D8,F8,H8,J8,L8,N8)</f>
        <v>20126</v>
      </c>
      <c r="Q8" s="213">
        <f t="shared" si="0"/>
        <v>17993.53</v>
      </c>
      <c r="R8" s="90" t="s">
        <v>90</v>
      </c>
      <c r="S8" s="91">
        <v>423</v>
      </c>
      <c r="T8" s="90" t="s">
        <v>90</v>
      </c>
      <c r="U8" s="90" t="s">
        <v>90</v>
      </c>
      <c r="V8" s="90" t="s">
        <v>90</v>
      </c>
      <c r="W8" s="90" t="s">
        <v>90</v>
      </c>
      <c r="X8" s="90" t="s">
        <v>90</v>
      </c>
      <c r="Y8" s="90" t="s">
        <v>90</v>
      </c>
      <c r="Z8" s="260">
        <f aca="true" t="shared" si="1" ref="Z8:Z19">SUM(R8,T8,V8,X8,)</f>
        <v>0</v>
      </c>
      <c r="AA8" s="222">
        <f aca="true" t="shared" si="2" ref="AA8:AA19">SUM(S8,U8,W8,Y8)</f>
        <v>423</v>
      </c>
      <c r="AB8" s="216">
        <f aca="true" t="shared" si="3" ref="AB8:AC19">P8+Z8</f>
        <v>20126</v>
      </c>
      <c r="AC8" s="216">
        <f t="shared" si="3"/>
        <v>18416.53</v>
      </c>
      <c r="AD8" s="104">
        <v>34170361.03</v>
      </c>
      <c r="AE8" s="48">
        <v>478920.34</v>
      </c>
      <c r="AF8" s="48">
        <v>-100364.23</v>
      </c>
      <c r="AG8" s="48">
        <v>333364.45</v>
      </c>
      <c r="AH8" s="48">
        <v>5461319.81</v>
      </c>
      <c r="AI8" s="48">
        <v>2308814.86</v>
      </c>
      <c r="AJ8" s="218">
        <f aca="true" t="shared" si="4" ref="AJ8:AJ19">SUM(AD8:AI8)</f>
        <v>42652416.26000001</v>
      </c>
      <c r="AK8" s="223">
        <v>565368.45</v>
      </c>
      <c r="AL8" s="239"/>
      <c r="AM8" s="218">
        <f aca="true" t="shared" si="5" ref="AM8:AM19">SUM(AK8:AL8)</f>
        <v>565368.45</v>
      </c>
      <c r="AN8" s="218">
        <f aca="true" t="shared" si="6" ref="AN8:AN19">SUM(AM8,AJ8)</f>
        <v>43217784.710000016</v>
      </c>
      <c r="AO8" s="258"/>
    </row>
    <row r="9" spans="1:41" ht="30">
      <c r="A9" s="90" t="s">
        <v>55</v>
      </c>
      <c r="B9" s="254" t="s">
        <v>51</v>
      </c>
      <c r="C9" s="254" t="s">
        <v>48</v>
      </c>
      <c r="D9" s="116">
        <v>190</v>
      </c>
      <c r="E9" s="96">
        <v>170.23</v>
      </c>
      <c r="F9" s="96">
        <v>126</v>
      </c>
      <c r="G9" s="96">
        <v>121.46</v>
      </c>
      <c r="H9" s="96">
        <v>257</v>
      </c>
      <c r="I9" s="96">
        <v>249.68</v>
      </c>
      <c r="J9" s="96">
        <v>61</v>
      </c>
      <c r="K9" s="96">
        <v>60.16</v>
      </c>
      <c r="L9" s="96">
        <v>6</v>
      </c>
      <c r="M9" s="96">
        <v>6</v>
      </c>
      <c r="N9" s="96">
        <v>0</v>
      </c>
      <c r="O9" s="96">
        <v>0</v>
      </c>
      <c r="P9" s="212">
        <f t="shared" si="0"/>
        <v>640</v>
      </c>
      <c r="Q9" s="213">
        <f t="shared" si="0"/>
        <v>607.53</v>
      </c>
      <c r="R9" s="106">
        <v>11</v>
      </c>
      <c r="S9" s="97">
        <v>10.4</v>
      </c>
      <c r="T9" s="90" t="s">
        <v>90</v>
      </c>
      <c r="U9" s="90" t="s">
        <v>90</v>
      </c>
      <c r="V9" s="97">
        <f>23-11</f>
        <v>12</v>
      </c>
      <c r="W9" s="97">
        <f>22.4-10.4</f>
        <v>11.999999999999998</v>
      </c>
      <c r="X9" s="90" t="s">
        <v>90</v>
      </c>
      <c r="Y9" s="90" t="s">
        <v>90</v>
      </c>
      <c r="Z9" s="228">
        <f t="shared" si="1"/>
        <v>23</v>
      </c>
      <c r="AA9" s="215">
        <f t="shared" si="2"/>
        <v>22.4</v>
      </c>
      <c r="AB9" s="216">
        <f t="shared" si="3"/>
        <v>663</v>
      </c>
      <c r="AC9" s="216">
        <f t="shared" si="3"/>
        <v>629.93</v>
      </c>
      <c r="AD9" s="108" t="e">
        <f>1897320.09-AE9-AF9-AG9-AH9-AI9</f>
        <v>#VALUE!</v>
      </c>
      <c r="AE9" s="98">
        <v>6184.33</v>
      </c>
      <c r="AF9" s="90" t="s">
        <v>90</v>
      </c>
      <c r="AG9" s="98">
        <v>14342.34</v>
      </c>
      <c r="AH9" s="98">
        <v>268620.61</v>
      </c>
      <c r="AI9" s="98">
        <v>123501.7</v>
      </c>
      <c r="AJ9" s="218" t="e">
        <f t="shared" si="4"/>
        <v>#VALUE!</v>
      </c>
      <c r="AK9" s="108">
        <v>74037.06</v>
      </c>
      <c r="AL9" s="248"/>
      <c r="AM9" s="218">
        <f t="shared" si="5"/>
        <v>74037.06</v>
      </c>
      <c r="AN9" s="218" t="e">
        <f t="shared" si="6"/>
        <v>#VALUE!</v>
      </c>
      <c r="AO9" s="258"/>
    </row>
    <row r="10" spans="1:41" ht="30">
      <c r="A10" s="254" t="s">
        <v>56</v>
      </c>
      <c r="B10" s="254" t="s">
        <v>51</v>
      </c>
      <c r="C10" s="254" t="s">
        <v>48</v>
      </c>
      <c r="D10" s="115">
        <v>34414</v>
      </c>
      <c r="E10" s="91">
        <v>32864.32493759356</v>
      </c>
      <c r="F10" s="90">
        <v>6386</v>
      </c>
      <c r="G10" s="91">
        <v>6110.61162154916</v>
      </c>
      <c r="H10" s="90">
        <v>3728</v>
      </c>
      <c r="I10" s="91">
        <v>3487.4967676226197</v>
      </c>
      <c r="J10" s="90">
        <v>625</v>
      </c>
      <c r="K10" s="91">
        <v>609.5036183328867</v>
      </c>
      <c r="L10" s="90">
        <v>39</v>
      </c>
      <c r="M10" s="91">
        <v>38.8780487804878</v>
      </c>
      <c r="N10" s="90">
        <v>0</v>
      </c>
      <c r="O10" s="91">
        <v>0</v>
      </c>
      <c r="P10" s="212">
        <f t="shared" si="0"/>
        <v>45192</v>
      </c>
      <c r="Q10" s="213">
        <f t="shared" si="0"/>
        <v>43110.81499387872</v>
      </c>
      <c r="R10" s="114">
        <v>304.95</v>
      </c>
      <c r="S10" s="68">
        <v>304.95</v>
      </c>
      <c r="T10" s="68">
        <v>19</v>
      </c>
      <c r="U10" s="68">
        <v>19</v>
      </c>
      <c r="V10" s="68">
        <v>12</v>
      </c>
      <c r="W10" s="68">
        <v>12</v>
      </c>
      <c r="X10" s="68">
        <v>17</v>
      </c>
      <c r="Y10" s="68">
        <v>17</v>
      </c>
      <c r="Z10" s="228">
        <f t="shared" si="1"/>
        <v>352.95</v>
      </c>
      <c r="AA10" s="215">
        <f t="shared" si="2"/>
        <v>352.95</v>
      </c>
      <c r="AB10" s="216">
        <f t="shared" si="3"/>
        <v>45544.95</v>
      </c>
      <c r="AC10" s="216">
        <f t="shared" si="3"/>
        <v>43463.764993878714</v>
      </c>
      <c r="AD10" s="104">
        <v>98864556.39999999</v>
      </c>
      <c r="AE10" s="48">
        <v>0</v>
      </c>
      <c r="AF10" s="48">
        <v>0</v>
      </c>
      <c r="AG10" s="48">
        <v>4202877.46</v>
      </c>
      <c r="AH10" s="48">
        <v>18750413.449999996</v>
      </c>
      <c r="AI10" s="48">
        <v>7749484.139999998</v>
      </c>
      <c r="AJ10" s="218">
        <f t="shared" si="4"/>
        <v>129567331.44999997</v>
      </c>
      <c r="AK10" s="104">
        <v>2352599.64</v>
      </c>
      <c r="AL10" s="48">
        <v>37758.8</v>
      </c>
      <c r="AM10" s="218">
        <f t="shared" si="5"/>
        <v>2390358.44</v>
      </c>
      <c r="AN10" s="218">
        <f t="shared" si="6"/>
        <v>131957689.88999997</v>
      </c>
      <c r="AO10" s="259"/>
    </row>
    <row r="11" spans="1:41" ht="38.25">
      <c r="A11" s="90" t="s">
        <v>58</v>
      </c>
      <c r="B11" s="254" t="s">
        <v>51</v>
      </c>
      <c r="C11" s="254" t="s">
        <v>48</v>
      </c>
      <c r="D11" s="254">
        <v>301</v>
      </c>
      <c r="E11" s="255">
        <v>282.61</v>
      </c>
      <c r="F11" s="254">
        <v>140</v>
      </c>
      <c r="G11" s="255">
        <v>134.27</v>
      </c>
      <c r="H11" s="254">
        <v>66</v>
      </c>
      <c r="I11" s="255">
        <v>64.39</v>
      </c>
      <c r="J11" s="254">
        <v>10</v>
      </c>
      <c r="K11" s="255">
        <v>9.82</v>
      </c>
      <c r="L11" s="254">
        <v>2</v>
      </c>
      <c r="M11" s="255">
        <v>1.78</v>
      </c>
      <c r="N11" s="254">
        <v>0</v>
      </c>
      <c r="O11" s="255">
        <v>0</v>
      </c>
      <c r="P11" s="212">
        <f t="shared" si="0"/>
        <v>519</v>
      </c>
      <c r="Q11" s="213">
        <f t="shared" si="0"/>
        <v>492.86999999999995</v>
      </c>
      <c r="R11" s="254">
        <v>164</v>
      </c>
      <c r="S11" s="254">
        <v>124.16</v>
      </c>
      <c r="T11" s="254">
        <v>0</v>
      </c>
      <c r="U11" s="254">
        <v>0</v>
      </c>
      <c r="V11" s="254">
        <v>0</v>
      </c>
      <c r="W11" s="254">
        <v>0</v>
      </c>
      <c r="X11" s="256">
        <v>0</v>
      </c>
      <c r="Y11" s="255">
        <v>0</v>
      </c>
      <c r="Z11" s="228">
        <f t="shared" si="1"/>
        <v>164</v>
      </c>
      <c r="AA11" s="215">
        <f t="shared" si="2"/>
        <v>124.16</v>
      </c>
      <c r="AB11" s="216">
        <f t="shared" si="3"/>
        <v>683</v>
      </c>
      <c r="AC11" s="216">
        <f t="shared" si="3"/>
        <v>617.03</v>
      </c>
      <c r="AD11" s="103">
        <v>905193.23</v>
      </c>
      <c r="AE11" s="103">
        <v>15695.8</v>
      </c>
      <c r="AF11" s="103">
        <v>0</v>
      </c>
      <c r="AG11" s="103">
        <v>54155.69</v>
      </c>
      <c r="AH11" s="103">
        <v>136866.32</v>
      </c>
      <c r="AI11" s="103">
        <v>59896.34</v>
      </c>
      <c r="AJ11" s="218">
        <f t="shared" si="4"/>
        <v>1171807.3800000001</v>
      </c>
      <c r="AK11" s="104">
        <v>394392.23</v>
      </c>
      <c r="AL11" s="239">
        <v>0</v>
      </c>
      <c r="AM11" s="218">
        <f t="shared" si="5"/>
        <v>394392.23</v>
      </c>
      <c r="AN11" s="218">
        <f t="shared" si="6"/>
        <v>1566199.61</v>
      </c>
      <c r="AO11" s="111" t="s">
        <v>107</v>
      </c>
    </row>
    <row r="12" spans="1:41" ht="76.5">
      <c r="A12" s="254" t="s">
        <v>62</v>
      </c>
      <c r="B12" s="254" t="s">
        <v>63</v>
      </c>
      <c r="C12" s="254" t="s">
        <v>48</v>
      </c>
      <c r="D12" s="254">
        <v>0</v>
      </c>
      <c r="E12" s="255">
        <v>0</v>
      </c>
      <c r="F12" s="254">
        <v>0</v>
      </c>
      <c r="G12" s="255">
        <v>0</v>
      </c>
      <c r="H12" s="254">
        <v>0</v>
      </c>
      <c r="I12" s="255">
        <v>0</v>
      </c>
      <c r="J12" s="254">
        <v>0</v>
      </c>
      <c r="K12" s="255">
        <v>0</v>
      </c>
      <c r="L12" s="254">
        <v>0</v>
      </c>
      <c r="M12" s="255">
        <v>0</v>
      </c>
      <c r="N12" s="90">
        <v>75</v>
      </c>
      <c r="O12" s="90">
        <v>69.18</v>
      </c>
      <c r="P12" s="212">
        <f t="shared" si="0"/>
        <v>75</v>
      </c>
      <c r="Q12" s="232">
        <f t="shared" si="0"/>
        <v>69.18</v>
      </c>
      <c r="R12" s="68">
        <v>3</v>
      </c>
      <c r="S12" s="68">
        <v>2.81</v>
      </c>
      <c r="T12" s="90" t="s">
        <v>90</v>
      </c>
      <c r="U12" s="90" t="s">
        <v>90</v>
      </c>
      <c r="V12" s="90" t="s">
        <v>90</v>
      </c>
      <c r="W12" s="90" t="s">
        <v>90</v>
      </c>
      <c r="X12" s="90" t="s">
        <v>90</v>
      </c>
      <c r="Y12" s="90" t="s">
        <v>90</v>
      </c>
      <c r="Z12" s="228">
        <f t="shared" si="1"/>
        <v>3</v>
      </c>
      <c r="AA12" s="215">
        <f t="shared" si="2"/>
        <v>2.81</v>
      </c>
      <c r="AB12" s="216">
        <f t="shared" si="3"/>
        <v>78</v>
      </c>
      <c r="AC12" s="261">
        <f t="shared" si="3"/>
        <v>71.99000000000001</v>
      </c>
      <c r="AD12" s="48">
        <v>204442</v>
      </c>
      <c r="AE12" s="48">
        <v>43</v>
      </c>
      <c r="AF12" s="90" t="s">
        <v>90</v>
      </c>
      <c r="AG12" s="90" t="s">
        <v>90</v>
      </c>
      <c r="AH12" s="48">
        <v>37260</v>
      </c>
      <c r="AI12" s="48">
        <v>16703</v>
      </c>
      <c r="AJ12" s="235">
        <f t="shared" si="4"/>
        <v>258448</v>
      </c>
      <c r="AK12" s="48">
        <v>6415</v>
      </c>
      <c r="AL12" s="90" t="s">
        <v>90</v>
      </c>
      <c r="AM12" s="218">
        <f t="shared" si="5"/>
        <v>6415</v>
      </c>
      <c r="AN12" s="235">
        <f t="shared" si="6"/>
        <v>264863</v>
      </c>
      <c r="AO12" s="101" t="s">
        <v>64</v>
      </c>
    </row>
    <row r="13" spans="1:41" ht="30">
      <c r="A13" s="254" t="s">
        <v>66</v>
      </c>
      <c r="B13" s="254" t="s">
        <v>63</v>
      </c>
      <c r="C13" s="254" t="s">
        <v>48</v>
      </c>
      <c r="D13" s="254">
        <v>0</v>
      </c>
      <c r="E13" s="255">
        <v>0</v>
      </c>
      <c r="F13" s="254">
        <v>0</v>
      </c>
      <c r="G13" s="255">
        <v>0</v>
      </c>
      <c r="H13" s="254">
        <v>0</v>
      </c>
      <c r="I13" s="255">
        <v>0</v>
      </c>
      <c r="J13" s="254">
        <v>0</v>
      </c>
      <c r="K13" s="255">
        <v>0</v>
      </c>
      <c r="L13" s="254">
        <v>0</v>
      </c>
      <c r="M13" s="255">
        <v>0</v>
      </c>
      <c r="N13" s="90">
        <v>353</v>
      </c>
      <c r="O13" s="90">
        <v>327.3</v>
      </c>
      <c r="P13" s="212">
        <f t="shared" si="0"/>
        <v>353</v>
      </c>
      <c r="Q13" s="213">
        <f t="shared" si="0"/>
        <v>327.3</v>
      </c>
      <c r="R13" s="114">
        <v>21</v>
      </c>
      <c r="S13" s="68">
        <v>20.1</v>
      </c>
      <c r="T13" s="90" t="s">
        <v>90</v>
      </c>
      <c r="U13" s="90" t="s">
        <v>90</v>
      </c>
      <c r="V13" s="90" t="s">
        <v>90</v>
      </c>
      <c r="W13" s="90" t="s">
        <v>90</v>
      </c>
      <c r="X13" s="68">
        <v>0</v>
      </c>
      <c r="Y13" s="68">
        <v>0</v>
      </c>
      <c r="Z13" s="228">
        <f t="shared" si="1"/>
        <v>21</v>
      </c>
      <c r="AA13" s="215">
        <f t="shared" si="2"/>
        <v>20.1</v>
      </c>
      <c r="AB13" s="216">
        <f t="shared" si="3"/>
        <v>374</v>
      </c>
      <c r="AC13" s="216">
        <f t="shared" si="3"/>
        <v>347.40000000000003</v>
      </c>
      <c r="AD13" s="104">
        <f>736603.58-857.65</f>
        <v>735745.9299999999</v>
      </c>
      <c r="AE13" s="48">
        <v>857.65</v>
      </c>
      <c r="AF13" s="90" t="s">
        <v>90</v>
      </c>
      <c r="AG13" s="48">
        <v>21432.64</v>
      </c>
      <c r="AH13" s="48">
        <v>133257.19</v>
      </c>
      <c r="AI13" s="48">
        <v>54250.48</v>
      </c>
      <c r="AJ13" s="218">
        <f t="shared" si="4"/>
        <v>945543.8899999999</v>
      </c>
      <c r="AK13" s="104">
        <v>30396.41</v>
      </c>
      <c r="AL13" s="90" t="s">
        <v>90</v>
      </c>
      <c r="AM13" s="218">
        <f t="shared" si="5"/>
        <v>30396.41</v>
      </c>
      <c r="AN13" s="218">
        <f t="shared" si="6"/>
        <v>975940.2999999999</v>
      </c>
      <c r="AO13" s="258"/>
    </row>
    <row r="14" spans="1:41" ht="30">
      <c r="A14" s="254" t="s">
        <v>67</v>
      </c>
      <c r="B14" s="254" t="s">
        <v>63</v>
      </c>
      <c r="C14" s="254" t="s">
        <v>48</v>
      </c>
      <c r="D14" s="115">
        <v>10</v>
      </c>
      <c r="E14" s="90">
        <v>10</v>
      </c>
      <c r="F14" s="90">
        <v>19</v>
      </c>
      <c r="G14" s="90">
        <v>17</v>
      </c>
      <c r="H14" s="90">
        <v>24</v>
      </c>
      <c r="I14" s="90">
        <v>23.69</v>
      </c>
      <c r="J14" s="90">
        <v>16</v>
      </c>
      <c r="K14" s="90">
        <v>15.2</v>
      </c>
      <c r="L14" s="90">
        <v>3</v>
      </c>
      <c r="M14" s="90">
        <v>3</v>
      </c>
      <c r="N14" s="90">
        <v>1</v>
      </c>
      <c r="O14" s="90">
        <v>0.4</v>
      </c>
      <c r="P14" s="212">
        <f t="shared" si="0"/>
        <v>73</v>
      </c>
      <c r="Q14" s="213">
        <f t="shared" si="0"/>
        <v>69.29</v>
      </c>
      <c r="R14" s="90" t="s">
        <v>90</v>
      </c>
      <c r="S14" s="90" t="s">
        <v>90</v>
      </c>
      <c r="T14" s="90" t="s">
        <v>90</v>
      </c>
      <c r="U14" s="90" t="s">
        <v>90</v>
      </c>
      <c r="V14" s="90" t="s">
        <v>90</v>
      </c>
      <c r="W14" s="90" t="s">
        <v>90</v>
      </c>
      <c r="X14" s="90" t="s">
        <v>90</v>
      </c>
      <c r="Y14" s="90" t="s">
        <v>90</v>
      </c>
      <c r="Z14" s="228">
        <f t="shared" si="1"/>
        <v>0</v>
      </c>
      <c r="AA14" s="215">
        <f t="shared" si="2"/>
        <v>0</v>
      </c>
      <c r="AB14" s="216">
        <f t="shared" si="3"/>
        <v>73</v>
      </c>
      <c r="AC14" s="216">
        <f t="shared" si="3"/>
        <v>69.29</v>
      </c>
      <c r="AD14" s="104">
        <v>204723.32</v>
      </c>
      <c r="AE14" s="48">
        <v>3417.67</v>
      </c>
      <c r="AF14" s="48">
        <v>1000</v>
      </c>
      <c r="AG14" s="48"/>
      <c r="AH14" s="48">
        <v>32169.45</v>
      </c>
      <c r="AI14" s="48">
        <v>17616.65</v>
      </c>
      <c r="AJ14" s="218">
        <f t="shared" si="4"/>
        <v>258927.09000000003</v>
      </c>
      <c r="AK14" s="90" t="s">
        <v>90</v>
      </c>
      <c r="AL14" s="90" t="s">
        <v>90</v>
      </c>
      <c r="AM14" s="218">
        <f t="shared" si="5"/>
        <v>0</v>
      </c>
      <c r="AN14" s="218">
        <f t="shared" si="6"/>
        <v>258927.09000000003</v>
      </c>
      <c r="AO14" s="258"/>
    </row>
    <row r="15" spans="1:41" ht="38.25">
      <c r="A15" s="254" t="s">
        <v>68</v>
      </c>
      <c r="B15" s="254" t="s">
        <v>63</v>
      </c>
      <c r="C15" s="254" t="s">
        <v>48</v>
      </c>
      <c r="D15" s="254">
        <v>0</v>
      </c>
      <c r="E15" s="255">
        <v>0</v>
      </c>
      <c r="F15" s="254">
        <v>0</v>
      </c>
      <c r="G15" s="255">
        <v>0</v>
      </c>
      <c r="H15" s="254">
        <v>0</v>
      </c>
      <c r="I15" s="255">
        <v>0</v>
      </c>
      <c r="J15" s="254">
        <v>0</v>
      </c>
      <c r="K15" s="255">
        <v>0</v>
      </c>
      <c r="L15" s="254">
        <v>0</v>
      </c>
      <c r="M15" s="255">
        <v>0</v>
      </c>
      <c r="N15" s="96">
        <v>29</v>
      </c>
      <c r="O15" s="96">
        <v>29</v>
      </c>
      <c r="P15" s="212">
        <f t="shared" si="0"/>
        <v>29</v>
      </c>
      <c r="Q15" s="213">
        <f t="shared" si="0"/>
        <v>29</v>
      </c>
      <c r="R15" s="90" t="s">
        <v>90</v>
      </c>
      <c r="S15" s="90" t="s">
        <v>90</v>
      </c>
      <c r="T15" s="90" t="s">
        <v>90</v>
      </c>
      <c r="U15" s="90" t="s">
        <v>90</v>
      </c>
      <c r="V15" s="90" t="s">
        <v>90</v>
      </c>
      <c r="W15" s="90" t="s">
        <v>90</v>
      </c>
      <c r="X15" s="90" t="s">
        <v>90</v>
      </c>
      <c r="Y15" s="90" t="s">
        <v>90</v>
      </c>
      <c r="Z15" s="228">
        <f t="shared" si="1"/>
        <v>0</v>
      </c>
      <c r="AA15" s="215">
        <f t="shared" si="2"/>
        <v>0</v>
      </c>
      <c r="AB15" s="216">
        <f t="shared" si="3"/>
        <v>29</v>
      </c>
      <c r="AC15" s="216">
        <f t="shared" si="3"/>
        <v>29</v>
      </c>
      <c r="AD15" s="108">
        <v>129788.62</v>
      </c>
      <c r="AE15" s="90" t="s">
        <v>90</v>
      </c>
      <c r="AF15" s="90" t="s">
        <v>90</v>
      </c>
      <c r="AG15" s="90" t="s">
        <v>90</v>
      </c>
      <c r="AH15" s="98">
        <v>28907.88</v>
      </c>
      <c r="AI15" s="98">
        <v>15482.34</v>
      </c>
      <c r="AJ15" s="218">
        <f t="shared" si="4"/>
        <v>174178.84</v>
      </c>
      <c r="AK15" s="90" t="s">
        <v>90</v>
      </c>
      <c r="AL15" s="90" t="s">
        <v>90</v>
      </c>
      <c r="AM15" s="218">
        <f t="shared" si="5"/>
        <v>0</v>
      </c>
      <c r="AN15" s="218">
        <f t="shared" si="6"/>
        <v>174178.84</v>
      </c>
      <c r="AO15" s="102" t="s">
        <v>69</v>
      </c>
    </row>
    <row r="16" spans="1:41" ht="30">
      <c r="A16" s="262" t="s">
        <v>70</v>
      </c>
      <c r="B16" s="254" t="s">
        <v>63</v>
      </c>
      <c r="C16" s="254" t="s">
        <v>48</v>
      </c>
      <c r="D16" s="116">
        <v>779</v>
      </c>
      <c r="E16" s="96">
        <v>733.53</v>
      </c>
      <c r="F16" s="96">
        <v>261</v>
      </c>
      <c r="G16" s="96">
        <v>251.28</v>
      </c>
      <c r="H16" s="96">
        <v>391</v>
      </c>
      <c r="I16" s="96">
        <v>375.24</v>
      </c>
      <c r="J16" s="96">
        <v>101</v>
      </c>
      <c r="K16" s="96">
        <v>99.67</v>
      </c>
      <c r="L16" s="96">
        <v>16</v>
      </c>
      <c r="M16" s="96">
        <v>10.2</v>
      </c>
      <c r="N16" s="96">
        <v>0</v>
      </c>
      <c r="O16" s="96">
        <v>0</v>
      </c>
      <c r="P16" s="212">
        <f t="shared" si="0"/>
        <v>1548</v>
      </c>
      <c r="Q16" s="213">
        <f t="shared" si="0"/>
        <v>1469.92</v>
      </c>
      <c r="R16" s="117">
        <v>67</v>
      </c>
      <c r="S16" s="63">
        <v>60.55</v>
      </c>
      <c r="T16" s="90" t="s">
        <v>90</v>
      </c>
      <c r="U16" s="90" t="s">
        <v>90</v>
      </c>
      <c r="V16" s="63">
        <v>71</v>
      </c>
      <c r="W16" s="63">
        <v>70.74</v>
      </c>
      <c r="X16" s="90" t="s">
        <v>90</v>
      </c>
      <c r="Y16" s="90" t="s">
        <v>90</v>
      </c>
      <c r="Z16" s="228">
        <f t="shared" si="1"/>
        <v>138</v>
      </c>
      <c r="AA16" s="215">
        <f t="shared" si="2"/>
        <v>131.29</v>
      </c>
      <c r="AB16" s="216">
        <f t="shared" si="3"/>
        <v>1686</v>
      </c>
      <c r="AC16" s="216">
        <f t="shared" si="3"/>
        <v>1601.21</v>
      </c>
      <c r="AD16" s="108">
        <v>3424337.95</v>
      </c>
      <c r="AE16" s="90" t="s">
        <v>90</v>
      </c>
      <c r="AF16" s="90" t="s">
        <v>90</v>
      </c>
      <c r="AG16" s="98">
        <v>25959.15</v>
      </c>
      <c r="AH16" s="98">
        <v>22323.16</v>
      </c>
      <c r="AI16" s="98">
        <v>283518.99</v>
      </c>
      <c r="AJ16" s="218">
        <f t="shared" si="4"/>
        <v>3756139.25</v>
      </c>
      <c r="AK16" s="108">
        <v>896122.5</v>
      </c>
      <c r="AL16" s="90" t="s">
        <v>90</v>
      </c>
      <c r="AM16" s="218">
        <f t="shared" si="5"/>
        <v>896122.5</v>
      </c>
      <c r="AN16" s="218">
        <f t="shared" si="6"/>
        <v>4652261.75</v>
      </c>
      <c r="AO16" s="258"/>
    </row>
    <row r="17" spans="1:41" ht="30">
      <c r="A17" s="254" t="s">
        <v>71</v>
      </c>
      <c r="B17" s="254" t="s">
        <v>63</v>
      </c>
      <c r="C17" s="254" t="s">
        <v>48</v>
      </c>
      <c r="D17" s="116">
        <v>21</v>
      </c>
      <c r="E17" s="96">
        <v>19.79</v>
      </c>
      <c r="F17" s="96">
        <v>47</v>
      </c>
      <c r="G17" s="96">
        <v>46.53</v>
      </c>
      <c r="H17" s="96">
        <v>14</v>
      </c>
      <c r="I17" s="96">
        <v>13.6</v>
      </c>
      <c r="J17" s="96">
        <v>6</v>
      </c>
      <c r="K17" s="96">
        <v>6</v>
      </c>
      <c r="L17" s="96">
        <v>1</v>
      </c>
      <c r="M17" s="96">
        <v>1</v>
      </c>
      <c r="N17" s="96">
        <v>1</v>
      </c>
      <c r="O17" s="96">
        <v>0.4</v>
      </c>
      <c r="P17" s="212">
        <f t="shared" si="0"/>
        <v>90</v>
      </c>
      <c r="Q17" s="213">
        <f t="shared" si="0"/>
        <v>87.32</v>
      </c>
      <c r="R17" s="117">
        <v>6</v>
      </c>
      <c r="S17" s="63">
        <v>6</v>
      </c>
      <c r="T17" s="63">
        <v>0</v>
      </c>
      <c r="U17" s="63">
        <v>0</v>
      </c>
      <c r="V17" s="63">
        <v>0</v>
      </c>
      <c r="W17" s="63">
        <v>0</v>
      </c>
      <c r="X17" s="63">
        <v>0</v>
      </c>
      <c r="Y17" s="63">
        <v>0</v>
      </c>
      <c r="Z17" s="228">
        <f t="shared" si="1"/>
        <v>6</v>
      </c>
      <c r="AA17" s="215">
        <f t="shared" si="2"/>
        <v>6</v>
      </c>
      <c r="AB17" s="216">
        <f t="shared" si="3"/>
        <v>96</v>
      </c>
      <c r="AC17" s="216">
        <f t="shared" si="3"/>
        <v>93.32</v>
      </c>
      <c r="AD17" s="108">
        <f>'[1]PFMI Interface'!$M$5+'[1]PFMI Interface'!$S$5+'[1]PFMI Interface'!$Z$5+'[1]PFMI Interface'!$AA$5</f>
        <v>200415.24000000014</v>
      </c>
      <c r="AE17" s="98">
        <f>'[1]PFMI Interface'!$O$5+'[1]PFMI Interface'!$P$5+'[1]PFMI Interface'!$AD$5+'[1]PFMI Interface'!$AH$5+'[1]PFMI Interface'!$N$5</f>
        <v>18173.683199999974</v>
      </c>
      <c r="AF17" s="90" t="s">
        <v>90</v>
      </c>
      <c r="AG17" s="98">
        <f>'[1]PFMI Interface'!$AB$5</f>
        <v>4367.42</v>
      </c>
      <c r="AH17" s="98">
        <f>'[1]PFMI Interface'!$AG$5</f>
        <v>35011.57999999999</v>
      </c>
      <c r="AI17" s="98">
        <f>'[1]PFMI Interface'!$AF$5</f>
        <v>19259.27999999999</v>
      </c>
      <c r="AJ17" s="218">
        <f t="shared" si="4"/>
        <v>277227.2032000001</v>
      </c>
      <c r="AK17" s="108">
        <f>4251.74+6544.8+12598.46</f>
        <v>23395</v>
      </c>
      <c r="AL17" s="90" t="s">
        <v>90</v>
      </c>
      <c r="AM17" s="218">
        <f t="shared" si="5"/>
        <v>23395</v>
      </c>
      <c r="AN17" s="218">
        <f t="shared" si="6"/>
        <v>300622.2032000001</v>
      </c>
      <c r="AO17" s="258"/>
    </row>
    <row r="18" spans="1:41" ht="153">
      <c r="A18" s="90" t="s">
        <v>72</v>
      </c>
      <c r="B18" s="254" t="s">
        <v>63</v>
      </c>
      <c r="C18" s="254" t="s">
        <v>48</v>
      </c>
      <c r="D18" s="254">
        <v>0</v>
      </c>
      <c r="E18" s="255">
        <v>0</v>
      </c>
      <c r="F18" s="254">
        <v>0</v>
      </c>
      <c r="G18" s="255">
        <v>0</v>
      </c>
      <c r="H18" s="254">
        <v>0</v>
      </c>
      <c r="I18" s="255">
        <v>0</v>
      </c>
      <c r="J18" s="254">
        <v>0</v>
      </c>
      <c r="K18" s="255">
        <v>0</v>
      </c>
      <c r="L18" s="254">
        <v>0</v>
      </c>
      <c r="M18" s="255">
        <v>0</v>
      </c>
      <c r="N18" s="254">
        <v>19506</v>
      </c>
      <c r="O18" s="254">
        <v>17655</v>
      </c>
      <c r="P18" s="212">
        <f t="shared" si="0"/>
        <v>19506</v>
      </c>
      <c r="Q18" s="213">
        <f t="shared" si="0"/>
        <v>17655</v>
      </c>
      <c r="R18" s="254">
        <v>1492</v>
      </c>
      <c r="S18" s="254">
        <v>1492</v>
      </c>
      <c r="T18" s="254">
        <v>9</v>
      </c>
      <c r="U18" s="254">
        <v>9</v>
      </c>
      <c r="V18" s="90" t="s">
        <v>90</v>
      </c>
      <c r="W18" s="90" t="s">
        <v>90</v>
      </c>
      <c r="X18" s="90" t="s">
        <v>90</v>
      </c>
      <c r="Y18" s="90" t="s">
        <v>90</v>
      </c>
      <c r="Z18" s="228">
        <f t="shared" si="1"/>
        <v>1501</v>
      </c>
      <c r="AA18" s="215">
        <f t="shared" si="2"/>
        <v>1501</v>
      </c>
      <c r="AB18" s="216">
        <f t="shared" si="3"/>
        <v>21007</v>
      </c>
      <c r="AC18" s="216">
        <f t="shared" si="3"/>
        <v>19156</v>
      </c>
      <c r="AD18" s="90" t="s">
        <v>90</v>
      </c>
      <c r="AE18" s="90" t="s">
        <v>90</v>
      </c>
      <c r="AF18" s="90" t="s">
        <v>90</v>
      </c>
      <c r="AG18" s="90" t="s">
        <v>90</v>
      </c>
      <c r="AH18" s="90" t="s">
        <v>90</v>
      </c>
      <c r="AI18" s="90" t="s">
        <v>90</v>
      </c>
      <c r="AJ18" s="218">
        <f t="shared" si="4"/>
        <v>0</v>
      </c>
      <c r="AK18" s="90" t="s">
        <v>90</v>
      </c>
      <c r="AL18" s="90" t="s">
        <v>90</v>
      </c>
      <c r="AM18" s="218">
        <f t="shared" si="5"/>
        <v>0</v>
      </c>
      <c r="AN18" s="218">
        <f t="shared" si="6"/>
        <v>0</v>
      </c>
      <c r="AO18" s="263" t="s">
        <v>147</v>
      </c>
    </row>
    <row r="19" spans="1:41" ht="30">
      <c r="A19" s="254" t="s">
        <v>74</v>
      </c>
      <c r="B19" s="254" t="s">
        <v>63</v>
      </c>
      <c r="C19" s="254" t="s">
        <v>48</v>
      </c>
      <c r="D19" s="115">
        <v>16</v>
      </c>
      <c r="E19" s="90">
        <v>14.85</v>
      </c>
      <c r="F19" s="90">
        <v>39</v>
      </c>
      <c r="G19" s="90">
        <v>37.93</v>
      </c>
      <c r="H19" s="90">
        <v>109</v>
      </c>
      <c r="I19" s="90">
        <v>106.94</v>
      </c>
      <c r="J19" s="90">
        <v>33</v>
      </c>
      <c r="K19" s="90">
        <v>32.9</v>
      </c>
      <c r="L19" s="90">
        <v>4</v>
      </c>
      <c r="M19" s="90">
        <v>3.6</v>
      </c>
      <c r="N19" s="90">
        <v>9</v>
      </c>
      <c r="O19" s="90">
        <v>9</v>
      </c>
      <c r="P19" s="212">
        <f t="shared" si="0"/>
        <v>210</v>
      </c>
      <c r="Q19" s="213">
        <f t="shared" si="0"/>
        <v>205.22</v>
      </c>
      <c r="R19" s="114">
        <v>12</v>
      </c>
      <c r="S19" s="68">
        <v>12</v>
      </c>
      <c r="T19" s="90" t="s">
        <v>90</v>
      </c>
      <c r="U19" s="90" t="s">
        <v>90</v>
      </c>
      <c r="V19" s="68">
        <v>4</v>
      </c>
      <c r="W19" s="68">
        <v>3.8</v>
      </c>
      <c r="X19" s="90" t="s">
        <v>90</v>
      </c>
      <c r="Y19" s="90" t="s">
        <v>90</v>
      </c>
      <c r="Z19" s="228">
        <f t="shared" si="1"/>
        <v>16</v>
      </c>
      <c r="AA19" s="215">
        <f t="shared" si="2"/>
        <v>15.8</v>
      </c>
      <c r="AB19" s="216">
        <f t="shared" si="3"/>
        <v>226</v>
      </c>
      <c r="AC19" s="216">
        <f t="shared" si="3"/>
        <v>221.02</v>
      </c>
      <c r="AD19" s="104">
        <v>556993.79</v>
      </c>
      <c r="AE19" s="48">
        <v>61678.02</v>
      </c>
      <c r="AF19" s="90" t="s">
        <v>90</v>
      </c>
      <c r="AG19" s="48">
        <v>7126.07</v>
      </c>
      <c r="AH19" s="48">
        <v>120265.11</v>
      </c>
      <c r="AI19" s="48">
        <v>55626.06</v>
      </c>
      <c r="AJ19" s="218">
        <f t="shared" si="4"/>
        <v>801689.05</v>
      </c>
      <c r="AK19" s="104">
        <v>23596.99</v>
      </c>
      <c r="AL19" s="90" t="s">
        <v>90</v>
      </c>
      <c r="AM19" s="218">
        <f t="shared" si="5"/>
        <v>23596.99</v>
      </c>
      <c r="AN19" s="218">
        <f t="shared" si="6"/>
        <v>825286.04</v>
      </c>
      <c r="AO19" s="258"/>
    </row>
    <row r="20" spans="1:41" ht="15">
      <c r="A20" s="3"/>
      <c r="B20" s="3"/>
      <c r="C20" s="3"/>
      <c r="D20" s="12"/>
      <c r="E20" s="12"/>
      <c r="F20" s="12"/>
      <c r="G20" s="12"/>
      <c r="H20" s="12"/>
      <c r="I20" s="12"/>
      <c r="J20" s="12"/>
      <c r="K20" s="12"/>
      <c r="L20" s="12"/>
      <c r="M20" s="12"/>
      <c r="N20" s="12"/>
      <c r="O20" s="12"/>
      <c r="P20" s="13"/>
      <c r="Q20" s="13"/>
      <c r="R20" s="12"/>
      <c r="S20" s="12"/>
      <c r="T20" s="12"/>
      <c r="U20" s="12"/>
      <c r="V20" s="12"/>
      <c r="W20" s="12"/>
      <c r="X20" s="12"/>
      <c r="Y20" s="12"/>
      <c r="Z20" s="14"/>
      <c r="AA20" s="14"/>
      <c r="AB20" s="4"/>
      <c r="AC20" s="4"/>
      <c r="AD20" s="6"/>
      <c r="AE20" s="6"/>
      <c r="AF20" s="6"/>
      <c r="AG20" s="6"/>
      <c r="AH20" s="6"/>
      <c r="AI20" s="6"/>
      <c r="AJ20" s="7"/>
      <c r="AK20" s="5"/>
      <c r="AL20" s="5"/>
      <c r="AM20" s="8"/>
      <c r="AN20" s="8"/>
      <c r="AO20" s="9"/>
    </row>
    <row r="21" spans="1:41" ht="15">
      <c r="A21" s="3"/>
      <c r="B21" s="3"/>
      <c r="C21" s="3"/>
      <c r="D21" s="12"/>
      <c r="E21" s="12"/>
      <c r="F21" s="12"/>
      <c r="G21" s="12"/>
      <c r="H21" s="12"/>
      <c r="I21" s="12"/>
      <c r="J21" s="12"/>
      <c r="K21" s="12"/>
      <c r="L21" s="12"/>
      <c r="M21" s="12"/>
      <c r="N21" s="12"/>
      <c r="O21" s="12"/>
      <c r="P21" s="13"/>
      <c r="Q21" s="13"/>
      <c r="R21" s="12"/>
      <c r="S21" s="12"/>
      <c r="T21" s="12"/>
      <c r="U21" s="12"/>
      <c r="V21" s="12"/>
      <c r="W21" s="12"/>
      <c r="X21" s="12"/>
      <c r="Y21" s="12"/>
      <c r="Z21" s="14"/>
      <c r="AA21" s="14"/>
      <c r="AB21" s="4"/>
      <c r="AC21" s="4"/>
      <c r="AD21" s="6"/>
      <c r="AE21" s="6"/>
      <c r="AF21" s="6"/>
      <c r="AG21" s="6"/>
      <c r="AH21" s="6"/>
      <c r="AI21" s="6"/>
      <c r="AJ21" s="7"/>
      <c r="AK21" s="5"/>
      <c r="AL21" s="5"/>
      <c r="AM21" s="8"/>
      <c r="AN21" s="8"/>
      <c r="AO21" s="9"/>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row r="101" spans="1:41" ht="15">
      <c r="A101" s="3"/>
      <c r="B101" s="3"/>
      <c r="C101" s="3"/>
      <c r="D101" s="12"/>
      <c r="E101" s="12"/>
      <c r="F101" s="12"/>
      <c r="G101" s="12"/>
      <c r="H101" s="12"/>
      <c r="I101" s="12"/>
      <c r="J101" s="12"/>
      <c r="K101" s="12"/>
      <c r="L101" s="12"/>
      <c r="M101" s="12"/>
      <c r="N101" s="12"/>
      <c r="O101" s="12"/>
      <c r="P101" s="13"/>
      <c r="Q101" s="13"/>
      <c r="R101" s="12"/>
      <c r="S101" s="12"/>
      <c r="T101" s="12"/>
      <c r="U101" s="12"/>
      <c r="V101" s="12"/>
      <c r="W101" s="12"/>
      <c r="X101" s="12"/>
      <c r="Y101" s="12"/>
      <c r="Z101" s="14"/>
      <c r="AA101" s="14"/>
      <c r="AB101" s="4"/>
      <c r="AC101" s="4"/>
      <c r="AD101" s="6"/>
      <c r="AE101" s="6"/>
      <c r="AF101" s="6"/>
      <c r="AG101" s="6"/>
      <c r="AH101" s="6"/>
      <c r="AI101" s="6"/>
      <c r="AJ101" s="7"/>
      <c r="AK101" s="5"/>
      <c r="AL101" s="5"/>
      <c r="AM101" s="8"/>
      <c r="AN101" s="8"/>
      <c r="AO101" s="9"/>
    </row>
    <row r="102" spans="1:41" ht="15">
      <c r="A102" s="3"/>
      <c r="B102" s="3"/>
      <c r="C102" s="3"/>
      <c r="D102" s="12"/>
      <c r="E102" s="12"/>
      <c r="F102" s="12"/>
      <c r="G102" s="12"/>
      <c r="H102" s="12"/>
      <c r="I102" s="12"/>
      <c r="J102" s="12"/>
      <c r="K102" s="12"/>
      <c r="L102" s="12"/>
      <c r="M102" s="12"/>
      <c r="N102" s="12"/>
      <c r="O102" s="12"/>
      <c r="P102" s="13"/>
      <c r="Q102" s="13"/>
      <c r="R102" s="12"/>
      <c r="S102" s="12"/>
      <c r="T102" s="12"/>
      <c r="U102" s="12"/>
      <c r="V102" s="12"/>
      <c r="W102" s="12"/>
      <c r="X102" s="12"/>
      <c r="Y102" s="12"/>
      <c r="Z102" s="14"/>
      <c r="AA102" s="14"/>
      <c r="AB102" s="4"/>
      <c r="AC102" s="4"/>
      <c r="AD102" s="6"/>
      <c r="AE102" s="6"/>
      <c r="AF102" s="6"/>
      <c r="AG102" s="6"/>
      <c r="AH102" s="6"/>
      <c r="AI102" s="6"/>
      <c r="AJ102" s="7"/>
      <c r="AK102" s="5"/>
      <c r="AL102" s="5"/>
      <c r="AM102" s="8"/>
      <c r="AN102" s="8"/>
      <c r="AO102" s="9"/>
    </row>
    <row r="103" spans="1:41" ht="15">
      <c r="A103" s="3"/>
      <c r="B103" s="3"/>
      <c r="C103" s="3"/>
      <c r="D103" s="12"/>
      <c r="E103" s="12"/>
      <c r="F103" s="12"/>
      <c r="G103" s="12"/>
      <c r="H103" s="12"/>
      <c r="I103" s="12"/>
      <c r="J103" s="12"/>
      <c r="K103" s="12"/>
      <c r="L103" s="12"/>
      <c r="M103" s="12"/>
      <c r="N103" s="12"/>
      <c r="O103" s="12"/>
      <c r="P103" s="13"/>
      <c r="Q103" s="13"/>
      <c r="R103" s="12"/>
      <c r="S103" s="12"/>
      <c r="T103" s="12"/>
      <c r="U103" s="12"/>
      <c r="V103" s="12"/>
      <c r="W103" s="12"/>
      <c r="X103" s="12"/>
      <c r="Y103" s="12"/>
      <c r="Z103" s="14"/>
      <c r="AA103" s="14"/>
      <c r="AB103" s="4"/>
      <c r="AC103" s="4"/>
      <c r="AD103" s="6"/>
      <c r="AE103" s="6"/>
      <c r="AF103" s="6"/>
      <c r="AG103" s="6"/>
      <c r="AH103" s="6"/>
      <c r="AI103" s="6"/>
      <c r="AJ103" s="7"/>
      <c r="AK103" s="5"/>
      <c r="AL103" s="5"/>
      <c r="AM103" s="8"/>
      <c r="AN103" s="8"/>
      <c r="AO103" s="9"/>
    </row>
  </sheetData>
  <mergeCells count="32">
    <mergeCell ref="A4:A6"/>
    <mergeCell ref="B4:B6"/>
    <mergeCell ref="C4:C6"/>
    <mergeCell ref="D4:Q4"/>
    <mergeCell ref="R4:AA4"/>
    <mergeCell ref="AB4:AC5"/>
    <mergeCell ref="AD4:AJ4"/>
    <mergeCell ref="AK4:AM4"/>
    <mergeCell ref="T5:U5"/>
    <mergeCell ref="V5:W5"/>
    <mergeCell ref="X5:Y5"/>
    <mergeCell ref="Z5:AA5"/>
    <mergeCell ref="AD5:AD6"/>
    <mergeCell ref="AE5:AE6"/>
    <mergeCell ref="AN4:AN6"/>
    <mergeCell ref="AO4:AO6"/>
    <mergeCell ref="D5:E5"/>
    <mergeCell ref="F5:G5"/>
    <mergeCell ref="H5:I5"/>
    <mergeCell ref="J5:K5"/>
    <mergeCell ref="L5:M5"/>
    <mergeCell ref="N5:O5"/>
    <mergeCell ref="P5:Q5"/>
    <mergeCell ref="R5:S5"/>
    <mergeCell ref="AF5:AF6"/>
    <mergeCell ref="AG5:AG6"/>
    <mergeCell ref="AH5:AH6"/>
    <mergeCell ref="AI5:AI6"/>
    <mergeCell ref="AJ5:AJ6"/>
    <mergeCell ref="AK5:AK6"/>
    <mergeCell ref="AL5:AL6"/>
    <mergeCell ref="AM5:AM6"/>
  </mergeCells>
  <conditionalFormatting sqref="B7:B103">
    <cfRule type="expression" priority="1" dxfId="22" stopIfTrue="1">
      <formula>AND(NOT(ISBLANK($A7)),ISBLANK(B7))</formula>
    </cfRule>
  </conditionalFormatting>
  <conditionalFormatting sqref="C7:C103">
    <cfRule type="expression" priority="2" dxfId="22" stopIfTrue="1">
      <formula>AND(NOT(ISBLANK(A7)),ISBLANK(C7))</formula>
    </cfRule>
  </conditionalFormatting>
  <conditionalFormatting sqref="R20:R103 V20:V103 Y8:Y9 R18 X14:Y16 R11 W8 R7:R8 N7:N103 D7:D103 F7:F103 H7:H103 J7:J103 L7:L103 V7:V8 T7:T9 U8:U9 X7:X9 X11:X12 Y12 R14:S15 W12:W15 V11:V15 T11:T16 U12:U16 V18:Y18 T18:T103 U19 X19:X103 Y19 AD18:AI18 AF19 AE15:AE16 AF15:AF17 AG15 AF12:AF13 AG12 AF9 AK14:AL15 AL12:AL13 AL16:AL17 AK18:AL18 AL19">
    <cfRule type="expression" priority="3" dxfId="22" stopIfTrue="1">
      <formula>AND(NOT(ISBLANK(E7)),ISBLANK(D7))</formula>
    </cfRule>
  </conditionalFormatting>
  <conditionalFormatting sqref="Y20:Y103 S20:S103 U20:U103 W20:W103 U11 Y7 W11 K7:K103 M7:M103 I7:I103 Y11 S18 U18 G7:G103 E7:E103 S11 W7 U7 S7:S8 O7:O103">
    <cfRule type="expression" priority="4" dxfId="22" stopIfTrue="1">
      <formula>AND(NOT(ISBLANK(D7)),ISBLANK(E7))</formula>
    </cfRule>
  </conditionalFormatting>
  <dataValidations count="7">
    <dataValidation type="custom" allowBlank="1" showInputMessage="1" showErrorMessage="1" errorTitle="Headcount" error="The value entered in the headcount field must be greater than or equal to the value entered in the FTE field." sqref="L7:L103 N7:N103 D7:D103 F7:F103 V20:V103 X19:X103 R20:R103 H7:H103 J7:J103 T18:T103 X16:Y16 V11 U12:Y12 X9:Y9 R18 R11 U8:Y8 V7 R7:R8 T7:T9 X7 U9 X11 T11:T13 U13:W13 R14:Y15 T16:U16 V18:Y18 U19 Y19 AD18:AI18 AF19 AF15:AF17 AE15:AE16 AG15 AF12:AF13 AG12 AF9 AK14:AL15 AL12:AL13 AL16:AL19 AK18">
      <formula1>L7&gt;=M7</formula1>
    </dataValidation>
    <dataValidation type="custom" allowBlank="1" showInputMessage="1" showErrorMessage="1" errorTitle="FTE" error="The value entered in the FTE field must be less than or equal to the value entered in the headcount field." sqref="K7:K103 O7:O103 U20:U103 Y20:Y103 E7:E103 W20:W103 M7:M103 S20:S103 G7:G103 I7:I103 U18 S11 S18 W11 U11 Y7 Y11 W7 S7:S8 U7">
      <formula1>K7&lt;=J7</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19">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19">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19">
      <formula1>INDIRECT("Main_Department")</formula1>
    </dataValidation>
    <dataValidation type="decimal" operator="greaterThan" allowBlank="1" showInputMessage="1" showErrorMessage="1" sqref="AF10:AF11 AL20:AL103 AK19:AK103 AK16:AK17 AK7:AK13 AL7:AL11 AF7:AF8 AG7:AG11 AG13:AG14 AF14 AE7:AE14 AG16:AG17 AH7:AI17 AE17 AD7:AD17 AG19:AI103 AD19:AE103 AF20:AF103">
      <formula1>0</formula1>
    </dataValidation>
    <dataValidation operator="lessThanOrEqual" allowBlank="1" showInputMessage="1" showErrorMessage="1" error="FTE cannot be greater than Headcount&#10;" sqref="AO4 AO13:AO14 AO7:AO10 P7:Q103 AB6:AC103 AO16:AO103 AB4 P5 A4:C4 R4"/>
  </dataValidations>
  <printOptions/>
  <pageMargins left="0.75" right="0.75" top="1" bottom="1" header="0.5" footer="0.5"/>
  <pageSetup orientation="portrait" paperSize="9"/>
  <legacyDrawing r:id="rId2"/>
</worksheet>
</file>

<file path=xl/worksheets/sheet19.xml><?xml version="1.0" encoding="utf-8"?>
<worksheet xmlns="http://schemas.openxmlformats.org/spreadsheetml/2006/main" xmlns:r="http://schemas.openxmlformats.org/officeDocument/2006/relationships">
  <dimension ref="A1:AO103"/>
  <sheetViews>
    <sheetView zoomScale="75" zoomScaleNormal="75" workbookViewId="0" topLeftCell="A1">
      <selection activeCell="A1" sqref="A1:A3"/>
    </sheetView>
  </sheetViews>
  <sheetFormatPr defaultColWidth="8.88671875" defaultRowHeight="15"/>
  <cols>
    <col min="1" max="1" width="23.5546875" style="2" customWidth="1"/>
    <col min="2" max="3" width="14.99609375" style="2" customWidth="1"/>
    <col min="4"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39.10546875" style="2" customWidth="1"/>
    <col min="42" max="16384" width="8.88671875" style="2" customWidth="1"/>
  </cols>
  <sheetData>
    <row r="1" ht="15">
      <c r="A1" s="2" t="s">
        <v>92</v>
      </c>
    </row>
    <row r="2" ht="15">
      <c r="A2" s="24" t="s">
        <v>93</v>
      </c>
    </row>
    <row r="3" ht="15">
      <c r="A3" s="24" t="s">
        <v>94</v>
      </c>
    </row>
    <row r="4" spans="1:41" s="1" customFormat="1" ht="15" customHeight="1">
      <c r="A4" s="387" t="s">
        <v>26</v>
      </c>
      <c r="B4" s="387" t="s">
        <v>15</v>
      </c>
      <c r="C4" s="387" t="s">
        <v>14</v>
      </c>
      <c r="D4" s="390" t="s">
        <v>22</v>
      </c>
      <c r="E4" s="391"/>
      <c r="F4" s="391"/>
      <c r="G4" s="391"/>
      <c r="H4" s="391"/>
      <c r="I4" s="391"/>
      <c r="J4" s="391"/>
      <c r="K4" s="391"/>
      <c r="L4" s="391"/>
      <c r="M4" s="391"/>
      <c r="N4" s="391"/>
      <c r="O4" s="391"/>
      <c r="P4" s="391"/>
      <c r="Q4" s="392"/>
      <c r="R4" s="393" t="s">
        <v>29</v>
      </c>
      <c r="S4" s="394"/>
      <c r="T4" s="394"/>
      <c r="U4" s="394"/>
      <c r="V4" s="394"/>
      <c r="W4" s="394"/>
      <c r="X4" s="394"/>
      <c r="Y4" s="394"/>
      <c r="Z4" s="394"/>
      <c r="AA4" s="395"/>
      <c r="AB4" s="396" t="s">
        <v>39</v>
      </c>
      <c r="AC4" s="397"/>
      <c r="AD4" s="400" t="s">
        <v>25</v>
      </c>
      <c r="AE4" s="401"/>
      <c r="AF4" s="401"/>
      <c r="AG4" s="401"/>
      <c r="AH4" s="401"/>
      <c r="AI4" s="401"/>
      <c r="AJ4" s="402"/>
      <c r="AK4" s="385" t="s">
        <v>46</v>
      </c>
      <c r="AL4" s="385"/>
      <c r="AM4" s="385"/>
      <c r="AN4" s="404" t="s">
        <v>38</v>
      </c>
      <c r="AO4" s="387" t="s">
        <v>47</v>
      </c>
    </row>
    <row r="5" spans="1:41" s="1" customFormat="1" ht="53.25" customHeight="1">
      <c r="A5" s="388"/>
      <c r="B5" s="388"/>
      <c r="C5" s="388"/>
      <c r="D5" s="408" t="s">
        <v>42</v>
      </c>
      <c r="E5" s="409"/>
      <c r="F5" s="408" t="s">
        <v>43</v>
      </c>
      <c r="G5" s="409"/>
      <c r="H5" s="408" t="s">
        <v>44</v>
      </c>
      <c r="I5" s="409"/>
      <c r="J5" s="408" t="s">
        <v>20</v>
      </c>
      <c r="K5" s="409"/>
      <c r="L5" s="408" t="s">
        <v>45</v>
      </c>
      <c r="M5" s="409"/>
      <c r="N5" s="408" t="s">
        <v>19</v>
      </c>
      <c r="O5" s="409"/>
      <c r="P5" s="390" t="s">
        <v>23</v>
      </c>
      <c r="Q5" s="392"/>
      <c r="R5" s="390" t="s">
        <v>27</v>
      </c>
      <c r="S5" s="395"/>
      <c r="T5" s="393" t="s">
        <v>17</v>
      </c>
      <c r="U5" s="395"/>
      <c r="V5" s="393" t="s">
        <v>18</v>
      </c>
      <c r="W5" s="395"/>
      <c r="X5" s="393" t="s">
        <v>28</v>
      </c>
      <c r="Y5" s="395"/>
      <c r="Z5" s="390" t="s">
        <v>24</v>
      </c>
      <c r="AA5" s="392"/>
      <c r="AB5" s="398"/>
      <c r="AC5" s="399"/>
      <c r="AD5" s="387" t="s">
        <v>31</v>
      </c>
      <c r="AE5" s="387" t="s">
        <v>30</v>
      </c>
      <c r="AF5" s="387" t="s">
        <v>32</v>
      </c>
      <c r="AG5" s="387" t="s">
        <v>33</v>
      </c>
      <c r="AH5" s="387" t="s">
        <v>34</v>
      </c>
      <c r="AI5" s="387" t="s">
        <v>35</v>
      </c>
      <c r="AJ5" s="383" t="s">
        <v>37</v>
      </c>
      <c r="AK5" s="387" t="s">
        <v>40</v>
      </c>
      <c r="AL5" s="387" t="s">
        <v>41</v>
      </c>
      <c r="AM5" s="387" t="s">
        <v>36</v>
      </c>
      <c r="AN5" s="405"/>
      <c r="AO5" s="407"/>
    </row>
    <row r="6" spans="1:41" ht="31.5">
      <c r="A6" s="410"/>
      <c r="B6" s="410"/>
      <c r="C6" s="410"/>
      <c r="D6" s="36" t="s">
        <v>16</v>
      </c>
      <c r="E6" s="36" t="s">
        <v>21</v>
      </c>
      <c r="F6" s="36" t="s">
        <v>16</v>
      </c>
      <c r="G6" s="36" t="s">
        <v>21</v>
      </c>
      <c r="H6" s="36" t="s">
        <v>16</v>
      </c>
      <c r="I6" s="36" t="s">
        <v>21</v>
      </c>
      <c r="J6" s="36" t="s">
        <v>16</v>
      </c>
      <c r="K6" s="36" t="s">
        <v>21</v>
      </c>
      <c r="L6" s="36" t="s">
        <v>16</v>
      </c>
      <c r="M6" s="36" t="s">
        <v>21</v>
      </c>
      <c r="N6" s="36" t="s">
        <v>16</v>
      </c>
      <c r="O6" s="36" t="s">
        <v>21</v>
      </c>
      <c r="P6" s="36" t="s">
        <v>16</v>
      </c>
      <c r="Q6" s="36" t="s">
        <v>21</v>
      </c>
      <c r="R6" s="37" t="s">
        <v>16</v>
      </c>
      <c r="S6" s="37" t="s">
        <v>21</v>
      </c>
      <c r="T6" s="37" t="s">
        <v>16</v>
      </c>
      <c r="U6" s="37" t="s">
        <v>21</v>
      </c>
      <c r="V6" s="37" t="s">
        <v>16</v>
      </c>
      <c r="W6" s="37" t="s">
        <v>21</v>
      </c>
      <c r="X6" s="37" t="s">
        <v>16</v>
      </c>
      <c r="Y6" s="37" t="s">
        <v>21</v>
      </c>
      <c r="Z6" s="37" t="s">
        <v>16</v>
      </c>
      <c r="AA6" s="37" t="s">
        <v>21</v>
      </c>
      <c r="AB6" s="38" t="s">
        <v>16</v>
      </c>
      <c r="AC6" s="39" t="s">
        <v>21</v>
      </c>
      <c r="AD6" s="411"/>
      <c r="AE6" s="411"/>
      <c r="AF6" s="411"/>
      <c r="AG6" s="411"/>
      <c r="AH6" s="411"/>
      <c r="AI6" s="411"/>
      <c r="AJ6" s="413"/>
      <c r="AK6" s="411"/>
      <c r="AL6" s="411"/>
      <c r="AM6" s="411"/>
      <c r="AN6" s="412"/>
      <c r="AO6" s="411"/>
    </row>
    <row r="7" spans="1:41" s="35" customFormat="1" ht="15">
      <c r="A7" s="40" t="s">
        <v>48</v>
      </c>
      <c r="B7" s="40" t="s">
        <v>49</v>
      </c>
      <c r="C7" s="40" t="s">
        <v>48</v>
      </c>
      <c r="D7" s="41">
        <v>1028</v>
      </c>
      <c r="E7" s="42">
        <v>951.65</v>
      </c>
      <c r="F7" s="57">
        <v>799</v>
      </c>
      <c r="G7" s="54">
        <v>767.95</v>
      </c>
      <c r="H7" s="52">
        <v>1527</v>
      </c>
      <c r="I7" s="54">
        <v>1478.13</v>
      </c>
      <c r="J7" s="52">
        <v>769</v>
      </c>
      <c r="K7" s="54">
        <v>746.52</v>
      </c>
      <c r="L7" s="52">
        <v>120</v>
      </c>
      <c r="M7" s="54">
        <v>117.55</v>
      </c>
      <c r="N7" s="58">
        <v>0</v>
      </c>
      <c r="O7" s="54">
        <v>0</v>
      </c>
      <c r="P7" s="83">
        <f>SUM(D7,F7,H7,J7,L7,N7)</f>
        <v>4243</v>
      </c>
      <c r="Q7" s="56">
        <f>SUM(E7,G7,I7,K7,M7,O7)</f>
        <v>4061.8</v>
      </c>
      <c r="R7" s="52">
        <v>192</v>
      </c>
      <c r="S7" s="54">
        <v>190.61</v>
      </c>
      <c r="T7" s="52">
        <v>14</v>
      </c>
      <c r="U7" s="54">
        <v>14</v>
      </c>
      <c r="V7" s="52">
        <v>178</v>
      </c>
      <c r="W7" s="54">
        <v>176.8</v>
      </c>
      <c r="X7" s="58">
        <v>17</v>
      </c>
      <c r="Y7" s="54">
        <v>16.11</v>
      </c>
      <c r="Z7" s="59">
        <f>SUM(R7,T7,V7,X7,)</f>
        <v>401</v>
      </c>
      <c r="AA7" s="60">
        <f>SUM(S7,U7,W7,Y7)</f>
        <v>397.52000000000004</v>
      </c>
      <c r="AB7" s="55">
        <f>P7+Z7</f>
        <v>4644</v>
      </c>
      <c r="AC7" s="56">
        <f>Q7+AA7</f>
        <v>4459.320000000001</v>
      </c>
      <c r="AD7" s="50">
        <v>14724180.22999999</v>
      </c>
      <c r="AE7" s="50">
        <v>275024.17</v>
      </c>
      <c r="AF7" s="49">
        <v>19351.61</v>
      </c>
      <c r="AG7" s="50">
        <v>173384.28</v>
      </c>
      <c r="AH7" s="50">
        <v>2574429.39</v>
      </c>
      <c r="AI7" s="50">
        <v>1140310.3</v>
      </c>
      <c r="AJ7" s="51">
        <f>SUM(AD7:AI7)</f>
        <v>18906679.97999999</v>
      </c>
      <c r="AK7" s="50">
        <v>2568336.14</v>
      </c>
      <c r="AL7" s="50">
        <v>741793.45</v>
      </c>
      <c r="AM7" s="51">
        <f>SUM(AK7:AL7)</f>
        <v>3310129.59</v>
      </c>
      <c r="AN7" s="51">
        <f>SUM(AM7,AJ7)</f>
        <v>22216809.56999999</v>
      </c>
      <c r="AO7" s="87"/>
    </row>
    <row r="8" spans="1:41" s="35" customFormat="1" ht="15">
      <c r="A8" s="53" t="s">
        <v>76</v>
      </c>
      <c r="B8" s="53" t="s">
        <v>51</v>
      </c>
      <c r="C8" s="53" t="s">
        <v>48</v>
      </c>
      <c r="D8" s="52">
        <v>13966</v>
      </c>
      <c r="E8" s="54">
        <v>12225.42</v>
      </c>
      <c r="F8" s="52">
        <v>3255</v>
      </c>
      <c r="G8" s="54">
        <v>3042.38</v>
      </c>
      <c r="H8" s="52">
        <v>2737</v>
      </c>
      <c r="I8" s="54">
        <v>2552.38</v>
      </c>
      <c r="J8" s="52">
        <v>661</v>
      </c>
      <c r="K8" s="54">
        <v>645.24</v>
      </c>
      <c r="L8" s="52">
        <v>34</v>
      </c>
      <c r="M8" s="54">
        <v>33.92</v>
      </c>
      <c r="N8" s="58">
        <v>0</v>
      </c>
      <c r="O8" s="54">
        <v>0</v>
      </c>
      <c r="P8" s="55">
        <f aca="true" t="shared" si="0" ref="P8:Q20">SUM(D8,F8,H8,J8,L8,N8)</f>
        <v>20653</v>
      </c>
      <c r="Q8" s="56">
        <f t="shared" si="0"/>
        <v>18499.34</v>
      </c>
      <c r="R8" s="52" t="s">
        <v>90</v>
      </c>
      <c r="S8" s="54">
        <v>461.9</v>
      </c>
      <c r="T8" s="52">
        <v>0</v>
      </c>
      <c r="U8" s="54">
        <v>0</v>
      </c>
      <c r="V8" s="52">
        <v>0</v>
      </c>
      <c r="W8" s="54">
        <v>0</v>
      </c>
      <c r="X8" s="58">
        <v>0</v>
      </c>
      <c r="Y8" s="54">
        <v>0</v>
      </c>
      <c r="Z8" s="59">
        <f aca="true" t="shared" si="1" ref="Z8:Z20">SUM(R8,T8,V8,X8,)</f>
        <v>0</v>
      </c>
      <c r="AA8" s="60">
        <f aca="true" t="shared" si="2" ref="AA8:AA20">SUM(S8,U8,W8,Y8)</f>
        <v>461.9</v>
      </c>
      <c r="AB8" s="55">
        <f aca="true" t="shared" si="3" ref="AB8:AC20">P8+Z8</f>
        <v>20653</v>
      </c>
      <c r="AC8" s="56">
        <f t="shared" si="3"/>
        <v>18961.24</v>
      </c>
      <c r="AD8" s="61">
        <v>35549040.78</v>
      </c>
      <c r="AE8" s="61">
        <v>867481.2</v>
      </c>
      <c r="AF8" s="61">
        <v>782053.95</v>
      </c>
      <c r="AG8" s="61">
        <v>931154.22</v>
      </c>
      <c r="AH8" s="61">
        <v>6228807.9799999995</v>
      </c>
      <c r="AI8" s="61">
        <v>1469174.85</v>
      </c>
      <c r="AJ8" s="51">
        <f aca="true" t="shared" si="4" ref="AJ8:AJ20">SUM(AD8:AI8)</f>
        <v>45827712.980000004</v>
      </c>
      <c r="AK8" s="61">
        <v>1319056.19</v>
      </c>
      <c r="AL8" s="52">
        <v>0</v>
      </c>
      <c r="AM8" s="51">
        <f aca="true" t="shared" si="5" ref="AM8:AM20">SUM(AK8:AL8)</f>
        <v>1319056.19</v>
      </c>
      <c r="AN8" s="51">
        <f aca="true" t="shared" si="6" ref="AN8:AN20">SUM(AM8,AJ8)</f>
        <v>47146769.17</v>
      </c>
      <c r="AO8" s="87"/>
    </row>
    <row r="9" spans="1:41" s="35" customFormat="1" ht="15">
      <c r="A9" s="53" t="s">
        <v>55</v>
      </c>
      <c r="B9" s="53" t="s">
        <v>51</v>
      </c>
      <c r="C9" s="53" t="s">
        <v>48</v>
      </c>
      <c r="D9" s="63">
        <v>182</v>
      </c>
      <c r="E9" s="63">
        <v>163.03</v>
      </c>
      <c r="F9" s="63">
        <v>127</v>
      </c>
      <c r="G9" s="84">
        <v>122.46</v>
      </c>
      <c r="H9" s="63">
        <v>253</v>
      </c>
      <c r="I9" s="84">
        <v>244.86</v>
      </c>
      <c r="J9" s="63">
        <v>63</v>
      </c>
      <c r="K9" s="84">
        <v>62.16</v>
      </c>
      <c r="L9" s="63">
        <v>6</v>
      </c>
      <c r="M9" s="84">
        <v>6</v>
      </c>
      <c r="N9" s="85">
        <v>0</v>
      </c>
      <c r="O9" s="84">
        <v>0</v>
      </c>
      <c r="P9" s="55">
        <f t="shared" si="0"/>
        <v>631</v>
      </c>
      <c r="Q9" s="56">
        <f t="shared" si="0"/>
        <v>598.51</v>
      </c>
      <c r="R9" s="63">
        <v>19</v>
      </c>
      <c r="S9" s="84">
        <v>17.6</v>
      </c>
      <c r="T9" s="63">
        <v>0</v>
      </c>
      <c r="U9" s="84">
        <v>0</v>
      </c>
      <c r="V9" s="63">
        <v>15</v>
      </c>
      <c r="W9" s="84">
        <v>14.3</v>
      </c>
      <c r="X9" s="63">
        <v>0</v>
      </c>
      <c r="Y9" s="84">
        <v>0</v>
      </c>
      <c r="Z9" s="59">
        <f t="shared" si="1"/>
        <v>34</v>
      </c>
      <c r="AA9" s="60">
        <f t="shared" si="2"/>
        <v>31.900000000000002</v>
      </c>
      <c r="AB9" s="55">
        <f t="shared" si="3"/>
        <v>665</v>
      </c>
      <c r="AC9" s="56">
        <f t="shared" si="3"/>
        <v>630.41</v>
      </c>
      <c r="AD9" s="65">
        <v>1486794.1000000015</v>
      </c>
      <c r="AE9" s="65">
        <v>6422.350000000006</v>
      </c>
      <c r="AF9" s="77">
        <v>168000</v>
      </c>
      <c r="AG9" s="65">
        <v>25964.389999999985</v>
      </c>
      <c r="AH9" s="65">
        <v>278614.86999999965</v>
      </c>
      <c r="AI9" s="65">
        <v>123288.66999999993</v>
      </c>
      <c r="AJ9" s="51">
        <f t="shared" si="4"/>
        <v>2089084.380000001</v>
      </c>
      <c r="AK9" s="65">
        <v>174403.03999999992</v>
      </c>
      <c r="AL9" s="65">
        <v>18942.759999999995</v>
      </c>
      <c r="AM9" s="51">
        <f t="shared" si="5"/>
        <v>193345.79999999993</v>
      </c>
      <c r="AN9" s="51">
        <f t="shared" si="6"/>
        <v>2282430.180000001</v>
      </c>
      <c r="AO9" s="87"/>
    </row>
    <row r="10" spans="1:41" s="35" customFormat="1" ht="45">
      <c r="A10" s="53" t="s">
        <v>56</v>
      </c>
      <c r="B10" s="53" t="s">
        <v>51</v>
      </c>
      <c r="C10" s="53" t="s">
        <v>48</v>
      </c>
      <c r="D10" s="52">
        <v>34537</v>
      </c>
      <c r="E10" s="54">
        <v>32983.50527472503</v>
      </c>
      <c r="F10" s="52">
        <v>6537</v>
      </c>
      <c r="G10" s="54">
        <v>6257.2753756811935</v>
      </c>
      <c r="H10" s="52">
        <v>3819</v>
      </c>
      <c r="I10" s="54">
        <v>3579.0594853926577</v>
      </c>
      <c r="J10" s="52">
        <v>643</v>
      </c>
      <c r="K10" s="54">
        <v>627.5036183328866</v>
      </c>
      <c r="L10" s="52">
        <v>40</v>
      </c>
      <c r="M10" s="54">
        <v>39.8780487804878</v>
      </c>
      <c r="N10" s="58">
        <v>0</v>
      </c>
      <c r="O10" s="54">
        <v>0</v>
      </c>
      <c r="P10" s="55">
        <f t="shared" si="0"/>
        <v>45576</v>
      </c>
      <c r="Q10" s="56">
        <f t="shared" si="0"/>
        <v>43487.22180291226</v>
      </c>
      <c r="R10" s="68">
        <v>267.2</v>
      </c>
      <c r="S10" s="73">
        <v>267.2</v>
      </c>
      <c r="T10" s="68">
        <v>19</v>
      </c>
      <c r="U10" s="73">
        <v>19</v>
      </c>
      <c r="V10" s="68">
        <v>3</v>
      </c>
      <c r="W10" s="73">
        <v>3</v>
      </c>
      <c r="X10" s="68">
        <v>17</v>
      </c>
      <c r="Y10" s="73">
        <v>17</v>
      </c>
      <c r="Z10" s="59">
        <f t="shared" si="1"/>
        <v>306.2</v>
      </c>
      <c r="AA10" s="60">
        <f t="shared" si="2"/>
        <v>306.2</v>
      </c>
      <c r="AB10" s="55">
        <f t="shared" si="3"/>
        <v>45882.2</v>
      </c>
      <c r="AC10" s="56">
        <f t="shared" si="3"/>
        <v>43793.42180291226</v>
      </c>
      <c r="AD10" s="69">
        <v>99736859.94999997</v>
      </c>
      <c r="AE10" s="52">
        <v>0</v>
      </c>
      <c r="AF10" s="52">
        <v>0</v>
      </c>
      <c r="AG10" s="69">
        <v>5301550.53</v>
      </c>
      <c r="AH10" s="69">
        <v>18335163.189999998</v>
      </c>
      <c r="AI10" s="69">
        <v>7785614.160000002</v>
      </c>
      <c r="AJ10" s="51">
        <f t="shared" si="4"/>
        <v>131159187.82999997</v>
      </c>
      <c r="AK10" s="69">
        <v>3602411.24</v>
      </c>
      <c r="AL10" s="69">
        <v>615044.94</v>
      </c>
      <c r="AM10" s="51">
        <f t="shared" si="5"/>
        <v>4217456.18</v>
      </c>
      <c r="AN10" s="51">
        <f t="shared" si="6"/>
        <v>135376644.00999996</v>
      </c>
      <c r="AO10" s="81" t="s">
        <v>103</v>
      </c>
    </row>
    <row r="11" spans="1:41" s="35" customFormat="1" ht="45">
      <c r="A11" s="53" t="s">
        <v>58</v>
      </c>
      <c r="B11" s="53" t="s">
        <v>51</v>
      </c>
      <c r="C11" s="53" t="s">
        <v>48</v>
      </c>
      <c r="D11" s="52">
        <v>303</v>
      </c>
      <c r="E11" s="54">
        <v>284.81</v>
      </c>
      <c r="F11" s="52">
        <v>139</v>
      </c>
      <c r="G11" s="54">
        <v>133.07</v>
      </c>
      <c r="H11" s="52">
        <v>66</v>
      </c>
      <c r="I11" s="54">
        <v>64.57</v>
      </c>
      <c r="J11" s="52">
        <v>11</v>
      </c>
      <c r="K11" s="54">
        <v>10.82</v>
      </c>
      <c r="L11" s="52">
        <v>2</v>
      </c>
      <c r="M11" s="54">
        <v>1.78</v>
      </c>
      <c r="N11" s="58">
        <v>0</v>
      </c>
      <c r="O11" s="54">
        <v>0</v>
      </c>
      <c r="P11" s="55">
        <f t="shared" si="0"/>
        <v>521</v>
      </c>
      <c r="Q11" s="56">
        <f t="shared" si="0"/>
        <v>495.04999999999995</v>
      </c>
      <c r="R11" s="71">
        <v>146</v>
      </c>
      <c r="S11" s="73">
        <v>102.36</v>
      </c>
      <c r="T11" s="71">
        <v>0</v>
      </c>
      <c r="U11" s="73">
        <v>0</v>
      </c>
      <c r="V11" s="71">
        <v>0</v>
      </c>
      <c r="W11" s="73">
        <v>0</v>
      </c>
      <c r="X11" s="71">
        <v>1</v>
      </c>
      <c r="Y11" s="73">
        <v>1</v>
      </c>
      <c r="Z11" s="59">
        <f t="shared" si="1"/>
        <v>147</v>
      </c>
      <c r="AA11" s="60">
        <f t="shared" si="2"/>
        <v>103.36</v>
      </c>
      <c r="AB11" s="55">
        <f t="shared" si="3"/>
        <v>668</v>
      </c>
      <c r="AC11" s="56">
        <f t="shared" si="3"/>
        <v>598.41</v>
      </c>
      <c r="AD11" s="69">
        <v>738175.94</v>
      </c>
      <c r="AE11" s="69">
        <v>16760.74</v>
      </c>
      <c r="AF11" s="69">
        <v>1400</v>
      </c>
      <c r="AG11" s="69">
        <v>23761.01</v>
      </c>
      <c r="AH11" s="69">
        <v>106680.61</v>
      </c>
      <c r="AI11" s="69">
        <v>52430.13</v>
      </c>
      <c r="AJ11" s="51">
        <f t="shared" si="4"/>
        <v>939208.4299999999</v>
      </c>
      <c r="AK11" s="69">
        <v>171560.33</v>
      </c>
      <c r="AL11" s="69">
        <v>-20028.58</v>
      </c>
      <c r="AM11" s="51">
        <f t="shared" si="5"/>
        <v>151531.75</v>
      </c>
      <c r="AN11" s="51">
        <f t="shared" si="6"/>
        <v>1090740.18</v>
      </c>
      <c r="AO11" s="80" t="s">
        <v>104</v>
      </c>
    </row>
    <row r="12" spans="1:41" s="35" customFormat="1" ht="30">
      <c r="A12" s="53" t="s">
        <v>60</v>
      </c>
      <c r="B12" s="53" t="s">
        <v>53</v>
      </c>
      <c r="C12" s="53" t="s">
        <v>48</v>
      </c>
      <c r="D12" s="68">
        <v>4</v>
      </c>
      <c r="E12" s="73">
        <v>4</v>
      </c>
      <c r="F12" s="68">
        <v>17</v>
      </c>
      <c r="G12" s="73">
        <v>17</v>
      </c>
      <c r="H12" s="68">
        <v>19</v>
      </c>
      <c r="I12" s="73">
        <v>18.8</v>
      </c>
      <c r="J12" s="68">
        <v>5</v>
      </c>
      <c r="K12" s="73">
        <v>4.47</v>
      </c>
      <c r="L12" s="73">
        <v>2</v>
      </c>
      <c r="M12" s="73">
        <v>2</v>
      </c>
      <c r="N12" s="71">
        <v>0</v>
      </c>
      <c r="O12" s="73">
        <v>0</v>
      </c>
      <c r="P12" s="55">
        <f t="shared" si="0"/>
        <v>47</v>
      </c>
      <c r="Q12" s="56">
        <f t="shared" si="0"/>
        <v>46.269999999999996</v>
      </c>
      <c r="R12" s="68">
        <v>0</v>
      </c>
      <c r="S12" s="73">
        <v>0</v>
      </c>
      <c r="T12" s="68">
        <v>0</v>
      </c>
      <c r="U12" s="73">
        <v>0</v>
      </c>
      <c r="V12" s="68">
        <v>0</v>
      </c>
      <c r="W12" s="73">
        <v>0</v>
      </c>
      <c r="X12" s="68">
        <v>0</v>
      </c>
      <c r="Y12" s="73">
        <v>0</v>
      </c>
      <c r="Z12" s="59">
        <f t="shared" si="1"/>
        <v>0</v>
      </c>
      <c r="AA12" s="60">
        <f t="shared" si="2"/>
        <v>0</v>
      </c>
      <c r="AB12" s="55">
        <f t="shared" si="3"/>
        <v>47</v>
      </c>
      <c r="AC12" s="56">
        <f t="shared" si="3"/>
        <v>46.269999999999996</v>
      </c>
      <c r="AD12" s="72">
        <v>136456.46</v>
      </c>
      <c r="AE12" s="68">
        <v>481.52</v>
      </c>
      <c r="AF12" s="86">
        <v>500</v>
      </c>
      <c r="AG12" s="72">
        <v>598.67</v>
      </c>
      <c r="AH12" s="72">
        <v>24326.62</v>
      </c>
      <c r="AI12" s="72">
        <v>11886.89</v>
      </c>
      <c r="AJ12" s="51">
        <f t="shared" si="4"/>
        <v>174250.15999999997</v>
      </c>
      <c r="AK12" s="52">
        <v>0</v>
      </c>
      <c r="AL12" s="52">
        <v>0</v>
      </c>
      <c r="AM12" s="52">
        <v>0</v>
      </c>
      <c r="AN12" s="51">
        <f t="shared" si="6"/>
        <v>174250.15999999997</v>
      </c>
      <c r="AO12" s="81" t="s">
        <v>105</v>
      </c>
    </row>
    <row r="13" spans="1:41" s="35" customFormat="1" ht="90">
      <c r="A13" s="53" t="s">
        <v>62</v>
      </c>
      <c r="B13" s="53" t="s">
        <v>63</v>
      </c>
      <c r="C13" s="53" t="s">
        <v>48</v>
      </c>
      <c r="D13" s="52">
        <v>0</v>
      </c>
      <c r="E13" s="54">
        <v>0</v>
      </c>
      <c r="F13" s="52">
        <v>0</v>
      </c>
      <c r="G13" s="54">
        <v>0</v>
      </c>
      <c r="H13" s="52">
        <v>0</v>
      </c>
      <c r="I13" s="54">
        <v>0</v>
      </c>
      <c r="J13" s="52">
        <v>0</v>
      </c>
      <c r="K13" s="54">
        <v>0</v>
      </c>
      <c r="L13" s="52">
        <v>0</v>
      </c>
      <c r="M13" s="54">
        <v>0</v>
      </c>
      <c r="N13" s="71">
        <v>74</v>
      </c>
      <c r="O13" s="73">
        <v>68.18</v>
      </c>
      <c r="P13" s="55">
        <f t="shared" si="0"/>
        <v>74</v>
      </c>
      <c r="Q13" s="56">
        <f t="shared" si="0"/>
        <v>68.18</v>
      </c>
      <c r="R13" s="68">
        <v>2</v>
      </c>
      <c r="S13" s="73">
        <v>1.81</v>
      </c>
      <c r="T13" s="68">
        <v>0</v>
      </c>
      <c r="U13" s="73">
        <v>0</v>
      </c>
      <c r="V13" s="68">
        <v>0</v>
      </c>
      <c r="W13" s="73">
        <v>0</v>
      </c>
      <c r="X13" s="68">
        <v>0</v>
      </c>
      <c r="Y13" s="73">
        <v>0</v>
      </c>
      <c r="Z13" s="59">
        <f t="shared" si="1"/>
        <v>2</v>
      </c>
      <c r="AA13" s="60">
        <f t="shared" si="2"/>
        <v>1.81</v>
      </c>
      <c r="AB13" s="55">
        <f t="shared" si="3"/>
        <v>76</v>
      </c>
      <c r="AC13" s="56">
        <f t="shared" si="3"/>
        <v>69.99000000000001</v>
      </c>
      <c r="AD13" s="50">
        <v>195307</v>
      </c>
      <c r="AE13" s="50">
        <v>43</v>
      </c>
      <c r="AF13" s="52">
        <v>0</v>
      </c>
      <c r="AG13" s="52">
        <v>0</v>
      </c>
      <c r="AH13" s="50">
        <v>36364</v>
      </c>
      <c r="AI13" s="50">
        <v>16055</v>
      </c>
      <c r="AJ13" s="51">
        <f t="shared" si="4"/>
        <v>247769</v>
      </c>
      <c r="AK13" s="50">
        <v>8084</v>
      </c>
      <c r="AL13" s="52">
        <v>0</v>
      </c>
      <c r="AM13" s="51">
        <f t="shared" si="5"/>
        <v>8084</v>
      </c>
      <c r="AN13" s="51">
        <f t="shared" si="6"/>
        <v>255853</v>
      </c>
      <c r="AO13" s="81" t="s">
        <v>64</v>
      </c>
    </row>
    <row r="14" spans="1:41" s="35" customFormat="1" ht="15">
      <c r="A14" s="53" t="s">
        <v>66</v>
      </c>
      <c r="B14" s="53" t="s">
        <v>63</v>
      </c>
      <c r="C14" s="53" t="s">
        <v>48</v>
      </c>
      <c r="D14" s="52">
        <v>0</v>
      </c>
      <c r="E14" s="54">
        <v>0</v>
      </c>
      <c r="F14" s="52">
        <v>0</v>
      </c>
      <c r="G14" s="54">
        <v>0</v>
      </c>
      <c r="H14" s="52">
        <v>0</v>
      </c>
      <c r="I14" s="54">
        <v>0</v>
      </c>
      <c r="J14" s="52">
        <v>0</v>
      </c>
      <c r="K14" s="54">
        <v>0</v>
      </c>
      <c r="L14" s="52">
        <v>0</v>
      </c>
      <c r="M14" s="54">
        <v>0</v>
      </c>
      <c r="N14" s="71">
        <v>350</v>
      </c>
      <c r="O14" s="73">
        <v>323.84</v>
      </c>
      <c r="P14" s="55">
        <f t="shared" si="0"/>
        <v>350</v>
      </c>
      <c r="Q14" s="56">
        <f t="shared" si="0"/>
        <v>323.84</v>
      </c>
      <c r="R14" s="68">
        <v>15</v>
      </c>
      <c r="S14" s="73">
        <v>14.1</v>
      </c>
      <c r="T14" s="68">
        <v>0</v>
      </c>
      <c r="U14" s="73">
        <v>0</v>
      </c>
      <c r="V14" s="68">
        <v>0</v>
      </c>
      <c r="W14" s="73">
        <v>0</v>
      </c>
      <c r="X14" s="68">
        <v>0</v>
      </c>
      <c r="Y14" s="73">
        <v>0</v>
      </c>
      <c r="Z14" s="59">
        <f t="shared" si="1"/>
        <v>15</v>
      </c>
      <c r="AA14" s="60">
        <f t="shared" si="2"/>
        <v>14.1</v>
      </c>
      <c r="AB14" s="55">
        <f t="shared" si="3"/>
        <v>365</v>
      </c>
      <c r="AC14" s="56">
        <f t="shared" si="3"/>
        <v>337.94</v>
      </c>
      <c r="AD14" s="69">
        <f>745644.78-AE14-AF14-AG14</f>
        <v>726798.01</v>
      </c>
      <c r="AE14" s="69">
        <f>455.01+402.64</f>
        <v>857.65</v>
      </c>
      <c r="AF14" s="52">
        <v>0</v>
      </c>
      <c r="AG14" s="69">
        <f>17447.52+541.6</f>
        <v>17989.12</v>
      </c>
      <c r="AH14" s="69">
        <f>187034.93-980-AI14</f>
        <v>133325.45</v>
      </c>
      <c r="AI14" s="69">
        <f>54302.92-1573.44</f>
        <v>52729.479999999996</v>
      </c>
      <c r="AJ14" s="51">
        <f t="shared" si="4"/>
        <v>931699.71</v>
      </c>
      <c r="AK14" s="68">
        <v>55717.62</v>
      </c>
      <c r="AL14" s="52">
        <v>0</v>
      </c>
      <c r="AM14" s="51">
        <f t="shared" si="5"/>
        <v>55717.62</v>
      </c>
      <c r="AN14" s="51">
        <f t="shared" si="6"/>
        <v>987417.33</v>
      </c>
      <c r="AO14" s="80"/>
    </row>
    <row r="15" spans="1:41" s="35" customFormat="1" ht="15">
      <c r="A15" s="53" t="s">
        <v>67</v>
      </c>
      <c r="B15" s="53" t="s">
        <v>63</v>
      </c>
      <c r="C15" s="53" t="s">
        <v>48</v>
      </c>
      <c r="D15" s="68">
        <v>11</v>
      </c>
      <c r="E15" s="68">
        <v>11</v>
      </c>
      <c r="F15" s="68">
        <v>20</v>
      </c>
      <c r="G15" s="73">
        <v>19</v>
      </c>
      <c r="H15" s="68">
        <v>24</v>
      </c>
      <c r="I15" s="73">
        <v>23.94</v>
      </c>
      <c r="J15" s="68">
        <v>15</v>
      </c>
      <c r="K15" s="73">
        <v>14.2</v>
      </c>
      <c r="L15" s="68">
        <v>3</v>
      </c>
      <c r="M15" s="73">
        <v>3</v>
      </c>
      <c r="N15" s="71">
        <v>1</v>
      </c>
      <c r="O15" s="73">
        <v>0.6</v>
      </c>
      <c r="P15" s="55">
        <f t="shared" si="0"/>
        <v>74</v>
      </c>
      <c r="Q15" s="56">
        <f t="shared" si="0"/>
        <v>71.74</v>
      </c>
      <c r="R15" s="52">
        <v>0</v>
      </c>
      <c r="S15" s="54">
        <v>0</v>
      </c>
      <c r="T15" s="52">
        <v>0</v>
      </c>
      <c r="U15" s="54">
        <v>0</v>
      </c>
      <c r="V15" s="52">
        <v>0</v>
      </c>
      <c r="W15" s="54">
        <v>0</v>
      </c>
      <c r="X15" s="58">
        <v>0</v>
      </c>
      <c r="Y15" s="54">
        <v>0</v>
      </c>
      <c r="Z15" s="59">
        <f t="shared" si="1"/>
        <v>0</v>
      </c>
      <c r="AA15" s="60">
        <f t="shared" si="2"/>
        <v>0</v>
      </c>
      <c r="AB15" s="55">
        <f t="shared" si="3"/>
        <v>74</v>
      </c>
      <c r="AC15" s="56">
        <f t="shared" si="3"/>
        <v>71.74</v>
      </c>
      <c r="AD15" s="50">
        <v>205841</v>
      </c>
      <c r="AE15" s="50">
        <v>2952</v>
      </c>
      <c r="AF15" s="52">
        <v>0</v>
      </c>
      <c r="AG15" s="52">
        <v>0</v>
      </c>
      <c r="AH15" s="50">
        <v>41296</v>
      </c>
      <c r="AI15" s="50">
        <v>22246</v>
      </c>
      <c r="AJ15" s="51">
        <f t="shared" si="4"/>
        <v>272335</v>
      </c>
      <c r="AK15" s="52">
        <v>0</v>
      </c>
      <c r="AL15" s="52">
        <v>0</v>
      </c>
      <c r="AM15" s="52">
        <v>0</v>
      </c>
      <c r="AN15" s="51">
        <f t="shared" si="6"/>
        <v>272335</v>
      </c>
      <c r="AO15" s="80"/>
    </row>
    <row r="16" spans="1:41" s="35" customFormat="1" ht="45">
      <c r="A16" s="53" t="s">
        <v>68</v>
      </c>
      <c r="B16" s="53" t="s">
        <v>63</v>
      </c>
      <c r="C16" s="53" t="s">
        <v>48</v>
      </c>
      <c r="D16" s="52">
        <v>0</v>
      </c>
      <c r="E16" s="54">
        <v>0</v>
      </c>
      <c r="F16" s="52">
        <v>0</v>
      </c>
      <c r="G16" s="54">
        <v>0</v>
      </c>
      <c r="H16" s="52">
        <v>0</v>
      </c>
      <c r="I16" s="54">
        <v>0</v>
      </c>
      <c r="J16" s="52">
        <v>0</v>
      </c>
      <c r="K16" s="54">
        <v>0</v>
      </c>
      <c r="L16" s="52">
        <v>0</v>
      </c>
      <c r="M16" s="54">
        <v>0</v>
      </c>
      <c r="N16" s="58">
        <v>31</v>
      </c>
      <c r="O16" s="54">
        <v>30.6</v>
      </c>
      <c r="P16" s="55">
        <f t="shared" si="0"/>
        <v>31</v>
      </c>
      <c r="Q16" s="56">
        <f t="shared" si="0"/>
        <v>30.6</v>
      </c>
      <c r="R16" s="52">
        <v>0</v>
      </c>
      <c r="S16" s="54">
        <v>0</v>
      </c>
      <c r="T16" s="52">
        <v>0</v>
      </c>
      <c r="U16" s="54">
        <v>0</v>
      </c>
      <c r="V16" s="52">
        <v>0</v>
      </c>
      <c r="W16" s="54">
        <v>0</v>
      </c>
      <c r="X16" s="58">
        <v>0</v>
      </c>
      <c r="Y16" s="54">
        <v>0</v>
      </c>
      <c r="Z16" s="59">
        <f t="shared" si="1"/>
        <v>0</v>
      </c>
      <c r="AA16" s="60">
        <f t="shared" si="2"/>
        <v>0</v>
      </c>
      <c r="AB16" s="55">
        <f t="shared" si="3"/>
        <v>31</v>
      </c>
      <c r="AC16" s="56">
        <f t="shared" si="3"/>
        <v>30.6</v>
      </c>
      <c r="AD16" s="77">
        <v>130062.76</v>
      </c>
      <c r="AE16" s="52">
        <v>0</v>
      </c>
      <c r="AF16" s="52">
        <v>0</v>
      </c>
      <c r="AG16" s="52">
        <v>0</v>
      </c>
      <c r="AH16" s="77">
        <v>28730.68</v>
      </c>
      <c r="AI16" s="77">
        <v>18359.68</v>
      </c>
      <c r="AJ16" s="51">
        <f t="shared" si="4"/>
        <v>177153.12</v>
      </c>
      <c r="AK16" s="52">
        <v>0</v>
      </c>
      <c r="AL16" s="52">
        <v>0</v>
      </c>
      <c r="AM16" s="52">
        <v>0</v>
      </c>
      <c r="AN16" s="51">
        <f t="shared" si="6"/>
        <v>177153.12</v>
      </c>
      <c r="AO16" s="82" t="s">
        <v>69</v>
      </c>
    </row>
    <row r="17" spans="1:41" s="35" customFormat="1" ht="15">
      <c r="A17" s="53" t="s">
        <v>70</v>
      </c>
      <c r="B17" s="53" t="s">
        <v>63</v>
      </c>
      <c r="C17" s="53" t="s">
        <v>48</v>
      </c>
      <c r="D17" s="63">
        <v>793</v>
      </c>
      <c r="E17" s="63">
        <v>747.3</v>
      </c>
      <c r="F17" s="63">
        <v>257</v>
      </c>
      <c r="G17" s="84">
        <v>247.28</v>
      </c>
      <c r="H17" s="63">
        <v>384</v>
      </c>
      <c r="I17" s="84">
        <v>367.24</v>
      </c>
      <c r="J17" s="63">
        <v>99</v>
      </c>
      <c r="K17" s="84">
        <v>97.67</v>
      </c>
      <c r="L17" s="63">
        <v>16</v>
      </c>
      <c r="M17" s="84">
        <v>10.2</v>
      </c>
      <c r="N17" s="85">
        <v>0</v>
      </c>
      <c r="O17" s="84">
        <v>0</v>
      </c>
      <c r="P17" s="55">
        <f t="shared" si="0"/>
        <v>1549</v>
      </c>
      <c r="Q17" s="56">
        <f t="shared" si="0"/>
        <v>1469.69</v>
      </c>
      <c r="R17" s="63">
        <v>85</v>
      </c>
      <c r="S17" s="84">
        <v>79.85</v>
      </c>
      <c r="T17" s="63">
        <v>0</v>
      </c>
      <c r="U17" s="84">
        <v>0</v>
      </c>
      <c r="V17" s="63">
        <v>12</v>
      </c>
      <c r="W17" s="84">
        <v>12</v>
      </c>
      <c r="X17" s="63">
        <v>0</v>
      </c>
      <c r="Y17" s="84">
        <v>0</v>
      </c>
      <c r="Z17" s="59">
        <f t="shared" si="1"/>
        <v>97</v>
      </c>
      <c r="AA17" s="60">
        <f t="shared" si="2"/>
        <v>91.85</v>
      </c>
      <c r="AB17" s="55">
        <f t="shared" si="3"/>
        <v>1646</v>
      </c>
      <c r="AC17" s="56">
        <f t="shared" si="3"/>
        <v>1561.54</v>
      </c>
      <c r="AD17" s="77">
        <v>3625224.76</v>
      </c>
      <c r="AE17" s="52">
        <v>0</v>
      </c>
      <c r="AF17" s="52">
        <v>0</v>
      </c>
      <c r="AG17" s="77">
        <f>200573.16+35709.06</f>
        <v>236282.22</v>
      </c>
      <c r="AH17" s="77">
        <v>22435.46</v>
      </c>
      <c r="AI17" s="77">
        <f>273905.26+30021.76</f>
        <v>303927.02</v>
      </c>
      <c r="AJ17" s="51">
        <f t="shared" si="4"/>
        <v>4187869.46</v>
      </c>
      <c r="AK17" s="77">
        <v>490344.51</v>
      </c>
      <c r="AL17" s="52">
        <v>0</v>
      </c>
      <c r="AM17" s="51">
        <f t="shared" si="5"/>
        <v>490344.51</v>
      </c>
      <c r="AN17" s="51">
        <f t="shared" si="6"/>
        <v>4678213.97</v>
      </c>
      <c r="AO17" s="80"/>
    </row>
    <row r="18" spans="1:41" s="35" customFormat="1" ht="15">
      <c r="A18" s="53" t="s">
        <v>71</v>
      </c>
      <c r="B18" s="53" t="s">
        <v>63</v>
      </c>
      <c r="C18" s="53" t="s">
        <v>48</v>
      </c>
      <c r="D18" s="68">
        <v>23</v>
      </c>
      <c r="E18" s="63">
        <v>22.43</v>
      </c>
      <c r="F18" s="63">
        <v>47</v>
      </c>
      <c r="G18" s="84">
        <v>46.53</v>
      </c>
      <c r="H18" s="63">
        <v>15</v>
      </c>
      <c r="I18" s="84">
        <v>14.6</v>
      </c>
      <c r="J18" s="63">
        <v>6</v>
      </c>
      <c r="K18" s="84">
        <v>6</v>
      </c>
      <c r="L18" s="63">
        <v>0</v>
      </c>
      <c r="M18" s="84">
        <v>0</v>
      </c>
      <c r="N18" s="85">
        <v>1</v>
      </c>
      <c r="O18" s="84">
        <v>0.4</v>
      </c>
      <c r="P18" s="55">
        <f t="shared" si="0"/>
        <v>92</v>
      </c>
      <c r="Q18" s="56">
        <f t="shared" si="0"/>
        <v>89.96000000000001</v>
      </c>
      <c r="R18" s="68">
        <v>1</v>
      </c>
      <c r="S18" s="84">
        <v>1</v>
      </c>
      <c r="T18" s="52">
        <v>0</v>
      </c>
      <c r="U18" s="54">
        <v>0</v>
      </c>
      <c r="V18" s="52">
        <v>0</v>
      </c>
      <c r="W18" s="54">
        <v>0</v>
      </c>
      <c r="X18" s="58">
        <v>0</v>
      </c>
      <c r="Y18" s="54">
        <v>0</v>
      </c>
      <c r="Z18" s="59">
        <f t="shared" si="1"/>
        <v>1</v>
      </c>
      <c r="AA18" s="60">
        <f t="shared" si="2"/>
        <v>1</v>
      </c>
      <c r="AB18" s="55">
        <f t="shared" si="3"/>
        <v>93</v>
      </c>
      <c r="AC18" s="56">
        <f t="shared" si="3"/>
        <v>90.96000000000001</v>
      </c>
      <c r="AD18" s="78">
        <f>189231.93+2768.43-453.76</f>
        <v>191546.59999999998</v>
      </c>
      <c r="AE18" s="78">
        <f>152.07+21381.17-848.97+342-96.74-50+171.52-2171.64</f>
        <v>18879.409999999996</v>
      </c>
      <c r="AF18" s="78">
        <v>0</v>
      </c>
      <c r="AG18" s="78">
        <f>4254.42</f>
        <v>4254.42</v>
      </c>
      <c r="AH18" s="78">
        <f>36127.52</f>
        <v>36127.52</v>
      </c>
      <c r="AI18" s="78">
        <f>17981.87+1053.3</f>
        <v>19035.17</v>
      </c>
      <c r="AJ18" s="51">
        <f t="shared" si="4"/>
        <v>269843.12</v>
      </c>
      <c r="AK18" s="78">
        <f>1711.59+6861.16+14032.6</f>
        <v>22605.35</v>
      </c>
      <c r="AL18" s="52">
        <v>0</v>
      </c>
      <c r="AM18" s="51">
        <f t="shared" si="5"/>
        <v>22605.35</v>
      </c>
      <c r="AN18" s="51">
        <f t="shared" si="6"/>
        <v>292448.47</v>
      </c>
      <c r="AO18" s="80"/>
    </row>
    <row r="19" spans="1:41" s="35" customFormat="1" ht="300">
      <c r="A19" s="53" t="s">
        <v>72</v>
      </c>
      <c r="B19" s="53" t="s">
        <v>63</v>
      </c>
      <c r="C19" s="53" t="s">
        <v>48</v>
      </c>
      <c r="D19" s="52">
        <v>0</v>
      </c>
      <c r="E19" s="52">
        <v>0</v>
      </c>
      <c r="F19" s="52">
        <v>0</v>
      </c>
      <c r="G19" s="52">
        <v>0</v>
      </c>
      <c r="H19" s="52">
        <v>0</v>
      </c>
      <c r="I19" s="52">
        <v>0</v>
      </c>
      <c r="J19" s="52">
        <v>0</v>
      </c>
      <c r="K19" s="52">
        <v>0</v>
      </c>
      <c r="L19" s="52">
        <v>0</v>
      </c>
      <c r="M19" s="52">
        <v>0</v>
      </c>
      <c r="N19" s="58">
        <v>19616</v>
      </c>
      <c r="O19" s="54">
        <v>17749</v>
      </c>
      <c r="P19" s="55">
        <f t="shared" si="0"/>
        <v>19616</v>
      </c>
      <c r="Q19" s="56">
        <f t="shared" si="0"/>
        <v>17749</v>
      </c>
      <c r="R19" s="52">
        <v>1490</v>
      </c>
      <c r="S19" s="54">
        <v>1490</v>
      </c>
      <c r="T19" s="52">
        <v>9</v>
      </c>
      <c r="U19" s="54">
        <v>9</v>
      </c>
      <c r="V19" s="52">
        <v>0</v>
      </c>
      <c r="W19" s="52">
        <v>0</v>
      </c>
      <c r="X19" s="52">
        <v>0</v>
      </c>
      <c r="Y19" s="52">
        <v>0</v>
      </c>
      <c r="Z19" s="59">
        <f t="shared" si="1"/>
        <v>1499</v>
      </c>
      <c r="AA19" s="60">
        <f t="shared" si="2"/>
        <v>1499</v>
      </c>
      <c r="AB19" s="55">
        <f t="shared" si="3"/>
        <v>21115</v>
      </c>
      <c r="AC19" s="56">
        <f t="shared" si="3"/>
        <v>19248</v>
      </c>
      <c r="AD19" s="52" t="s">
        <v>90</v>
      </c>
      <c r="AE19" s="52" t="s">
        <v>90</v>
      </c>
      <c r="AF19" s="52" t="s">
        <v>90</v>
      </c>
      <c r="AG19" s="52" t="s">
        <v>90</v>
      </c>
      <c r="AH19" s="52" t="s">
        <v>90</v>
      </c>
      <c r="AI19" s="52" t="s">
        <v>90</v>
      </c>
      <c r="AJ19" s="52" t="s">
        <v>90</v>
      </c>
      <c r="AK19" s="52" t="s">
        <v>90</v>
      </c>
      <c r="AL19" s="52" t="s">
        <v>90</v>
      </c>
      <c r="AM19" s="52" t="s">
        <v>90</v>
      </c>
      <c r="AN19" s="52" t="s">
        <v>90</v>
      </c>
      <c r="AO19" s="80" t="s">
        <v>106</v>
      </c>
    </row>
    <row r="20" spans="1:41" s="35" customFormat="1" ht="15">
      <c r="A20" s="53" t="s">
        <v>74</v>
      </c>
      <c r="B20" s="53" t="s">
        <v>63</v>
      </c>
      <c r="C20" s="53" t="s">
        <v>48</v>
      </c>
      <c r="D20" s="68">
        <v>17</v>
      </c>
      <c r="E20" s="68">
        <v>15.45</v>
      </c>
      <c r="F20" s="68">
        <v>38</v>
      </c>
      <c r="G20" s="73">
        <v>36.93</v>
      </c>
      <c r="H20" s="68">
        <v>111</v>
      </c>
      <c r="I20" s="73">
        <v>109.14</v>
      </c>
      <c r="J20" s="68">
        <v>32</v>
      </c>
      <c r="K20" s="73">
        <v>31.9</v>
      </c>
      <c r="L20" s="68">
        <v>4</v>
      </c>
      <c r="M20" s="73">
        <v>3.6</v>
      </c>
      <c r="N20" s="71">
        <v>9</v>
      </c>
      <c r="O20" s="73">
        <v>9</v>
      </c>
      <c r="P20" s="55">
        <f t="shared" si="0"/>
        <v>211</v>
      </c>
      <c r="Q20" s="56">
        <f t="shared" si="0"/>
        <v>206.01999999999998</v>
      </c>
      <c r="R20" s="68">
        <v>11</v>
      </c>
      <c r="S20" s="73">
        <v>11</v>
      </c>
      <c r="T20" s="68">
        <v>0</v>
      </c>
      <c r="U20" s="73">
        <v>0</v>
      </c>
      <c r="V20" s="68">
        <v>6</v>
      </c>
      <c r="W20" s="73">
        <v>5.8</v>
      </c>
      <c r="X20" s="68">
        <v>0</v>
      </c>
      <c r="Y20" s="73">
        <v>0</v>
      </c>
      <c r="Z20" s="59">
        <f t="shared" si="1"/>
        <v>17</v>
      </c>
      <c r="AA20" s="60">
        <f t="shared" si="2"/>
        <v>16.8</v>
      </c>
      <c r="AB20" s="55">
        <f t="shared" si="3"/>
        <v>228</v>
      </c>
      <c r="AC20" s="56">
        <f t="shared" si="3"/>
        <v>222.82</v>
      </c>
      <c r="AD20" s="72">
        <v>519785.54</v>
      </c>
      <c r="AE20" s="72">
        <v>60361.04</v>
      </c>
      <c r="AF20" s="52">
        <v>0</v>
      </c>
      <c r="AG20" s="72">
        <v>9367.4</v>
      </c>
      <c r="AH20" s="72">
        <v>107957.8</v>
      </c>
      <c r="AI20" s="72">
        <v>51074.44</v>
      </c>
      <c r="AJ20" s="51">
        <f t="shared" si="4"/>
        <v>748546.22</v>
      </c>
      <c r="AK20" s="72">
        <v>189691.93</v>
      </c>
      <c r="AL20" s="68">
        <v>0</v>
      </c>
      <c r="AM20" s="51">
        <f t="shared" si="5"/>
        <v>189691.93</v>
      </c>
      <c r="AN20" s="51">
        <f t="shared" si="6"/>
        <v>938238.1499999999</v>
      </c>
      <c r="AO20" s="87"/>
    </row>
    <row r="21" spans="1:41" ht="15">
      <c r="A21" s="3"/>
      <c r="B21" s="3"/>
      <c r="C21" s="3"/>
      <c r="D21" s="12"/>
      <c r="E21" s="12"/>
      <c r="F21" s="12"/>
      <c r="G21" s="12"/>
      <c r="H21" s="12"/>
      <c r="I21" s="12"/>
      <c r="J21" s="12"/>
      <c r="K21" s="12"/>
      <c r="L21" s="12"/>
      <c r="M21" s="12"/>
      <c r="N21" s="12"/>
      <c r="O21" s="12"/>
      <c r="P21" s="13"/>
      <c r="Q21" s="13"/>
      <c r="R21" s="12"/>
      <c r="S21" s="12"/>
      <c r="T21" s="12"/>
      <c r="U21" s="12"/>
      <c r="V21" s="12"/>
      <c r="W21" s="12"/>
      <c r="X21" s="12"/>
      <c r="Y21" s="12"/>
      <c r="Z21" s="14"/>
      <c r="AA21" s="14"/>
      <c r="AB21" s="4"/>
      <c r="AC21" s="4"/>
      <c r="AD21" s="6"/>
      <c r="AE21" s="6"/>
      <c r="AF21" s="6"/>
      <c r="AG21" s="6"/>
      <c r="AH21" s="6"/>
      <c r="AI21" s="6"/>
      <c r="AJ21" s="7"/>
      <c r="AK21" s="5"/>
      <c r="AL21" s="5"/>
      <c r="AM21" s="8"/>
      <c r="AN21" s="8"/>
      <c r="AO21" s="9"/>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row r="101" spans="1:41" ht="15">
      <c r="A101" s="3"/>
      <c r="B101" s="3"/>
      <c r="C101" s="3"/>
      <c r="D101" s="12"/>
      <c r="E101" s="12"/>
      <c r="F101" s="12"/>
      <c r="G101" s="12"/>
      <c r="H101" s="12"/>
      <c r="I101" s="12"/>
      <c r="J101" s="12"/>
      <c r="K101" s="12"/>
      <c r="L101" s="12"/>
      <c r="M101" s="12"/>
      <c r="N101" s="12"/>
      <c r="O101" s="12"/>
      <c r="P101" s="13"/>
      <c r="Q101" s="13"/>
      <c r="R101" s="12"/>
      <c r="S101" s="12"/>
      <c r="T101" s="12"/>
      <c r="U101" s="12"/>
      <c r="V101" s="12"/>
      <c r="W101" s="12"/>
      <c r="X101" s="12"/>
      <c r="Y101" s="12"/>
      <c r="Z101" s="14"/>
      <c r="AA101" s="14"/>
      <c r="AB101" s="4"/>
      <c r="AC101" s="4"/>
      <c r="AD101" s="6"/>
      <c r="AE101" s="6"/>
      <c r="AF101" s="6"/>
      <c r="AG101" s="6"/>
      <c r="AH101" s="6"/>
      <c r="AI101" s="6"/>
      <c r="AJ101" s="7"/>
      <c r="AK101" s="5"/>
      <c r="AL101" s="5"/>
      <c r="AM101" s="8"/>
      <c r="AN101" s="8"/>
      <c r="AO101" s="9"/>
    </row>
    <row r="102" spans="1:41" ht="15">
      <c r="A102" s="3"/>
      <c r="B102" s="3"/>
      <c r="C102" s="3"/>
      <c r="D102" s="12"/>
      <c r="E102" s="12"/>
      <c r="F102" s="12"/>
      <c r="G102" s="12"/>
      <c r="H102" s="12"/>
      <c r="I102" s="12"/>
      <c r="J102" s="12"/>
      <c r="K102" s="12"/>
      <c r="L102" s="12"/>
      <c r="M102" s="12"/>
      <c r="N102" s="12"/>
      <c r="O102" s="12"/>
      <c r="P102" s="13"/>
      <c r="Q102" s="13"/>
      <c r="R102" s="12"/>
      <c r="S102" s="12"/>
      <c r="T102" s="12"/>
      <c r="U102" s="12"/>
      <c r="V102" s="12"/>
      <c r="W102" s="12"/>
      <c r="X102" s="12"/>
      <c r="Y102" s="12"/>
      <c r="Z102" s="14"/>
      <c r="AA102" s="14"/>
      <c r="AB102" s="4"/>
      <c r="AC102" s="4"/>
      <c r="AD102" s="6"/>
      <c r="AE102" s="6"/>
      <c r="AF102" s="6"/>
      <c r="AG102" s="6"/>
      <c r="AH102" s="6"/>
      <c r="AI102" s="6"/>
      <c r="AJ102" s="7"/>
      <c r="AK102" s="5"/>
      <c r="AL102" s="5"/>
      <c r="AM102" s="8"/>
      <c r="AN102" s="8"/>
      <c r="AO102" s="9"/>
    </row>
    <row r="103" spans="1:41" ht="15">
      <c r="A103" s="3"/>
      <c r="B103" s="3"/>
      <c r="C103" s="3"/>
      <c r="D103" s="12"/>
      <c r="E103" s="12"/>
      <c r="F103" s="12"/>
      <c r="G103" s="12"/>
      <c r="H103" s="12"/>
      <c r="I103" s="12"/>
      <c r="J103" s="12"/>
      <c r="K103" s="12"/>
      <c r="L103" s="12"/>
      <c r="M103" s="12"/>
      <c r="N103" s="12"/>
      <c r="O103" s="12"/>
      <c r="P103" s="13"/>
      <c r="Q103" s="13"/>
      <c r="R103" s="12"/>
      <c r="S103" s="12"/>
      <c r="T103" s="12"/>
      <c r="U103" s="12"/>
      <c r="V103" s="12"/>
      <c r="W103" s="12"/>
      <c r="X103" s="12"/>
      <c r="Y103" s="12"/>
      <c r="Z103" s="14"/>
      <c r="AA103" s="14"/>
      <c r="AB103" s="4"/>
      <c r="AC103" s="4"/>
      <c r="AD103" s="6"/>
      <c r="AE103" s="6"/>
      <c r="AF103" s="6"/>
      <c r="AG103" s="6"/>
      <c r="AH103" s="6"/>
      <c r="AI103" s="6"/>
      <c r="AJ103" s="7"/>
      <c r="AK103" s="5"/>
      <c r="AL103" s="5"/>
      <c r="AM103" s="8"/>
      <c r="AN103" s="8"/>
      <c r="AO103" s="9"/>
    </row>
  </sheetData>
  <mergeCells count="32">
    <mergeCell ref="AJ5:AJ6"/>
    <mergeCell ref="AK5:AK6"/>
    <mergeCell ref="AL5:AL6"/>
    <mergeCell ref="AM5:AM6"/>
    <mergeCell ref="AF5:AF6"/>
    <mergeCell ref="AG5:AG6"/>
    <mergeCell ref="AH5:AH6"/>
    <mergeCell ref="AI5:AI6"/>
    <mergeCell ref="AN4:AN6"/>
    <mergeCell ref="AO4:AO6"/>
    <mergeCell ref="D5:E5"/>
    <mergeCell ref="F5:G5"/>
    <mergeCell ref="H5:I5"/>
    <mergeCell ref="J5:K5"/>
    <mergeCell ref="L5:M5"/>
    <mergeCell ref="N5:O5"/>
    <mergeCell ref="P5:Q5"/>
    <mergeCell ref="R5:S5"/>
    <mergeCell ref="R4:AA4"/>
    <mergeCell ref="AB4:AC5"/>
    <mergeCell ref="AD4:AJ4"/>
    <mergeCell ref="AK4:AM4"/>
    <mergeCell ref="T5:U5"/>
    <mergeCell ref="V5:W5"/>
    <mergeCell ref="X5:Y5"/>
    <mergeCell ref="Z5:AA5"/>
    <mergeCell ref="AD5:AD6"/>
    <mergeCell ref="AE5:AE6"/>
    <mergeCell ref="A4:A6"/>
    <mergeCell ref="B4:B6"/>
    <mergeCell ref="C4:C6"/>
    <mergeCell ref="D4:Q4"/>
  </mergeCells>
  <conditionalFormatting sqref="B7:B103">
    <cfRule type="expression" priority="1" dxfId="22" stopIfTrue="1">
      <formula>AND(NOT(ISBLANK($A7)),ISBLANK(B7))</formula>
    </cfRule>
  </conditionalFormatting>
  <conditionalFormatting sqref="C7:C103">
    <cfRule type="expression" priority="2" dxfId="22" stopIfTrue="1">
      <formula>AND(NOT(ISBLANK(A7)),ISBLANK(C7))</formula>
    </cfRule>
  </conditionalFormatting>
  <conditionalFormatting sqref="F21:F103 H21:H103 J21:J103 L21:L103 N21:N103 R21:R103 T21:T103 V21:V103 X21:X103 D21:D103 R11 N7:N8 L7:L8 J7:J8 H7:H8 F7:F8 D7:D8 V7:V8 T7:T8 R7:R8 X7:X8 X11 V11 N10:N11 J16 T11 D16 N16 H16 F16 F10:F11 H10:H11 J10:J11 L10:L11 D10:D11 L16 R19 V15:V16 X15:X16 T15:T16 R15:R16 V18:V19 W19 T18:T19 J13:J14 D13:D14 H13:H14 F13:F14 L13:L14 D19:N19 X18:X19 Y19 AE10:AF10 AE16:AE17 AF13:AF17 AF20 AG13 AG15:AG16 AK15:AK16 AL8 AL13:AL18 AK12:AM12 AM15:AM16 AD19:AN19">
    <cfRule type="expression" priority="3" dxfId="22" stopIfTrue="1">
      <formula>AND(NOT(ISBLANK(E7)),ISBLANK(D7))</formula>
    </cfRule>
  </conditionalFormatting>
  <conditionalFormatting sqref="G21:G103 I21:I103 K21:K103 M21:M103 O21:O103 S21:S103 U21:U103 W21:W103 Y21:Y103 E21:E103 S11 O7:O8 M7:M8 K7:K8 I7:I8 G7:G8 E7:E8 W7:W8 U7:U8 S7:S8 Y7:Y8 Y11 W11 O10:O11 G13:G14 K13:K14 I16 U11 E16 O16 M13:M14 I13:I14 E13:E14 O19 G16 G10:G11 I10:I11 K10:K11 M10:M11 E10:E11 M16 K16 S19 W15:W16 Y15:Y16 U15:U16 S15:S16 U18:U19 W18 Y18">
    <cfRule type="expression" priority="4" dxfId="22" stopIfTrue="1">
      <formula>AND(NOT(ISBLANK(D7)),ISBLANK(E7))</formula>
    </cfRule>
  </conditionalFormatting>
  <dataValidations count="7">
    <dataValidation type="decimal" operator="greaterThan" allowBlank="1" showInputMessage="1" showErrorMessage="1" sqref="AK21:AL103 AD21:AI103 AD7:AI7 AH15:AI15 AK7:AL7 AD15:AE15">
      <formula1>0</formula1>
    </dataValidation>
    <dataValidation operator="lessThanOrEqual" allowBlank="1" showInputMessage="1" showErrorMessage="1" error="FTE cannot be greater than Headcount&#10;" sqref="R104:AN65536 AO4 P7:Q65536 R4 A4:C4 P5 A104:O65536 AB4 AP1:IV65536 AB6:AC103 AO17:AO65536 AO11 AO7:AO9 AO14:AO15"/>
    <dataValidation type="custom" allowBlank="1" showInputMessage="1" showErrorMessage="1" errorTitle="Headcount" error="The value entered in the headcount field must be greater than or equal to the value entered in the FTE field." sqref="H21:H103 J21:J103 L21:L103 N21:N103 T21:T103 V21:V103 X21:X103 R21:R103 D21:D103 F21:F103 D7:D8 N7:N8 L7:L8 J7:J8 H7:H8 F7:F8 R7:R8 X7:X8 V7:V8 T7:T8 R15:R16 T15:T16 H13:H14 N10:N11 D10:D11 F10:F11 L16 F16 N16 D16 J16 X15:X16 V15:V16 H16 H10:H11 J10:J11 L10:L11 T18:T19 V18:V19 W19:Y19 R19 L13:L14 F13:F14 D13:D14 J13:J14 D19:N19 X18 AD19:AN19 AE10:AF10 AF13:AF17 AE16:AE17 AF20 AG13 AG15:AG16 AK12:AM12 AK15:AK16 AL8 AL13:AL18 AM15:AM16">
      <formula1>H21&gt;=I21</formula1>
    </dataValidation>
    <dataValidation type="custom" allowBlank="1" showInputMessage="1" showErrorMessage="1" errorTitle="FTE" error="The value entered in the FTE field must be less than or equal to the value entered in the headcount field." sqref="G21:G103 I21:I103 K21:K103 O21:O103 U21:U103 W21:W103 Y21:Y103 S21:S103 E21:E103 M21:M103 I16 E7:E8 O7:O8 K7:K8 I7:I8 G7:G8 M7:M8 S7:S8 Y7:Y8 W7:W8 U7:U8 S15:S16 U15:U16 G13:G14 O10:O11 E13:E14 E10:E11 M10:M11 M16 O19 K13:K14 O16 E16 I13:I14 M13:M14 K16 Y15:Y16 W15:W16 G16 G10:G11 I10:I11 K10:K11 U18:U19 S19 W18 Y18">
      <formula1>G21&lt;=F21</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20">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20">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20">
      <formula1>INDIRECT("Main_Department")</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O20"/>
  <sheetViews>
    <sheetView workbookViewId="0" topLeftCell="A1">
      <selection activeCell="A7" sqref="A7:AO20"/>
    </sheetView>
  </sheetViews>
  <sheetFormatPr defaultColWidth="8.88671875" defaultRowHeight="15"/>
  <cols>
    <col min="2" max="2" width="10.77734375" style="0" customWidth="1"/>
    <col min="3" max="3" width="10.10546875" style="0" customWidth="1"/>
    <col min="30" max="30" width="13.4453125" style="0" bestFit="1" customWidth="1"/>
    <col min="31" max="31" width="10.88671875" style="0" bestFit="1" customWidth="1"/>
    <col min="32" max="32" width="33.21484375" style="0" bestFit="1" customWidth="1"/>
    <col min="33" max="33" width="12.4453125" style="0" customWidth="1"/>
    <col min="34" max="34" width="14.21484375" style="0" customWidth="1"/>
    <col min="35" max="35" width="13.6640625" style="0" customWidth="1"/>
    <col min="36" max="36" width="14.21484375" style="0" customWidth="1"/>
    <col min="37" max="37" width="12.4453125" style="0" customWidth="1"/>
    <col min="38" max="38" width="15.3359375" style="0" customWidth="1"/>
    <col min="39" max="39" width="15.77734375" style="0" customWidth="1"/>
    <col min="40" max="40" width="14.6640625" style="0" customWidth="1"/>
  </cols>
  <sheetData>
    <row r="1" spans="1:41" ht="15">
      <c r="A1" s="2" t="s">
        <v>92</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row>
    <row r="2" spans="1:41" ht="15">
      <c r="A2" s="24" t="s">
        <v>93</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row>
    <row r="3" spans="1:41" ht="15">
      <c r="A3" s="24" t="s">
        <v>94</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row>
    <row r="4" spans="1:41" ht="15">
      <c r="A4" s="313" t="s">
        <v>26</v>
      </c>
      <c r="B4" s="328" t="s">
        <v>15</v>
      </c>
      <c r="C4" s="328" t="s">
        <v>14</v>
      </c>
      <c r="D4" s="315" t="s">
        <v>22</v>
      </c>
      <c r="E4" s="329"/>
      <c r="F4" s="329"/>
      <c r="G4" s="329"/>
      <c r="H4" s="329"/>
      <c r="I4" s="329"/>
      <c r="J4" s="329"/>
      <c r="K4" s="329"/>
      <c r="L4" s="329"/>
      <c r="M4" s="329"/>
      <c r="N4" s="329"/>
      <c r="O4" s="329"/>
      <c r="P4" s="329"/>
      <c r="Q4" s="316"/>
      <c r="R4" s="303" t="s">
        <v>29</v>
      </c>
      <c r="S4" s="304"/>
      <c r="T4" s="304"/>
      <c r="U4" s="304"/>
      <c r="V4" s="304"/>
      <c r="W4" s="304"/>
      <c r="X4" s="304"/>
      <c r="Y4" s="304"/>
      <c r="Z4" s="304"/>
      <c r="AA4" s="305"/>
      <c r="AB4" s="306" t="s">
        <v>39</v>
      </c>
      <c r="AC4" s="307"/>
      <c r="AD4" s="310" t="s">
        <v>25</v>
      </c>
      <c r="AE4" s="311"/>
      <c r="AF4" s="311"/>
      <c r="AG4" s="311"/>
      <c r="AH4" s="311"/>
      <c r="AI4" s="311"/>
      <c r="AJ4" s="312"/>
      <c r="AK4" s="322" t="s">
        <v>115</v>
      </c>
      <c r="AL4" s="323"/>
      <c r="AM4" s="323"/>
      <c r="AN4" s="318" t="s">
        <v>38</v>
      </c>
      <c r="AO4" s="313" t="s">
        <v>126</v>
      </c>
    </row>
    <row r="5" spans="1:41" ht="15">
      <c r="A5" s="326"/>
      <c r="B5" s="326"/>
      <c r="C5" s="326"/>
      <c r="D5" s="324" t="s">
        <v>116</v>
      </c>
      <c r="E5" s="325"/>
      <c r="F5" s="324" t="s">
        <v>117</v>
      </c>
      <c r="G5" s="325"/>
      <c r="H5" s="324" t="s">
        <v>118</v>
      </c>
      <c r="I5" s="325"/>
      <c r="J5" s="324" t="s">
        <v>20</v>
      </c>
      <c r="K5" s="325"/>
      <c r="L5" s="324" t="s">
        <v>119</v>
      </c>
      <c r="M5" s="325"/>
      <c r="N5" s="324" t="s">
        <v>19</v>
      </c>
      <c r="O5" s="325"/>
      <c r="P5" s="315" t="s">
        <v>23</v>
      </c>
      <c r="Q5" s="316"/>
      <c r="R5" s="315" t="s">
        <v>27</v>
      </c>
      <c r="S5" s="305"/>
      <c r="T5" s="303" t="s">
        <v>17</v>
      </c>
      <c r="U5" s="305"/>
      <c r="V5" s="303" t="s">
        <v>18</v>
      </c>
      <c r="W5" s="305"/>
      <c r="X5" s="303" t="s">
        <v>28</v>
      </c>
      <c r="Y5" s="305"/>
      <c r="Z5" s="315" t="s">
        <v>24</v>
      </c>
      <c r="AA5" s="316"/>
      <c r="AB5" s="308"/>
      <c r="AC5" s="309"/>
      <c r="AD5" s="313" t="s">
        <v>31</v>
      </c>
      <c r="AE5" s="313" t="s">
        <v>30</v>
      </c>
      <c r="AF5" s="313" t="s">
        <v>32</v>
      </c>
      <c r="AG5" s="313" t="s">
        <v>33</v>
      </c>
      <c r="AH5" s="313" t="s">
        <v>34</v>
      </c>
      <c r="AI5" s="313" t="s">
        <v>35</v>
      </c>
      <c r="AJ5" s="317" t="s">
        <v>37</v>
      </c>
      <c r="AK5" s="313" t="s">
        <v>120</v>
      </c>
      <c r="AL5" s="313" t="s">
        <v>121</v>
      </c>
      <c r="AM5" s="313" t="s">
        <v>36</v>
      </c>
      <c r="AN5" s="319"/>
      <c r="AO5" s="321"/>
    </row>
    <row r="6" spans="1:41" ht="60">
      <c r="A6" s="327"/>
      <c r="B6" s="327"/>
      <c r="C6" s="327"/>
      <c r="D6" s="175" t="s">
        <v>16</v>
      </c>
      <c r="E6" s="175" t="s">
        <v>21</v>
      </c>
      <c r="F6" s="175" t="s">
        <v>16</v>
      </c>
      <c r="G6" s="175" t="s">
        <v>21</v>
      </c>
      <c r="H6" s="175" t="s">
        <v>16</v>
      </c>
      <c r="I6" s="175" t="s">
        <v>21</v>
      </c>
      <c r="J6" s="175" t="s">
        <v>16</v>
      </c>
      <c r="K6" s="175" t="s">
        <v>21</v>
      </c>
      <c r="L6" s="175" t="s">
        <v>16</v>
      </c>
      <c r="M6" s="175" t="s">
        <v>21</v>
      </c>
      <c r="N6" s="175" t="s">
        <v>16</v>
      </c>
      <c r="O6" s="175" t="s">
        <v>21</v>
      </c>
      <c r="P6" s="175" t="s">
        <v>16</v>
      </c>
      <c r="Q6" s="175" t="s">
        <v>21</v>
      </c>
      <c r="R6" s="174" t="s">
        <v>16</v>
      </c>
      <c r="S6" s="174" t="s">
        <v>21</v>
      </c>
      <c r="T6" s="174" t="s">
        <v>16</v>
      </c>
      <c r="U6" s="174" t="s">
        <v>21</v>
      </c>
      <c r="V6" s="174" t="s">
        <v>16</v>
      </c>
      <c r="W6" s="174" t="s">
        <v>21</v>
      </c>
      <c r="X6" s="174" t="s">
        <v>16</v>
      </c>
      <c r="Y6" s="174" t="s">
        <v>21</v>
      </c>
      <c r="Z6" s="174" t="s">
        <v>16</v>
      </c>
      <c r="AA6" s="174" t="s">
        <v>21</v>
      </c>
      <c r="AB6" s="177" t="s">
        <v>16</v>
      </c>
      <c r="AC6" s="176" t="s">
        <v>21</v>
      </c>
      <c r="AD6" s="314"/>
      <c r="AE6" s="314"/>
      <c r="AF6" s="314"/>
      <c r="AG6" s="314"/>
      <c r="AH6" s="314"/>
      <c r="AI6" s="314"/>
      <c r="AJ6" s="317"/>
      <c r="AK6" s="314"/>
      <c r="AL6" s="314"/>
      <c r="AM6" s="314"/>
      <c r="AN6" s="320"/>
      <c r="AO6" s="314"/>
    </row>
    <row r="7" spans="1:41" ht="45">
      <c r="A7" s="182" t="s">
        <v>48</v>
      </c>
      <c r="B7" s="183" t="s">
        <v>49</v>
      </c>
      <c r="C7" s="182" t="s">
        <v>48</v>
      </c>
      <c r="D7" s="184">
        <v>968</v>
      </c>
      <c r="E7" s="185">
        <v>905.56</v>
      </c>
      <c r="F7" s="186">
        <v>939</v>
      </c>
      <c r="G7" s="185">
        <v>905.39</v>
      </c>
      <c r="H7" s="186">
        <v>1675</v>
      </c>
      <c r="I7" s="185">
        <v>1631.48</v>
      </c>
      <c r="J7" s="186">
        <v>799</v>
      </c>
      <c r="K7" s="185">
        <v>779.82</v>
      </c>
      <c r="L7" s="186">
        <v>124</v>
      </c>
      <c r="M7" s="185">
        <v>121.56130000000002</v>
      </c>
      <c r="N7" s="183">
        <v>0</v>
      </c>
      <c r="O7" s="187">
        <v>0</v>
      </c>
      <c r="P7" s="188">
        <f>SUM(D7,F7,H7,J7,L7,N7)</f>
        <v>4505</v>
      </c>
      <c r="Q7" s="189">
        <f>SUM(E7,G7,I7,K7,M7,O7)</f>
        <v>4343.8113</v>
      </c>
      <c r="R7" s="183">
        <v>145</v>
      </c>
      <c r="S7" s="183">
        <v>140.05</v>
      </c>
      <c r="T7" s="183">
        <v>2</v>
      </c>
      <c r="U7" s="187">
        <v>2</v>
      </c>
      <c r="V7" s="183">
        <v>229</v>
      </c>
      <c r="W7" s="187">
        <v>229</v>
      </c>
      <c r="X7" s="183">
        <v>0</v>
      </c>
      <c r="Y7" s="187">
        <v>0</v>
      </c>
      <c r="Z7" s="190">
        <f>SUM(R7,T7,V7,X7,)</f>
        <v>376</v>
      </c>
      <c r="AA7" s="203">
        <f>SUM(S7,U7,W7,Y7)</f>
        <v>371.05</v>
      </c>
      <c r="AB7" s="191">
        <f>P7+Z7</f>
        <v>4881</v>
      </c>
      <c r="AC7" s="192">
        <f>Q7+AA7</f>
        <v>4714.8613000000005</v>
      </c>
      <c r="AD7" s="292">
        <v>12336810.54</v>
      </c>
      <c r="AE7" s="293">
        <v>227545.84</v>
      </c>
      <c r="AF7" s="293">
        <v>17980</v>
      </c>
      <c r="AG7" s="293">
        <v>57572.8</v>
      </c>
      <c r="AH7" s="293">
        <v>2557226.45</v>
      </c>
      <c r="AI7" s="293">
        <v>1087812.55</v>
      </c>
      <c r="AJ7" s="294">
        <f>SUM(AD7:AI7)</f>
        <v>16284948.18</v>
      </c>
      <c r="AK7" s="295">
        <v>2482342.04</v>
      </c>
      <c r="AL7" s="295">
        <v>1106803.84</v>
      </c>
      <c r="AM7" s="296">
        <f>SUM(AK7:AL7)</f>
        <v>3589145.88</v>
      </c>
      <c r="AN7" s="296">
        <f>SUM(AM7,AJ7)</f>
        <v>19874094.06</v>
      </c>
      <c r="AO7" s="246"/>
    </row>
    <row r="8" spans="1:41" ht="75">
      <c r="A8" s="182" t="s">
        <v>76</v>
      </c>
      <c r="B8" s="183" t="s">
        <v>51</v>
      </c>
      <c r="C8" s="182" t="s">
        <v>48</v>
      </c>
      <c r="D8" s="186">
        <v>13338</v>
      </c>
      <c r="E8" s="185">
        <v>11639.312098018041</v>
      </c>
      <c r="F8" s="186">
        <v>2877</v>
      </c>
      <c r="G8" s="185">
        <v>2698.351818648646</v>
      </c>
      <c r="H8" s="186">
        <v>2464</v>
      </c>
      <c r="I8" s="185">
        <v>2291.6249454053986</v>
      </c>
      <c r="J8" s="186">
        <v>505</v>
      </c>
      <c r="K8" s="185">
        <v>492.1899177777778</v>
      </c>
      <c r="L8" s="186">
        <v>31</v>
      </c>
      <c r="M8" s="185">
        <v>31</v>
      </c>
      <c r="N8" s="183">
        <v>0</v>
      </c>
      <c r="O8" s="185">
        <v>0</v>
      </c>
      <c r="P8" s="188">
        <f aca="true" t="shared" si="0" ref="P8:Q19">SUM(D8,F8,H8,J8,L8,N8)</f>
        <v>19215</v>
      </c>
      <c r="Q8" s="189">
        <f t="shared" si="0"/>
        <v>17152.478779849862</v>
      </c>
      <c r="R8" s="183" t="s">
        <v>146</v>
      </c>
      <c r="S8" s="187">
        <v>752.98</v>
      </c>
      <c r="T8" s="183" t="s">
        <v>146</v>
      </c>
      <c r="U8" s="187" t="s">
        <v>146</v>
      </c>
      <c r="V8" s="183" t="s">
        <v>146</v>
      </c>
      <c r="W8" s="187" t="s">
        <v>146</v>
      </c>
      <c r="X8" s="183" t="s">
        <v>146</v>
      </c>
      <c r="Y8" s="187" t="s">
        <v>146</v>
      </c>
      <c r="Z8" s="190">
        <f aca="true" t="shared" si="1" ref="Z8:Z19">SUM(R8,T8,V8,X8,)</f>
        <v>0</v>
      </c>
      <c r="AA8" s="199">
        <f aca="true" t="shared" si="2" ref="AA8:AA19">SUM(S8,U8,W8,Y8)</f>
        <v>752.98</v>
      </c>
      <c r="AB8" s="191">
        <f aca="true" t="shared" si="3" ref="AB8:AC19">P8+Z8</f>
        <v>19215</v>
      </c>
      <c r="AC8" s="192">
        <f t="shared" si="3"/>
        <v>17905.45877984986</v>
      </c>
      <c r="AD8" s="292">
        <v>31075276.54</v>
      </c>
      <c r="AE8" s="293">
        <v>500879.31</v>
      </c>
      <c r="AF8" s="293">
        <v>36101.82</v>
      </c>
      <c r="AG8" s="293">
        <v>253266.9</v>
      </c>
      <c r="AH8" s="293">
        <v>5700874.49</v>
      </c>
      <c r="AI8" s="293">
        <v>2102962.07</v>
      </c>
      <c r="AJ8" s="294">
        <f aca="true" t="shared" si="4" ref="AJ8:AJ19">SUM(AD8:AI8)</f>
        <v>39669361.129999995</v>
      </c>
      <c r="AK8" s="295">
        <v>1698373.97</v>
      </c>
      <c r="AL8" s="295" t="s">
        <v>146</v>
      </c>
      <c r="AM8" s="296">
        <f aca="true" t="shared" si="5" ref="AM8:AM19">SUM(AK8:AL8)</f>
        <v>1698373.97</v>
      </c>
      <c r="AN8" s="296">
        <f aca="true" t="shared" si="6" ref="AN8:AN19">SUM(AM8,AJ8)</f>
        <v>41367735.099999994</v>
      </c>
      <c r="AO8" s="246" t="s">
        <v>122</v>
      </c>
    </row>
    <row r="9" spans="1:41" ht="30">
      <c r="A9" s="182" t="s">
        <v>55</v>
      </c>
      <c r="B9" s="183" t="s">
        <v>51</v>
      </c>
      <c r="C9" s="182" t="s">
        <v>48</v>
      </c>
      <c r="D9" s="183">
        <v>176</v>
      </c>
      <c r="E9" s="183">
        <v>156.44</v>
      </c>
      <c r="F9" s="183">
        <v>121</v>
      </c>
      <c r="G9" s="183">
        <v>115.65</v>
      </c>
      <c r="H9" s="183">
        <v>260</v>
      </c>
      <c r="I9" s="183">
        <v>254.14</v>
      </c>
      <c r="J9" s="183">
        <v>60</v>
      </c>
      <c r="K9" s="183">
        <v>59.33</v>
      </c>
      <c r="L9" s="183">
        <v>5</v>
      </c>
      <c r="M9" s="187">
        <v>5</v>
      </c>
      <c r="N9" s="183">
        <v>0</v>
      </c>
      <c r="O9" s="187">
        <v>0</v>
      </c>
      <c r="P9" s="188">
        <f t="shared" si="0"/>
        <v>622</v>
      </c>
      <c r="Q9" s="189">
        <f t="shared" si="0"/>
        <v>590.5600000000001</v>
      </c>
      <c r="R9" s="183">
        <v>2</v>
      </c>
      <c r="S9" s="187">
        <v>2</v>
      </c>
      <c r="T9" s="183" t="s">
        <v>146</v>
      </c>
      <c r="U9" s="187" t="s">
        <v>146</v>
      </c>
      <c r="V9" s="183">
        <v>10</v>
      </c>
      <c r="W9" s="187">
        <v>10</v>
      </c>
      <c r="X9" s="183" t="s">
        <v>146</v>
      </c>
      <c r="Y9" s="187" t="s">
        <v>146</v>
      </c>
      <c r="Z9" s="190">
        <f t="shared" si="1"/>
        <v>12</v>
      </c>
      <c r="AA9" s="199">
        <f t="shared" si="2"/>
        <v>12</v>
      </c>
      <c r="AB9" s="191">
        <f t="shared" si="3"/>
        <v>634</v>
      </c>
      <c r="AC9" s="192">
        <f t="shared" si="3"/>
        <v>602.5600000000001</v>
      </c>
      <c r="AD9" s="193">
        <v>1429762.3</v>
      </c>
      <c r="AE9" s="194">
        <v>17659.95</v>
      </c>
      <c r="AF9" s="194" t="s">
        <v>146</v>
      </c>
      <c r="AG9" s="194">
        <v>10102.34</v>
      </c>
      <c r="AH9" s="194">
        <v>252496.93</v>
      </c>
      <c r="AI9" s="194">
        <v>136918.26</v>
      </c>
      <c r="AJ9" s="294">
        <f t="shared" si="4"/>
        <v>1846939.78</v>
      </c>
      <c r="AK9" s="295">
        <v>42760.13</v>
      </c>
      <c r="AL9" s="295" t="s">
        <v>146</v>
      </c>
      <c r="AM9" s="296">
        <f t="shared" si="5"/>
        <v>42760.13</v>
      </c>
      <c r="AN9" s="296">
        <f t="shared" si="6"/>
        <v>1889699.91</v>
      </c>
      <c r="AO9" s="246"/>
    </row>
    <row r="10" spans="1:41" ht="84">
      <c r="A10" s="23" t="s">
        <v>56</v>
      </c>
      <c r="B10" s="183" t="s">
        <v>51</v>
      </c>
      <c r="C10" s="182" t="s">
        <v>48</v>
      </c>
      <c r="D10" s="183">
        <v>30634</v>
      </c>
      <c r="E10" s="185">
        <v>29225.727212981925</v>
      </c>
      <c r="F10" s="183">
        <v>5488</v>
      </c>
      <c r="G10" s="185">
        <v>5271.694935897435</v>
      </c>
      <c r="H10" s="183">
        <v>4615</v>
      </c>
      <c r="I10" s="185">
        <v>4407.875527258031</v>
      </c>
      <c r="J10" s="183">
        <v>575</v>
      </c>
      <c r="K10" s="185">
        <v>564.6665915915917</v>
      </c>
      <c r="L10" s="183">
        <v>37</v>
      </c>
      <c r="M10" s="185">
        <v>37</v>
      </c>
      <c r="N10" s="183">
        <v>0</v>
      </c>
      <c r="O10" s="185">
        <v>0</v>
      </c>
      <c r="P10" s="188">
        <f t="shared" si="0"/>
        <v>41349</v>
      </c>
      <c r="Q10" s="189">
        <f t="shared" si="0"/>
        <v>39506.96426772899</v>
      </c>
      <c r="R10" s="156" t="s">
        <v>146</v>
      </c>
      <c r="S10" s="156">
        <v>616.34</v>
      </c>
      <c r="T10" s="156" t="s">
        <v>146</v>
      </c>
      <c r="U10" s="156">
        <v>13.56</v>
      </c>
      <c r="V10" s="156" t="s">
        <v>146</v>
      </c>
      <c r="W10" s="156">
        <v>28.54</v>
      </c>
      <c r="X10" s="156" t="s">
        <v>146</v>
      </c>
      <c r="Y10" s="156">
        <v>0</v>
      </c>
      <c r="Z10" s="190">
        <f t="shared" si="1"/>
        <v>0</v>
      </c>
      <c r="AA10" s="203">
        <f t="shared" si="2"/>
        <v>658.4399999999999</v>
      </c>
      <c r="AB10" s="191">
        <f t="shared" si="3"/>
        <v>41349</v>
      </c>
      <c r="AC10" s="192">
        <f t="shared" si="3"/>
        <v>40165.40426772899</v>
      </c>
      <c r="AD10" s="301">
        <v>95496970.04000004</v>
      </c>
      <c r="AE10" s="301">
        <v>0</v>
      </c>
      <c r="AF10" s="301">
        <v>0</v>
      </c>
      <c r="AG10" s="301">
        <v>4048742.43</v>
      </c>
      <c r="AH10" s="301">
        <v>17579605.539999995</v>
      </c>
      <c r="AI10" s="301">
        <v>7463078.299999997</v>
      </c>
      <c r="AJ10" s="294">
        <f t="shared" si="4"/>
        <v>124588396.31000003</v>
      </c>
      <c r="AK10" s="295">
        <v>2882317.25</v>
      </c>
      <c r="AL10" s="295" t="s">
        <v>146</v>
      </c>
      <c r="AM10" s="296">
        <f t="shared" si="5"/>
        <v>2882317.25</v>
      </c>
      <c r="AN10" s="296">
        <f t="shared" si="6"/>
        <v>127470713.56000003</v>
      </c>
      <c r="AO10" s="246" t="s">
        <v>152</v>
      </c>
    </row>
    <row r="11" spans="1:41" ht="75">
      <c r="A11" s="182" t="s">
        <v>153</v>
      </c>
      <c r="B11" s="183" t="s">
        <v>63</v>
      </c>
      <c r="C11" s="182" t="s">
        <v>48</v>
      </c>
      <c r="D11" s="186">
        <v>707</v>
      </c>
      <c r="E11" s="185">
        <v>670.1921600000002</v>
      </c>
      <c r="F11" s="186">
        <v>372</v>
      </c>
      <c r="G11" s="185">
        <v>352.7911500000001</v>
      </c>
      <c r="H11" s="186">
        <v>382</v>
      </c>
      <c r="I11" s="185">
        <v>366.5748699999999</v>
      </c>
      <c r="J11" s="186">
        <v>82</v>
      </c>
      <c r="K11" s="185">
        <v>81.05713999999999</v>
      </c>
      <c r="L11" s="186">
        <v>13</v>
      </c>
      <c r="M11" s="187">
        <v>12.97222</v>
      </c>
      <c r="N11" s="183">
        <v>0</v>
      </c>
      <c r="O11" s="187">
        <v>0</v>
      </c>
      <c r="P11" s="188">
        <f>SUM(D11,F11,H11,J11,L11,N11)</f>
        <v>1556</v>
      </c>
      <c r="Q11" s="189">
        <f>SUM(E11,G11,I11,K11,M11,O11)</f>
        <v>1483.5875400000002</v>
      </c>
      <c r="R11" s="183">
        <v>33</v>
      </c>
      <c r="S11" s="187">
        <v>33</v>
      </c>
      <c r="T11" s="183" t="s">
        <v>146</v>
      </c>
      <c r="U11" s="187" t="s">
        <v>146</v>
      </c>
      <c r="V11" s="183">
        <v>44</v>
      </c>
      <c r="W11" s="187">
        <v>43.3</v>
      </c>
      <c r="X11" s="183" t="s">
        <v>146</v>
      </c>
      <c r="Y11" s="187" t="s">
        <v>146</v>
      </c>
      <c r="Z11" s="190">
        <f>SUM(R11,T11,V11,X11,)</f>
        <v>77</v>
      </c>
      <c r="AA11" s="199">
        <f>SUM(S11,U11,W11,Y11)</f>
        <v>76.3</v>
      </c>
      <c r="AB11" s="191">
        <f>P11+Z11</f>
        <v>1633</v>
      </c>
      <c r="AC11" s="192">
        <f>Q11+AA11</f>
        <v>1559.8875400000002</v>
      </c>
      <c r="AD11" s="292">
        <v>3435759.79</v>
      </c>
      <c r="AE11" s="293">
        <v>42939.92</v>
      </c>
      <c r="AF11" s="293" t="s">
        <v>146</v>
      </c>
      <c r="AG11" s="293">
        <v>123144.17</v>
      </c>
      <c r="AH11" s="293">
        <v>591790.71</v>
      </c>
      <c r="AI11" s="293">
        <v>323649.65</v>
      </c>
      <c r="AJ11" s="294">
        <f>SUM(AD11:AI11)</f>
        <v>4517284.24</v>
      </c>
      <c r="AK11" s="295">
        <v>590910.62</v>
      </c>
      <c r="AL11" s="295" t="s">
        <v>146</v>
      </c>
      <c r="AM11" s="296">
        <f>SUM(AK11:AL11)</f>
        <v>590910.62</v>
      </c>
      <c r="AN11" s="296">
        <f>SUM(AM11,AJ11)</f>
        <v>5108194.86</v>
      </c>
      <c r="AO11" s="246"/>
    </row>
    <row r="12" spans="1:41" ht="120">
      <c r="A12" s="182" t="s">
        <v>58</v>
      </c>
      <c r="B12" s="183" t="s">
        <v>51</v>
      </c>
      <c r="C12" s="182" t="s">
        <v>48</v>
      </c>
      <c r="D12" s="186">
        <v>310</v>
      </c>
      <c r="E12" s="185">
        <v>291.94700162162167</v>
      </c>
      <c r="F12" s="186">
        <v>137</v>
      </c>
      <c r="G12" s="185">
        <v>130.54834999999997</v>
      </c>
      <c r="H12" s="186">
        <v>74</v>
      </c>
      <c r="I12" s="185">
        <v>72.38513081081081</v>
      </c>
      <c r="J12" s="186">
        <v>10</v>
      </c>
      <c r="K12" s="185">
        <v>9.82222</v>
      </c>
      <c r="L12" s="186">
        <v>2</v>
      </c>
      <c r="M12" s="187">
        <v>1.7783799999999998</v>
      </c>
      <c r="N12" s="183">
        <v>0</v>
      </c>
      <c r="O12" s="185">
        <v>0</v>
      </c>
      <c r="P12" s="188">
        <f t="shared" si="0"/>
        <v>533</v>
      </c>
      <c r="Q12" s="189">
        <f t="shared" si="0"/>
        <v>506.4810824324325</v>
      </c>
      <c r="R12" s="183">
        <v>216</v>
      </c>
      <c r="S12" s="185">
        <v>162.46446446446447</v>
      </c>
      <c r="T12" s="183">
        <v>0</v>
      </c>
      <c r="U12" s="187">
        <v>0</v>
      </c>
      <c r="V12" s="183">
        <v>3</v>
      </c>
      <c r="W12" s="187">
        <v>3</v>
      </c>
      <c r="X12" s="183">
        <v>0</v>
      </c>
      <c r="Y12" s="187">
        <v>0</v>
      </c>
      <c r="Z12" s="190">
        <f t="shared" si="1"/>
        <v>219</v>
      </c>
      <c r="AA12" s="203">
        <f t="shared" si="2"/>
        <v>165.46446446446447</v>
      </c>
      <c r="AB12" s="191">
        <f t="shared" si="3"/>
        <v>752</v>
      </c>
      <c r="AC12" s="192">
        <f t="shared" si="3"/>
        <v>671.945546896897</v>
      </c>
      <c r="AD12" s="292">
        <v>894775.42</v>
      </c>
      <c r="AE12" s="293">
        <v>14577.59</v>
      </c>
      <c r="AF12" s="293">
        <v>-150</v>
      </c>
      <c r="AG12" s="293">
        <v>61628.97</v>
      </c>
      <c r="AH12" s="293">
        <v>155343.18</v>
      </c>
      <c r="AI12" s="293">
        <v>61721.86</v>
      </c>
      <c r="AJ12" s="294">
        <f t="shared" si="4"/>
        <v>1187897.02</v>
      </c>
      <c r="AK12" s="295">
        <v>401633.55</v>
      </c>
      <c r="AL12" s="295" t="s">
        <v>146</v>
      </c>
      <c r="AM12" s="296">
        <f t="shared" si="5"/>
        <v>401633.55</v>
      </c>
      <c r="AN12" s="296">
        <f t="shared" si="6"/>
        <v>1589530.57</v>
      </c>
      <c r="AO12" s="246" t="s">
        <v>154</v>
      </c>
    </row>
    <row r="13" spans="1:41" ht="264">
      <c r="A13" s="182" t="s">
        <v>62</v>
      </c>
      <c r="B13" s="183" t="s">
        <v>63</v>
      </c>
      <c r="C13" s="182" t="s">
        <v>48</v>
      </c>
      <c r="D13" s="183">
        <v>0</v>
      </c>
      <c r="E13" s="185">
        <v>0</v>
      </c>
      <c r="F13" s="183">
        <v>0</v>
      </c>
      <c r="G13" s="187">
        <v>0</v>
      </c>
      <c r="H13" s="183">
        <v>0</v>
      </c>
      <c r="I13" s="187">
        <v>0</v>
      </c>
      <c r="J13" s="183">
        <v>0</v>
      </c>
      <c r="K13" s="187">
        <v>0</v>
      </c>
      <c r="L13" s="183">
        <v>0</v>
      </c>
      <c r="M13" s="187">
        <v>0</v>
      </c>
      <c r="N13" s="183">
        <v>79</v>
      </c>
      <c r="O13" s="183">
        <v>72.96</v>
      </c>
      <c r="P13" s="188">
        <f t="shared" si="0"/>
        <v>79</v>
      </c>
      <c r="Q13" s="189">
        <f t="shared" si="0"/>
        <v>72.96</v>
      </c>
      <c r="R13" s="183">
        <v>2</v>
      </c>
      <c r="S13" s="187">
        <v>2</v>
      </c>
      <c r="T13" s="183">
        <v>2</v>
      </c>
      <c r="U13" s="187">
        <v>2</v>
      </c>
      <c r="V13" s="183" t="s">
        <v>146</v>
      </c>
      <c r="W13" s="187" t="s">
        <v>146</v>
      </c>
      <c r="X13" s="183" t="s">
        <v>146</v>
      </c>
      <c r="Y13" s="187" t="s">
        <v>146</v>
      </c>
      <c r="Z13" s="190">
        <f t="shared" si="1"/>
        <v>4</v>
      </c>
      <c r="AA13" s="199">
        <f t="shared" si="2"/>
        <v>4</v>
      </c>
      <c r="AB13" s="191">
        <f t="shared" si="3"/>
        <v>83</v>
      </c>
      <c r="AC13" s="192">
        <f t="shared" si="3"/>
        <v>76.96</v>
      </c>
      <c r="AD13" s="292">
        <v>205414</v>
      </c>
      <c r="AE13" s="293">
        <v>57</v>
      </c>
      <c r="AF13" s="293" t="s">
        <v>146</v>
      </c>
      <c r="AG13" s="293">
        <v>1262</v>
      </c>
      <c r="AH13" s="293">
        <v>35764</v>
      </c>
      <c r="AI13" s="293">
        <v>16987</v>
      </c>
      <c r="AJ13" s="294">
        <f t="shared" si="4"/>
        <v>259484</v>
      </c>
      <c r="AK13" s="295">
        <v>23688</v>
      </c>
      <c r="AL13" s="295" t="s">
        <v>146</v>
      </c>
      <c r="AM13" s="296">
        <f t="shared" si="5"/>
        <v>23688</v>
      </c>
      <c r="AN13" s="296">
        <f t="shared" si="6"/>
        <v>283172</v>
      </c>
      <c r="AO13" s="246" t="s">
        <v>64</v>
      </c>
    </row>
    <row r="14" spans="1:41" ht="75">
      <c r="A14" s="182" t="s">
        <v>66</v>
      </c>
      <c r="B14" s="183" t="s">
        <v>63</v>
      </c>
      <c r="C14" s="182" t="s">
        <v>48</v>
      </c>
      <c r="D14" s="183">
        <v>0</v>
      </c>
      <c r="E14" s="185">
        <v>0</v>
      </c>
      <c r="F14" s="183">
        <v>0</v>
      </c>
      <c r="G14" s="187">
        <v>0</v>
      </c>
      <c r="H14" s="183">
        <v>0</v>
      </c>
      <c r="I14" s="187">
        <v>0</v>
      </c>
      <c r="J14" s="183">
        <v>0</v>
      </c>
      <c r="K14" s="187">
        <v>0</v>
      </c>
      <c r="L14" s="183">
        <v>0</v>
      </c>
      <c r="M14" s="187">
        <v>0</v>
      </c>
      <c r="N14" s="183">
        <v>395</v>
      </c>
      <c r="O14" s="183">
        <v>363.6</v>
      </c>
      <c r="P14" s="188">
        <f t="shared" si="0"/>
        <v>395</v>
      </c>
      <c r="Q14" s="189">
        <f t="shared" si="0"/>
        <v>363.6</v>
      </c>
      <c r="R14" s="183">
        <v>10</v>
      </c>
      <c r="S14" s="187">
        <v>9.2</v>
      </c>
      <c r="T14" s="183" t="s">
        <v>146</v>
      </c>
      <c r="U14" s="187" t="s">
        <v>146</v>
      </c>
      <c r="V14" s="183">
        <v>1</v>
      </c>
      <c r="W14" s="187">
        <v>1</v>
      </c>
      <c r="X14" s="183">
        <v>0</v>
      </c>
      <c r="Y14" s="187">
        <v>0</v>
      </c>
      <c r="Z14" s="190">
        <f t="shared" si="1"/>
        <v>11</v>
      </c>
      <c r="AA14" s="199">
        <f t="shared" si="2"/>
        <v>10.2</v>
      </c>
      <c r="AB14" s="191">
        <f t="shared" si="3"/>
        <v>406</v>
      </c>
      <c r="AC14" s="192">
        <f t="shared" si="3"/>
        <v>373.8</v>
      </c>
      <c r="AD14" s="292">
        <v>808384.6</v>
      </c>
      <c r="AE14" s="293">
        <v>1335.49</v>
      </c>
      <c r="AF14" s="293" t="s">
        <v>146</v>
      </c>
      <c r="AG14" s="293">
        <v>6607.65</v>
      </c>
      <c r="AH14" s="293">
        <v>146138.95</v>
      </c>
      <c r="AI14" s="293">
        <v>54906.55</v>
      </c>
      <c r="AJ14" s="294">
        <f t="shared" si="4"/>
        <v>1017373.24</v>
      </c>
      <c r="AK14" s="295">
        <v>31734.97</v>
      </c>
      <c r="AL14" s="295" t="s">
        <v>146</v>
      </c>
      <c r="AM14" s="296">
        <f t="shared" si="5"/>
        <v>31734.97</v>
      </c>
      <c r="AN14" s="296">
        <f t="shared" si="6"/>
        <v>1049108.21</v>
      </c>
      <c r="AO14" s="246"/>
    </row>
    <row r="15" spans="1:41" ht="75">
      <c r="A15" s="182" t="s">
        <v>67</v>
      </c>
      <c r="B15" s="183" t="s">
        <v>63</v>
      </c>
      <c r="C15" s="182" t="s">
        <v>48</v>
      </c>
      <c r="D15" s="183">
        <v>15</v>
      </c>
      <c r="E15" s="185">
        <v>14.54</v>
      </c>
      <c r="F15" s="183">
        <v>16</v>
      </c>
      <c r="G15" s="187">
        <v>14.94</v>
      </c>
      <c r="H15" s="183">
        <v>24</v>
      </c>
      <c r="I15" s="183">
        <v>23.69</v>
      </c>
      <c r="J15" s="183">
        <v>12</v>
      </c>
      <c r="K15" s="187">
        <v>10.95</v>
      </c>
      <c r="L15" s="183">
        <v>3</v>
      </c>
      <c r="M15" s="187">
        <v>3</v>
      </c>
      <c r="N15" s="183">
        <v>1</v>
      </c>
      <c r="O15" s="187">
        <v>0.4</v>
      </c>
      <c r="P15" s="188">
        <f t="shared" si="0"/>
        <v>71</v>
      </c>
      <c r="Q15" s="189">
        <f t="shared" si="0"/>
        <v>67.52000000000001</v>
      </c>
      <c r="R15" s="183">
        <v>11</v>
      </c>
      <c r="S15" s="187">
        <v>7.1</v>
      </c>
      <c r="T15" s="183" t="s">
        <v>146</v>
      </c>
      <c r="U15" s="187" t="s">
        <v>146</v>
      </c>
      <c r="V15" s="183" t="s">
        <v>146</v>
      </c>
      <c r="W15" s="187" t="s">
        <v>146</v>
      </c>
      <c r="X15" s="183" t="s">
        <v>146</v>
      </c>
      <c r="Y15" s="187" t="s">
        <v>146</v>
      </c>
      <c r="Z15" s="190">
        <f t="shared" si="1"/>
        <v>11</v>
      </c>
      <c r="AA15" s="199">
        <f t="shared" si="2"/>
        <v>7.1</v>
      </c>
      <c r="AB15" s="191">
        <f t="shared" si="3"/>
        <v>82</v>
      </c>
      <c r="AC15" s="192">
        <f t="shared" si="3"/>
        <v>74.62</v>
      </c>
      <c r="AD15" s="292">
        <v>183421.08</v>
      </c>
      <c r="AE15" s="293">
        <v>1249.94</v>
      </c>
      <c r="AF15" s="293">
        <v>100</v>
      </c>
      <c r="AG15" s="293"/>
      <c r="AH15" s="293">
        <v>34861.1</v>
      </c>
      <c r="AI15" s="293">
        <v>15137.37</v>
      </c>
      <c r="AJ15" s="294">
        <f t="shared" si="4"/>
        <v>234769.49</v>
      </c>
      <c r="AK15" s="295">
        <v>18563.23</v>
      </c>
      <c r="AL15" s="295" t="s">
        <v>146</v>
      </c>
      <c r="AM15" s="296">
        <f t="shared" si="5"/>
        <v>18563.23</v>
      </c>
      <c r="AN15" s="296">
        <f t="shared" si="6"/>
        <v>253332.72</v>
      </c>
      <c r="AO15" s="246"/>
    </row>
    <row r="16" spans="1:41" ht="156">
      <c r="A16" s="182" t="s">
        <v>68</v>
      </c>
      <c r="B16" s="183" t="s">
        <v>63</v>
      </c>
      <c r="C16" s="182" t="s">
        <v>48</v>
      </c>
      <c r="D16" s="183">
        <v>0</v>
      </c>
      <c r="E16" s="185">
        <v>0</v>
      </c>
      <c r="F16" s="183">
        <v>0</v>
      </c>
      <c r="G16" s="187">
        <v>0</v>
      </c>
      <c r="H16" s="183">
        <v>0</v>
      </c>
      <c r="I16" s="187">
        <v>0</v>
      </c>
      <c r="J16" s="183">
        <v>0</v>
      </c>
      <c r="K16" s="187">
        <v>0</v>
      </c>
      <c r="L16" s="183">
        <v>0</v>
      </c>
      <c r="M16" s="187">
        <v>0</v>
      </c>
      <c r="N16" s="183">
        <v>31</v>
      </c>
      <c r="O16" s="187">
        <v>30.8</v>
      </c>
      <c r="P16" s="188">
        <f t="shared" si="0"/>
        <v>31</v>
      </c>
      <c r="Q16" s="189">
        <f t="shared" si="0"/>
        <v>30.8</v>
      </c>
      <c r="R16" s="183">
        <v>0</v>
      </c>
      <c r="S16" s="187">
        <v>0</v>
      </c>
      <c r="T16" s="183">
        <v>0</v>
      </c>
      <c r="U16" s="187">
        <v>0</v>
      </c>
      <c r="V16" s="183">
        <v>0</v>
      </c>
      <c r="W16" s="187">
        <v>0</v>
      </c>
      <c r="X16" s="183">
        <v>0</v>
      </c>
      <c r="Y16" s="187">
        <v>0</v>
      </c>
      <c r="Z16" s="190">
        <f t="shared" si="1"/>
        <v>0</v>
      </c>
      <c r="AA16" s="199">
        <f t="shared" si="2"/>
        <v>0</v>
      </c>
      <c r="AB16" s="191">
        <f t="shared" si="3"/>
        <v>31</v>
      </c>
      <c r="AC16" s="192">
        <f t="shared" si="3"/>
        <v>30.8</v>
      </c>
      <c r="AD16" s="292">
        <v>143344.7</v>
      </c>
      <c r="AE16" s="293"/>
      <c r="AF16" s="293"/>
      <c r="AG16" s="293"/>
      <c r="AH16" s="293">
        <v>27453.13</v>
      </c>
      <c r="AI16" s="293">
        <v>17121.76</v>
      </c>
      <c r="AJ16" s="294">
        <f t="shared" si="4"/>
        <v>187919.59000000003</v>
      </c>
      <c r="AK16" s="295" t="s">
        <v>146</v>
      </c>
      <c r="AL16" s="295" t="s">
        <v>146</v>
      </c>
      <c r="AM16" s="296">
        <f t="shared" si="5"/>
        <v>0</v>
      </c>
      <c r="AN16" s="296">
        <f t="shared" si="6"/>
        <v>187919.59000000003</v>
      </c>
      <c r="AO16" s="246" t="s">
        <v>69</v>
      </c>
    </row>
    <row r="17" spans="1:41" ht="75">
      <c r="A17" s="182" t="s">
        <v>71</v>
      </c>
      <c r="B17" s="183" t="s">
        <v>63</v>
      </c>
      <c r="C17" s="182" t="s">
        <v>48</v>
      </c>
      <c r="D17" s="183">
        <v>16</v>
      </c>
      <c r="E17" s="183">
        <v>13.7</v>
      </c>
      <c r="F17" s="183">
        <v>40</v>
      </c>
      <c r="G17" s="183">
        <v>39.6</v>
      </c>
      <c r="H17" s="183">
        <v>16</v>
      </c>
      <c r="I17" s="183">
        <v>15.6</v>
      </c>
      <c r="J17" s="183">
        <v>2</v>
      </c>
      <c r="K17" s="187">
        <v>2</v>
      </c>
      <c r="L17" s="183">
        <v>2</v>
      </c>
      <c r="M17" s="187">
        <v>1.4</v>
      </c>
      <c r="N17" s="183">
        <v>0</v>
      </c>
      <c r="O17" s="187">
        <v>0</v>
      </c>
      <c r="P17" s="188">
        <f t="shared" si="0"/>
        <v>76</v>
      </c>
      <c r="Q17" s="189">
        <f t="shared" si="0"/>
        <v>72.3</v>
      </c>
      <c r="R17" s="183">
        <v>10</v>
      </c>
      <c r="S17" s="187">
        <v>10</v>
      </c>
      <c r="T17" s="183">
        <v>0</v>
      </c>
      <c r="U17" s="187">
        <v>0</v>
      </c>
      <c r="V17" s="183">
        <v>0</v>
      </c>
      <c r="W17" s="187">
        <v>0</v>
      </c>
      <c r="X17" s="183">
        <v>0</v>
      </c>
      <c r="Y17" s="187">
        <v>0</v>
      </c>
      <c r="Z17" s="190">
        <f t="shared" si="1"/>
        <v>10</v>
      </c>
      <c r="AA17" s="199">
        <f t="shared" si="2"/>
        <v>10</v>
      </c>
      <c r="AB17" s="191">
        <f t="shared" si="3"/>
        <v>86</v>
      </c>
      <c r="AC17" s="192">
        <f t="shared" si="3"/>
        <v>82.3</v>
      </c>
      <c r="AD17" s="292">
        <v>176153.5</v>
      </c>
      <c r="AE17" s="293">
        <v>21087.6</v>
      </c>
      <c r="AF17" s="293" t="s">
        <v>146</v>
      </c>
      <c r="AG17" s="293">
        <v>1590.4</v>
      </c>
      <c r="AH17" s="293">
        <v>34915.7</v>
      </c>
      <c r="AI17" s="293">
        <v>15918.1</v>
      </c>
      <c r="AJ17" s="294">
        <f t="shared" si="4"/>
        <v>249665.30000000002</v>
      </c>
      <c r="AK17" s="295">
        <v>31560.7</v>
      </c>
      <c r="AL17" s="295" t="s">
        <v>146</v>
      </c>
      <c r="AM17" s="296">
        <f t="shared" si="5"/>
        <v>31560.7</v>
      </c>
      <c r="AN17" s="296">
        <f t="shared" si="6"/>
        <v>281226</v>
      </c>
      <c r="AO17" s="246"/>
    </row>
    <row r="18" spans="1:41" ht="409.5">
      <c r="A18" s="156" t="s">
        <v>72</v>
      </c>
      <c r="B18" s="156" t="s">
        <v>63</v>
      </c>
      <c r="C18" s="23" t="s">
        <v>48</v>
      </c>
      <c r="D18" s="183">
        <v>0</v>
      </c>
      <c r="E18" s="185">
        <v>0</v>
      </c>
      <c r="F18" s="183">
        <v>0</v>
      </c>
      <c r="G18" s="187">
        <v>0</v>
      </c>
      <c r="H18" s="183">
        <v>0</v>
      </c>
      <c r="I18" s="187">
        <v>0</v>
      </c>
      <c r="J18" s="183">
        <v>0</v>
      </c>
      <c r="K18" s="187">
        <v>0</v>
      </c>
      <c r="L18" s="183">
        <v>0</v>
      </c>
      <c r="M18" s="187">
        <v>0</v>
      </c>
      <c r="N18" s="275">
        <v>18066</v>
      </c>
      <c r="O18" s="275">
        <v>16297</v>
      </c>
      <c r="P18" s="188">
        <f t="shared" si="0"/>
        <v>18066</v>
      </c>
      <c r="Q18" s="189">
        <f t="shared" si="0"/>
        <v>16297</v>
      </c>
      <c r="R18" s="275">
        <v>1339</v>
      </c>
      <c r="S18" s="275">
        <v>1339</v>
      </c>
      <c r="T18" s="275">
        <v>6</v>
      </c>
      <c r="U18" s="275">
        <v>6</v>
      </c>
      <c r="V18" s="156" t="s">
        <v>146</v>
      </c>
      <c r="W18" s="156" t="s">
        <v>146</v>
      </c>
      <c r="X18" s="156" t="s">
        <v>146</v>
      </c>
      <c r="Y18" s="156" t="s">
        <v>146</v>
      </c>
      <c r="Z18" s="190">
        <f t="shared" si="1"/>
        <v>1345</v>
      </c>
      <c r="AA18" s="203">
        <f t="shared" si="2"/>
        <v>1345</v>
      </c>
      <c r="AB18" s="191">
        <f t="shared" si="3"/>
        <v>19411</v>
      </c>
      <c r="AC18" s="192">
        <f t="shared" si="3"/>
        <v>17642</v>
      </c>
      <c r="AD18" s="164" t="s">
        <v>146</v>
      </c>
      <c r="AE18" s="165" t="s">
        <v>146</v>
      </c>
      <c r="AF18" s="165" t="s">
        <v>146</v>
      </c>
      <c r="AG18" s="165" t="s">
        <v>146</v>
      </c>
      <c r="AH18" s="165" t="s">
        <v>146</v>
      </c>
      <c r="AI18" s="165" t="s">
        <v>146</v>
      </c>
      <c r="AJ18" s="294">
        <f t="shared" si="4"/>
        <v>0</v>
      </c>
      <c r="AK18" s="416" t="s">
        <v>146</v>
      </c>
      <c r="AL18" s="416" t="s">
        <v>146</v>
      </c>
      <c r="AM18" s="296">
        <f t="shared" si="5"/>
        <v>0</v>
      </c>
      <c r="AN18" s="296">
        <f t="shared" si="6"/>
        <v>0</v>
      </c>
      <c r="AO18" s="252" t="s">
        <v>0</v>
      </c>
    </row>
    <row r="19" spans="1:41" ht="90">
      <c r="A19" s="183" t="s">
        <v>124</v>
      </c>
      <c r="B19" s="183" t="s">
        <v>63</v>
      </c>
      <c r="C19" s="205" t="s">
        <v>48</v>
      </c>
      <c r="D19" s="183">
        <v>17</v>
      </c>
      <c r="E19" s="183">
        <v>16.35</v>
      </c>
      <c r="F19" s="183">
        <v>46</v>
      </c>
      <c r="G19" s="183">
        <v>44.66</v>
      </c>
      <c r="H19" s="183">
        <v>112</v>
      </c>
      <c r="I19" s="183">
        <v>108.99</v>
      </c>
      <c r="J19" s="183">
        <v>38</v>
      </c>
      <c r="K19" s="185">
        <v>36.86</v>
      </c>
      <c r="L19" s="183">
        <v>5</v>
      </c>
      <c r="M19" s="185">
        <v>4.6</v>
      </c>
      <c r="N19" s="183">
        <v>9</v>
      </c>
      <c r="O19" s="185">
        <v>9</v>
      </c>
      <c r="P19" s="188">
        <f t="shared" si="0"/>
        <v>227</v>
      </c>
      <c r="Q19" s="189">
        <f t="shared" si="0"/>
        <v>220.46</v>
      </c>
      <c r="R19" s="183">
        <v>3</v>
      </c>
      <c r="S19" s="187">
        <v>3</v>
      </c>
      <c r="T19" s="183" t="s">
        <v>146</v>
      </c>
      <c r="U19" s="187" t="s">
        <v>146</v>
      </c>
      <c r="V19" s="183" t="s">
        <v>146</v>
      </c>
      <c r="W19" s="187" t="s">
        <v>146</v>
      </c>
      <c r="X19" s="183" t="s">
        <v>146</v>
      </c>
      <c r="Y19" s="187" t="s">
        <v>146</v>
      </c>
      <c r="Z19" s="190">
        <f t="shared" si="1"/>
        <v>3</v>
      </c>
      <c r="AA19" s="199">
        <f t="shared" si="2"/>
        <v>3</v>
      </c>
      <c r="AB19" s="191">
        <f t="shared" si="3"/>
        <v>230</v>
      </c>
      <c r="AC19" s="192">
        <f t="shared" si="3"/>
        <v>223.46</v>
      </c>
      <c r="AD19" s="415">
        <v>665146.07</v>
      </c>
      <c r="AE19" s="293">
        <v>51688.8</v>
      </c>
      <c r="AF19" s="293" t="s">
        <v>146</v>
      </c>
      <c r="AG19" s="293">
        <v>2304.47</v>
      </c>
      <c r="AH19" s="293">
        <v>140795.27</v>
      </c>
      <c r="AI19" s="293">
        <v>63157.58</v>
      </c>
      <c r="AJ19" s="294">
        <f t="shared" si="4"/>
        <v>923092.19</v>
      </c>
      <c r="AK19" s="295">
        <v>7757.12</v>
      </c>
      <c r="AL19" s="295" t="s">
        <v>146</v>
      </c>
      <c r="AM19" s="296">
        <f t="shared" si="5"/>
        <v>7757.12</v>
      </c>
      <c r="AN19" s="296">
        <f t="shared" si="6"/>
        <v>930849.3099999999</v>
      </c>
      <c r="AO19" s="246" t="s">
        <v>1</v>
      </c>
    </row>
    <row r="20" spans="1:41" ht="90">
      <c r="A20" s="183" t="s">
        <v>124</v>
      </c>
      <c r="B20" s="183" t="s">
        <v>63</v>
      </c>
      <c r="C20" s="205" t="s">
        <v>48</v>
      </c>
      <c r="D20" s="183">
        <v>15</v>
      </c>
      <c r="E20" s="183">
        <v>14.35</v>
      </c>
      <c r="F20" s="183">
        <v>43</v>
      </c>
      <c r="G20" s="183">
        <v>41.66</v>
      </c>
      <c r="H20" s="183">
        <v>112</v>
      </c>
      <c r="I20" s="183">
        <v>108.99</v>
      </c>
      <c r="J20" s="183">
        <v>40</v>
      </c>
      <c r="K20" s="185">
        <v>38.86</v>
      </c>
      <c r="L20" s="183">
        <v>5</v>
      </c>
      <c r="M20" s="185">
        <v>4.6</v>
      </c>
      <c r="N20" s="183">
        <v>9</v>
      </c>
      <c r="O20" s="185">
        <v>9</v>
      </c>
      <c r="P20" s="188">
        <v>224</v>
      </c>
      <c r="Q20" s="189">
        <v>217.46</v>
      </c>
      <c r="R20" s="183">
        <v>4</v>
      </c>
      <c r="S20" s="187">
        <v>4</v>
      </c>
      <c r="T20" s="183">
        <v>0</v>
      </c>
      <c r="U20" s="187">
        <v>0</v>
      </c>
      <c r="V20" s="183">
        <v>0</v>
      </c>
      <c r="W20" s="187">
        <v>0</v>
      </c>
      <c r="X20" s="183">
        <v>0</v>
      </c>
      <c r="Y20" s="187">
        <v>0</v>
      </c>
      <c r="Z20" s="190">
        <v>4</v>
      </c>
      <c r="AA20" s="199">
        <v>4</v>
      </c>
      <c r="AB20" s="191">
        <v>228</v>
      </c>
      <c r="AC20" s="192">
        <v>221.46</v>
      </c>
      <c r="AD20" s="193">
        <v>609158.31</v>
      </c>
      <c r="AE20" s="194">
        <v>56419.67</v>
      </c>
      <c r="AF20" s="196" t="s">
        <v>90</v>
      </c>
      <c r="AG20" s="194">
        <v>3006.25</v>
      </c>
      <c r="AH20" s="194">
        <v>128042.77</v>
      </c>
      <c r="AI20" s="194">
        <v>58562.23</v>
      </c>
      <c r="AJ20" s="195">
        <v>855189.23</v>
      </c>
      <c r="AK20" s="196" t="s">
        <v>90</v>
      </c>
      <c r="AL20" s="196" t="s">
        <v>90</v>
      </c>
      <c r="AM20" s="197">
        <v>0</v>
      </c>
      <c r="AN20" s="197">
        <v>855189.23</v>
      </c>
      <c r="AO20" s="198"/>
    </row>
  </sheetData>
  <sheetProtection selectLockedCells="1"/>
  <mergeCells count="32">
    <mergeCell ref="V5:W5"/>
    <mergeCell ref="T5:U5"/>
    <mergeCell ref="A4:A6"/>
    <mergeCell ref="B4:B6"/>
    <mergeCell ref="C4:C6"/>
    <mergeCell ref="D4:Q4"/>
    <mergeCell ref="L5:M5"/>
    <mergeCell ref="N5:O5"/>
    <mergeCell ref="P5:Q5"/>
    <mergeCell ref="R5:S5"/>
    <mergeCell ref="D5:E5"/>
    <mergeCell ref="F5:G5"/>
    <mergeCell ref="H5:I5"/>
    <mergeCell ref="J5:K5"/>
    <mergeCell ref="AF5:AF6"/>
    <mergeCell ref="AG5:AG6"/>
    <mergeCell ref="AK5:AK6"/>
    <mergeCell ref="AL5:AL6"/>
    <mergeCell ref="AN4:AN6"/>
    <mergeCell ref="AO4:AO6"/>
    <mergeCell ref="AK4:AM4"/>
    <mergeCell ref="AM5:AM6"/>
    <mergeCell ref="R4:AA4"/>
    <mergeCell ref="AB4:AC5"/>
    <mergeCell ref="AD4:AJ4"/>
    <mergeCell ref="AH5:AH6"/>
    <mergeCell ref="AI5:AI6"/>
    <mergeCell ref="AE5:AE6"/>
    <mergeCell ref="X5:Y5"/>
    <mergeCell ref="Z5:AA5"/>
    <mergeCell ref="AD5:AD6"/>
    <mergeCell ref="AJ5:AJ6"/>
  </mergeCells>
  <conditionalFormatting sqref="C20 B7:B19">
    <cfRule type="expression" priority="1" dxfId="22" stopIfTrue="1">
      <formula>AND(NOT(ISBLANK($A7)),ISBLANK(B7))</formula>
    </cfRule>
  </conditionalFormatting>
  <conditionalFormatting sqref="D20 C7:C19">
    <cfRule type="expression" priority="2" dxfId="22" stopIfTrue="1">
      <formula>AND(NOT(ISBLANK(A7)),ISBLANK(C7))</formula>
    </cfRule>
  </conditionalFormatting>
  <conditionalFormatting sqref="S20 M20 K20 E20 I20 G20 O20 W20 R7:R19 X7:X19 T7:T19 V7:V19 N7:N19 D7:D19 L7:L19 J7:J19 H7:H19 F7:F19">
    <cfRule type="expression" priority="3" dxfId="22" stopIfTrue="1">
      <formula>AND(NOT(ISBLANK(E7)),ISBLANK(D7))</formula>
    </cfRule>
  </conditionalFormatting>
  <conditionalFormatting sqref="T20 F20 J20 H20 X20 P20 N20 L20 S7:S19 Y7:Y19 U7:U19 W7:W19 O7:O19 E7:E19 M7:M19 K7:K19 I7:I19 G7:G19">
    <cfRule type="expression" priority="4" dxfId="22" stopIfTrue="1">
      <formula>AND(NOT(ISBLANK(D7)),ISBLANK(E7))</formula>
    </cfRule>
  </conditionalFormatting>
  <dataValidations count="8">
    <dataValidation type="custom" allowBlank="1" showInputMessage="1" showErrorMessage="1" errorTitle="Headcount" error="The value entered in the headcount field must be greater than or equal to the value entered in the FTE field." sqref="N7:N18 R7:R18 T7:T18 V7:V18 X7:X18 H7:H18 J7:J18 L7:L18 F7:F18 D7:D18">
      <formula1>N7&gt;=O7</formula1>
    </dataValidation>
    <dataValidation type="custom" allowBlank="1" showInputMessage="1" showErrorMessage="1" errorTitle="FTE" error="The value entered in the FTE field must be less than or equal to the value entered in the headcount field." sqref="O7:O18 S7:S18 U7:U18 W7:W18 Y7:Y18 G7:G18 I7:I18 K7:K18 M7:M18 E7:E18">
      <formula1>O7&lt;=N7</formula1>
    </dataValidation>
    <dataValidation type="decimal" operator="greaterThanOrEqual" allowBlank="1" showInputMessage="1" showErrorMessage="1" sqref="AK20:AM20 AF20 U20:V20 Y20:Z20 AL7:AL19 AK7:AK18 AD7:AI9 AD11:AI18">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D20 C7:C19">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C20 B7:B19">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20:B20 A7:A10 A12:A19">
      <formula1>INDIRECT("List_of_organisations")</formula1>
    </dataValidation>
    <dataValidation operator="lessThanOrEqual" allowBlank="1" showInputMessage="1" showErrorMessage="1" error="FTE cannot be greater than Headcount&#10;" sqref="AO4 AC20:AD20 AB4 R4 Q20:R20 P5 A4:C4 AB6:AC19 P7:Q19 AO7:AO17 AO19"/>
    <dataValidation type="decimal" operator="greaterThan" allowBlank="1" showInputMessage="1" showErrorMessage="1" sqref="AE20 AG20:AJ20 AD19:AI19">
      <formula1>0</formula1>
    </dataValidation>
  </dataValidations>
  <printOptions/>
  <pageMargins left="0.75" right="0.75" top="1" bottom="1" header="0.5" footer="0.5"/>
  <pageSetup horizontalDpi="600" verticalDpi="600" orientation="portrait" paperSize="9" r:id="rId3"/>
  <legacyDrawing r:id="rId2"/>
</worksheet>
</file>

<file path=xl/worksheets/sheet20.xml><?xml version="1.0" encoding="utf-8"?>
<worksheet xmlns="http://schemas.openxmlformats.org/spreadsheetml/2006/main" xmlns:r="http://schemas.openxmlformats.org/officeDocument/2006/relationships">
  <dimension ref="A1:AO103"/>
  <sheetViews>
    <sheetView zoomScale="75" zoomScaleNormal="75" workbookViewId="0" topLeftCell="A13">
      <selection activeCell="E11" sqref="E11"/>
    </sheetView>
  </sheetViews>
  <sheetFormatPr defaultColWidth="8.88671875" defaultRowHeight="15"/>
  <cols>
    <col min="1" max="1" width="23.5546875" style="2" customWidth="1"/>
    <col min="2" max="3" width="14.99609375" style="2" customWidth="1"/>
    <col min="4"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43.4453125" style="2" customWidth="1"/>
    <col min="42" max="16384" width="8.88671875" style="2" customWidth="1"/>
  </cols>
  <sheetData>
    <row r="1" ht="15">
      <c r="A1" s="2" t="s">
        <v>92</v>
      </c>
    </row>
    <row r="2" ht="15">
      <c r="A2" s="24" t="s">
        <v>93</v>
      </c>
    </row>
    <row r="3" ht="15">
      <c r="A3" s="24" t="s">
        <v>94</v>
      </c>
    </row>
    <row r="4" spans="1:41" s="1" customFormat="1" ht="15" customHeight="1">
      <c r="A4" s="387" t="s">
        <v>26</v>
      </c>
      <c r="B4" s="387" t="s">
        <v>15</v>
      </c>
      <c r="C4" s="387" t="s">
        <v>14</v>
      </c>
      <c r="D4" s="390" t="s">
        <v>22</v>
      </c>
      <c r="E4" s="391"/>
      <c r="F4" s="391"/>
      <c r="G4" s="391"/>
      <c r="H4" s="391"/>
      <c r="I4" s="391"/>
      <c r="J4" s="391"/>
      <c r="K4" s="391"/>
      <c r="L4" s="391"/>
      <c r="M4" s="391"/>
      <c r="N4" s="391"/>
      <c r="O4" s="391"/>
      <c r="P4" s="391"/>
      <c r="Q4" s="392"/>
      <c r="R4" s="393" t="s">
        <v>29</v>
      </c>
      <c r="S4" s="394"/>
      <c r="T4" s="394"/>
      <c r="U4" s="394"/>
      <c r="V4" s="394"/>
      <c r="W4" s="394"/>
      <c r="X4" s="394"/>
      <c r="Y4" s="394"/>
      <c r="Z4" s="394"/>
      <c r="AA4" s="395"/>
      <c r="AB4" s="396" t="s">
        <v>39</v>
      </c>
      <c r="AC4" s="397"/>
      <c r="AD4" s="400" t="s">
        <v>25</v>
      </c>
      <c r="AE4" s="401"/>
      <c r="AF4" s="401"/>
      <c r="AG4" s="401"/>
      <c r="AH4" s="401"/>
      <c r="AI4" s="401"/>
      <c r="AJ4" s="402"/>
      <c r="AK4" s="385" t="s">
        <v>46</v>
      </c>
      <c r="AL4" s="385"/>
      <c r="AM4" s="385"/>
      <c r="AN4" s="404" t="s">
        <v>38</v>
      </c>
      <c r="AO4" s="387" t="s">
        <v>47</v>
      </c>
    </row>
    <row r="5" spans="1:41" s="1" customFormat="1" ht="53.25" customHeight="1">
      <c r="A5" s="388"/>
      <c r="B5" s="388"/>
      <c r="C5" s="388"/>
      <c r="D5" s="408" t="s">
        <v>42</v>
      </c>
      <c r="E5" s="409"/>
      <c r="F5" s="408" t="s">
        <v>43</v>
      </c>
      <c r="G5" s="409"/>
      <c r="H5" s="408" t="s">
        <v>44</v>
      </c>
      <c r="I5" s="409"/>
      <c r="J5" s="408" t="s">
        <v>20</v>
      </c>
      <c r="K5" s="409"/>
      <c r="L5" s="408" t="s">
        <v>45</v>
      </c>
      <c r="M5" s="409"/>
      <c r="N5" s="408" t="s">
        <v>19</v>
      </c>
      <c r="O5" s="409"/>
      <c r="P5" s="390" t="s">
        <v>23</v>
      </c>
      <c r="Q5" s="392"/>
      <c r="R5" s="390" t="s">
        <v>27</v>
      </c>
      <c r="S5" s="395"/>
      <c r="T5" s="393" t="s">
        <v>17</v>
      </c>
      <c r="U5" s="395"/>
      <c r="V5" s="393" t="s">
        <v>18</v>
      </c>
      <c r="W5" s="395"/>
      <c r="X5" s="393" t="s">
        <v>28</v>
      </c>
      <c r="Y5" s="395"/>
      <c r="Z5" s="390" t="s">
        <v>24</v>
      </c>
      <c r="AA5" s="392"/>
      <c r="AB5" s="398"/>
      <c r="AC5" s="399"/>
      <c r="AD5" s="387" t="s">
        <v>31</v>
      </c>
      <c r="AE5" s="387" t="s">
        <v>30</v>
      </c>
      <c r="AF5" s="387" t="s">
        <v>32</v>
      </c>
      <c r="AG5" s="387" t="s">
        <v>33</v>
      </c>
      <c r="AH5" s="387" t="s">
        <v>34</v>
      </c>
      <c r="AI5" s="387" t="s">
        <v>35</v>
      </c>
      <c r="AJ5" s="383" t="s">
        <v>37</v>
      </c>
      <c r="AK5" s="387" t="s">
        <v>40</v>
      </c>
      <c r="AL5" s="387" t="s">
        <v>41</v>
      </c>
      <c r="AM5" s="387" t="s">
        <v>36</v>
      </c>
      <c r="AN5" s="405"/>
      <c r="AO5" s="407"/>
    </row>
    <row r="6" spans="1:41" ht="57.75" customHeight="1">
      <c r="A6" s="410"/>
      <c r="B6" s="410"/>
      <c r="C6" s="410"/>
      <c r="D6" s="36" t="s">
        <v>16</v>
      </c>
      <c r="E6" s="36" t="s">
        <v>21</v>
      </c>
      <c r="F6" s="36" t="s">
        <v>16</v>
      </c>
      <c r="G6" s="36" t="s">
        <v>21</v>
      </c>
      <c r="H6" s="36" t="s">
        <v>16</v>
      </c>
      <c r="I6" s="36" t="s">
        <v>21</v>
      </c>
      <c r="J6" s="36" t="s">
        <v>16</v>
      </c>
      <c r="K6" s="36" t="s">
        <v>21</v>
      </c>
      <c r="L6" s="36" t="s">
        <v>16</v>
      </c>
      <c r="M6" s="36" t="s">
        <v>21</v>
      </c>
      <c r="N6" s="36" t="s">
        <v>16</v>
      </c>
      <c r="O6" s="36" t="s">
        <v>21</v>
      </c>
      <c r="P6" s="36" t="s">
        <v>16</v>
      </c>
      <c r="Q6" s="36" t="s">
        <v>21</v>
      </c>
      <c r="R6" s="37" t="s">
        <v>16</v>
      </c>
      <c r="S6" s="37" t="s">
        <v>21</v>
      </c>
      <c r="T6" s="37" t="s">
        <v>16</v>
      </c>
      <c r="U6" s="37" t="s">
        <v>21</v>
      </c>
      <c r="V6" s="37" t="s">
        <v>16</v>
      </c>
      <c r="W6" s="37" t="s">
        <v>21</v>
      </c>
      <c r="X6" s="37" t="s">
        <v>16</v>
      </c>
      <c r="Y6" s="37" t="s">
        <v>21</v>
      </c>
      <c r="Z6" s="37" t="s">
        <v>16</v>
      </c>
      <c r="AA6" s="37" t="s">
        <v>21</v>
      </c>
      <c r="AB6" s="38" t="s">
        <v>16</v>
      </c>
      <c r="AC6" s="39" t="s">
        <v>21</v>
      </c>
      <c r="AD6" s="411"/>
      <c r="AE6" s="411"/>
      <c r="AF6" s="411"/>
      <c r="AG6" s="411"/>
      <c r="AH6" s="411"/>
      <c r="AI6" s="411"/>
      <c r="AJ6" s="413"/>
      <c r="AK6" s="411"/>
      <c r="AL6" s="411"/>
      <c r="AM6" s="411"/>
      <c r="AN6" s="412"/>
      <c r="AO6" s="411"/>
    </row>
    <row r="7" spans="1:41" s="35" customFormat="1" ht="15">
      <c r="A7" s="40" t="s">
        <v>48</v>
      </c>
      <c r="B7" s="40" t="s">
        <v>49</v>
      </c>
      <c r="C7" s="40" t="s">
        <v>48</v>
      </c>
      <c r="D7" s="41">
        <v>1067</v>
      </c>
      <c r="E7" s="42">
        <v>992.31</v>
      </c>
      <c r="F7" s="41">
        <v>840</v>
      </c>
      <c r="G7" s="42">
        <v>805.82</v>
      </c>
      <c r="H7" s="41">
        <v>1549</v>
      </c>
      <c r="I7" s="42">
        <v>1500.37</v>
      </c>
      <c r="J7" s="41">
        <v>776</v>
      </c>
      <c r="K7" s="42">
        <v>752.23</v>
      </c>
      <c r="L7" s="41">
        <v>115</v>
      </c>
      <c r="M7" s="42">
        <v>112.55</v>
      </c>
      <c r="N7" s="41">
        <v>0</v>
      </c>
      <c r="O7" s="42">
        <v>0</v>
      </c>
      <c r="P7" s="43">
        <f aca="true" t="shared" si="0" ref="P7:Q20">SUM(D7,F7,H7,J7,L7,N7)</f>
        <v>4347</v>
      </c>
      <c r="Q7" s="44">
        <f t="shared" si="0"/>
        <v>4163.28</v>
      </c>
      <c r="R7" s="41">
        <v>180</v>
      </c>
      <c r="S7" s="41">
        <v>177.92</v>
      </c>
      <c r="T7" s="41">
        <v>18</v>
      </c>
      <c r="U7" s="41">
        <v>19</v>
      </c>
      <c r="V7" s="41">
        <v>183</v>
      </c>
      <c r="W7" s="41">
        <v>180.3</v>
      </c>
      <c r="X7" s="45">
        <v>17</v>
      </c>
      <c r="Y7" s="42">
        <v>16.11</v>
      </c>
      <c r="Z7" s="46">
        <f aca="true" t="shared" si="1" ref="Z7:Z20">SUM(R7,T7,V7,X7,)</f>
        <v>398</v>
      </c>
      <c r="AA7" s="47">
        <f aca="true" t="shared" si="2" ref="AA7:AA20">SUM(S7,U7,W7,Y7)</f>
        <v>393.33000000000004</v>
      </c>
      <c r="AB7" s="43">
        <f aca="true" t="shared" si="3" ref="AB7:AC20">P7+Z7</f>
        <v>4745</v>
      </c>
      <c r="AC7" s="44">
        <f t="shared" si="3"/>
        <v>4556.61</v>
      </c>
      <c r="AD7" s="48">
        <v>14902294.149999995</v>
      </c>
      <c r="AE7" s="48">
        <v>303076.91</v>
      </c>
      <c r="AF7" s="49">
        <v>13902.32</v>
      </c>
      <c r="AG7" s="50">
        <v>98366.38</v>
      </c>
      <c r="AH7" s="50">
        <v>2607865.63</v>
      </c>
      <c r="AI7" s="50">
        <v>1125676.15</v>
      </c>
      <c r="AJ7" s="51">
        <f aca="true" t="shared" si="4" ref="AJ7:AJ20">SUM(AD7:AI7)</f>
        <v>19051181.539999995</v>
      </c>
      <c r="AK7" s="50">
        <v>2368744.25</v>
      </c>
      <c r="AL7" s="50">
        <v>827249.28</v>
      </c>
      <c r="AM7" s="51">
        <f aca="true" t="shared" si="5" ref="AM7:AM20">SUM(AK7:AL7)</f>
        <v>3195993.5300000003</v>
      </c>
      <c r="AN7" s="51">
        <f aca="true" t="shared" si="6" ref="AN7:AN20">SUM(AM7,AJ7)</f>
        <v>22247175.069999997</v>
      </c>
      <c r="AO7" s="80"/>
    </row>
    <row r="8" spans="1:41" s="35" customFormat="1" ht="15">
      <c r="A8" s="53" t="s">
        <v>76</v>
      </c>
      <c r="B8" s="53" t="s">
        <v>51</v>
      </c>
      <c r="C8" s="53" t="s">
        <v>48</v>
      </c>
      <c r="D8" s="52">
        <v>14162</v>
      </c>
      <c r="E8" s="54">
        <v>12383.83</v>
      </c>
      <c r="F8" s="52">
        <v>3497</v>
      </c>
      <c r="G8" s="54">
        <v>3262.22</v>
      </c>
      <c r="H8" s="52">
        <v>2834</v>
      </c>
      <c r="I8" s="54">
        <v>2645.08</v>
      </c>
      <c r="J8" s="52">
        <v>667</v>
      </c>
      <c r="K8" s="54">
        <v>650.59</v>
      </c>
      <c r="L8" s="52">
        <v>38</v>
      </c>
      <c r="M8" s="54">
        <v>37.92</v>
      </c>
      <c r="N8" s="52">
        <v>0</v>
      </c>
      <c r="O8" s="54">
        <v>0</v>
      </c>
      <c r="P8" s="55">
        <f t="shared" si="0"/>
        <v>21198</v>
      </c>
      <c r="Q8" s="56">
        <f t="shared" si="0"/>
        <v>18979.639999999996</v>
      </c>
      <c r="R8" s="52" t="s">
        <v>90</v>
      </c>
      <c r="S8" s="57">
        <v>401.8</v>
      </c>
      <c r="T8" s="52">
        <v>0</v>
      </c>
      <c r="U8" s="52">
        <v>0</v>
      </c>
      <c r="V8" s="52">
        <v>0</v>
      </c>
      <c r="W8" s="52">
        <v>0</v>
      </c>
      <c r="X8" s="58">
        <v>0</v>
      </c>
      <c r="Y8" s="54">
        <v>0</v>
      </c>
      <c r="Z8" s="59">
        <f t="shared" si="1"/>
        <v>0</v>
      </c>
      <c r="AA8" s="60">
        <f t="shared" si="2"/>
        <v>401.8</v>
      </c>
      <c r="AB8" s="55">
        <f t="shared" si="3"/>
        <v>21198</v>
      </c>
      <c r="AC8" s="56">
        <f t="shared" si="3"/>
        <v>19381.439999999995</v>
      </c>
      <c r="AD8" s="61">
        <v>35928509.14000001</v>
      </c>
      <c r="AE8" s="61">
        <v>583295.72</v>
      </c>
      <c r="AF8" s="61">
        <v>280061.82</v>
      </c>
      <c r="AG8" s="61">
        <v>531787.66</v>
      </c>
      <c r="AH8" s="61">
        <v>6263362.4399999995</v>
      </c>
      <c r="AI8" s="61">
        <v>2530821.59</v>
      </c>
      <c r="AJ8" s="51">
        <f t="shared" si="4"/>
        <v>46117838.370000005</v>
      </c>
      <c r="AK8" s="61">
        <v>786423.77</v>
      </c>
      <c r="AL8" s="62">
        <v>0</v>
      </c>
      <c r="AM8" s="51">
        <f t="shared" si="5"/>
        <v>786423.77</v>
      </c>
      <c r="AN8" s="51">
        <f t="shared" si="6"/>
        <v>46904262.14000001</v>
      </c>
      <c r="AO8" s="80"/>
    </row>
    <row r="9" spans="1:41" s="35" customFormat="1" ht="15">
      <c r="A9" s="53" t="s">
        <v>55</v>
      </c>
      <c r="B9" s="53" t="s">
        <v>51</v>
      </c>
      <c r="C9" s="53" t="s">
        <v>48</v>
      </c>
      <c r="D9" s="63">
        <v>184</v>
      </c>
      <c r="E9" s="63">
        <v>165.11</v>
      </c>
      <c r="F9" s="63">
        <v>126</v>
      </c>
      <c r="G9" s="63">
        <v>121.07</v>
      </c>
      <c r="H9" s="63">
        <v>253</v>
      </c>
      <c r="I9" s="63">
        <v>245.86</v>
      </c>
      <c r="J9" s="63">
        <v>62</v>
      </c>
      <c r="K9" s="63">
        <v>61.16</v>
      </c>
      <c r="L9" s="63">
        <v>6</v>
      </c>
      <c r="M9" s="63">
        <v>6</v>
      </c>
      <c r="N9" s="63">
        <v>0</v>
      </c>
      <c r="O9" s="63">
        <v>0</v>
      </c>
      <c r="P9" s="55">
        <f t="shared" si="0"/>
        <v>631</v>
      </c>
      <c r="Q9" s="56">
        <f t="shared" si="0"/>
        <v>599.1999999999999</v>
      </c>
      <c r="R9" s="63">
        <v>20</v>
      </c>
      <c r="S9" s="64">
        <f>32.9-W9</f>
        <v>18.599999999999998</v>
      </c>
      <c r="T9" s="63">
        <v>0</v>
      </c>
      <c r="U9" s="63">
        <v>0</v>
      </c>
      <c r="V9" s="63">
        <v>15</v>
      </c>
      <c r="W9" s="64">
        <v>14.3</v>
      </c>
      <c r="X9" s="63">
        <v>0</v>
      </c>
      <c r="Y9" s="63">
        <v>0</v>
      </c>
      <c r="Z9" s="59">
        <f t="shared" si="1"/>
        <v>35</v>
      </c>
      <c r="AA9" s="60">
        <f t="shared" si="2"/>
        <v>32.9</v>
      </c>
      <c r="AB9" s="55">
        <f t="shared" si="3"/>
        <v>666</v>
      </c>
      <c r="AC9" s="56">
        <f t="shared" si="3"/>
        <v>632.0999999999999</v>
      </c>
      <c r="AD9" s="65">
        <f>1501619.43</f>
        <v>1501619.43</v>
      </c>
      <c r="AE9" s="65">
        <v>5715.89</v>
      </c>
      <c r="AF9" s="66">
        <v>0</v>
      </c>
      <c r="AG9" s="65">
        <v>14379.68</v>
      </c>
      <c r="AH9" s="65">
        <v>270068.04</v>
      </c>
      <c r="AI9" s="65">
        <v>124209.51</v>
      </c>
      <c r="AJ9" s="51">
        <f t="shared" si="4"/>
        <v>1915992.5499999998</v>
      </c>
      <c r="AK9" s="65">
        <v>116950.93</v>
      </c>
      <c r="AL9" s="67">
        <v>0</v>
      </c>
      <c r="AM9" s="51">
        <f t="shared" si="5"/>
        <v>116950.93</v>
      </c>
      <c r="AN9" s="51">
        <f t="shared" si="6"/>
        <v>2032943.4799999997</v>
      </c>
      <c r="AO9" s="80"/>
    </row>
    <row r="10" spans="1:41" s="35" customFormat="1" ht="60">
      <c r="A10" s="53" t="s">
        <v>56</v>
      </c>
      <c r="B10" s="53" t="s">
        <v>51</v>
      </c>
      <c r="C10" s="53" t="s">
        <v>48</v>
      </c>
      <c r="D10" s="52">
        <v>35031</v>
      </c>
      <c r="E10" s="54">
        <v>33517.54266059131</v>
      </c>
      <c r="F10" s="52">
        <v>6968</v>
      </c>
      <c r="G10" s="54">
        <v>6667.125012399145</v>
      </c>
      <c r="H10" s="52">
        <v>3095</v>
      </c>
      <c r="I10" s="54">
        <v>2881.5151433931924</v>
      </c>
      <c r="J10" s="52">
        <v>632</v>
      </c>
      <c r="K10" s="54">
        <v>617.0952380952381</v>
      </c>
      <c r="L10" s="52">
        <v>40</v>
      </c>
      <c r="M10" s="54">
        <v>39.8780487804878</v>
      </c>
      <c r="N10" s="52">
        <v>0</v>
      </c>
      <c r="O10" s="54">
        <v>0</v>
      </c>
      <c r="P10" s="55">
        <f t="shared" si="0"/>
        <v>45766</v>
      </c>
      <c r="Q10" s="56">
        <f t="shared" si="0"/>
        <v>43723.156103259375</v>
      </c>
      <c r="R10" s="68">
        <v>289.2</v>
      </c>
      <c r="S10" s="68">
        <v>289.2</v>
      </c>
      <c r="T10" s="68">
        <v>0</v>
      </c>
      <c r="U10" s="68">
        <v>0</v>
      </c>
      <c r="V10" s="68">
        <v>0</v>
      </c>
      <c r="W10" s="68">
        <v>0</v>
      </c>
      <c r="X10" s="68">
        <v>0</v>
      </c>
      <c r="Y10" s="68">
        <v>0</v>
      </c>
      <c r="Z10" s="59">
        <f t="shared" si="1"/>
        <v>289.2</v>
      </c>
      <c r="AA10" s="60">
        <f t="shared" si="2"/>
        <v>289.2</v>
      </c>
      <c r="AB10" s="55">
        <f t="shared" si="3"/>
        <v>46055.2</v>
      </c>
      <c r="AC10" s="56">
        <f t="shared" si="3"/>
        <v>44012.35610325937</v>
      </c>
      <c r="AD10" s="69">
        <v>99887797.51999994</v>
      </c>
      <c r="AE10" s="70">
        <v>0</v>
      </c>
      <c r="AF10" s="70">
        <v>0</v>
      </c>
      <c r="AG10" s="69">
        <v>5086959.6</v>
      </c>
      <c r="AH10" s="69">
        <v>18512446.39999999</v>
      </c>
      <c r="AI10" s="69">
        <v>7604982.160000005</v>
      </c>
      <c r="AJ10" s="51">
        <f t="shared" si="4"/>
        <v>131092185.67999993</v>
      </c>
      <c r="AK10" s="69">
        <v>2746975.95</v>
      </c>
      <c r="AL10" s="69">
        <v>393669.32</v>
      </c>
      <c r="AM10" s="51">
        <f t="shared" si="5"/>
        <v>3140645.27</v>
      </c>
      <c r="AN10" s="51">
        <f t="shared" si="6"/>
        <v>134232830.94999993</v>
      </c>
      <c r="AO10" s="81" t="s">
        <v>98</v>
      </c>
    </row>
    <row r="11" spans="1:41" s="35" customFormat="1" ht="30">
      <c r="A11" s="53" t="s">
        <v>58</v>
      </c>
      <c r="B11" s="53" t="s">
        <v>51</v>
      </c>
      <c r="C11" s="53" t="s">
        <v>48</v>
      </c>
      <c r="D11" s="52">
        <v>269</v>
      </c>
      <c r="E11" s="54">
        <v>251.18</v>
      </c>
      <c r="F11" s="52">
        <v>163</v>
      </c>
      <c r="G11" s="54">
        <v>155.36</v>
      </c>
      <c r="H11" s="52">
        <v>68</v>
      </c>
      <c r="I11" s="54">
        <v>66.84</v>
      </c>
      <c r="J11" s="52">
        <v>10</v>
      </c>
      <c r="K11" s="54">
        <v>9.82</v>
      </c>
      <c r="L11" s="52">
        <v>2</v>
      </c>
      <c r="M11" s="54">
        <v>1.78</v>
      </c>
      <c r="N11" s="52">
        <v>0</v>
      </c>
      <c r="O11" s="54">
        <v>0</v>
      </c>
      <c r="P11" s="55">
        <f t="shared" si="0"/>
        <v>512</v>
      </c>
      <c r="Q11" s="56">
        <f t="shared" si="0"/>
        <v>484.97999999999996</v>
      </c>
      <c r="R11" s="71">
        <v>149</v>
      </c>
      <c r="S11" s="71">
        <v>97.05</v>
      </c>
      <c r="T11" s="71">
        <v>0</v>
      </c>
      <c r="U11" s="71">
        <v>0</v>
      </c>
      <c r="V11" s="71">
        <v>0</v>
      </c>
      <c r="W11" s="71">
        <v>0</v>
      </c>
      <c r="X11" s="71">
        <v>1</v>
      </c>
      <c r="Y11" s="71">
        <v>1</v>
      </c>
      <c r="Z11" s="59">
        <f t="shared" si="1"/>
        <v>150</v>
      </c>
      <c r="AA11" s="60">
        <f t="shared" si="2"/>
        <v>98.05</v>
      </c>
      <c r="AB11" s="55">
        <f t="shared" si="3"/>
        <v>662</v>
      </c>
      <c r="AC11" s="56">
        <f t="shared" si="3"/>
        <v>583.03</v>
      </c>
      <c r="AD11" s="69">
        <v>906565.13</v>
      </c>
      <c r="AE11" s="69">
        <v>13215.47</v>
      </c>
      <c r="AF11" s="69">
        <v>2900</v>
      </c>
      <c r="AG11" s="69">
        <v>24168.34</v>
      </c>
      <c r="AH11" s="69">
        <v>144584.43</v>
      </c>
      <c r="AI11" s="69">
        <v>61866.13</v>
      </c>
      <c r="AJ11" s="51">
        <f t="shared" si="4"/>
        <v>1153299.4999999998</v>
      </c>
      <c r="AK11" s="69">
        <v>278593.21</v>
      </c>
      <c r="AL11" s="69">
        <v>34320.25</v>
      </c>
      <c r="AM11" s="51">
        <f t="shared" si="5"/>
        <v>312913.46</v>
      </c>
      <c r="AN11" s="51">
        <f t="shared" si="6"/>
        <v>1466212.9599999997</v>
      </c>
      <c r="AO11" s="80" t="s">
        <v>100</v>
      </c>
    </row>
    <row r="12" spans="1:41" s="35" customFormat="1" ht="30">
      <c r="A12" s="53" t="s">
        <v>60</v>
      </c>
      <c r="B12" s="53" t="s">
        <v>53</v>
      </c>
      <c r="C12" s="53" t="s">
        <v>48</v>
      </c>
      <c r="D12" s="68">
        <v>4</v>
      </c>
      <c r="E12" s="68">
        <v>4</v>
      </c>
      <c r="F12" s="68">
        <v>17</v>
      </c>
      <c r="G12" s="68">
        <v>17</v>
      </c>
      <c r="H12" s="68">
        <v>19</v>
      </c>
      <c r="I12" s="68">
        <v>18.8</v>
      </c>
      <c r="J12" s="68">
        <v>5</v>
      </c>
      <c r="K12" s="68">
        <v>4.47</v>
      </c>
      <c r="L12" s="68">
        <v>2</v>
      </c>
      <c r="M12" s="68">
        <v>2</v>
      </c>
      <c r="N12" s="68">
        <v>0</v>
      </c>
      <c r="O12" s="68">
        <v>0</v>
      </c>
      <c r="P12" s="55">
        <f t="shared" si="0"/>
        <v>47</v>
      </c>
      <c r="Q12" s="56">
        <f t="shared" si="0"/>
        <v>46.269999999999996</v>
      </c>
      <c r="R12" s="68">
        <v>0</v>
      </c>
      <c r="S12" s="68">
        <v>0</v>
      </c>
      <c r="T12" s="68">
        <v>0</v>
      </c>
      <c r="U12" s="68">
        <v>0</v>
      </c>
      <c r="V12" s="68">
        <v>0</v>
      </c>
      <c r="W12" s="68">
        <v>0</v>
      </c>
      <c r="X12" s="68">
        <v>0</v>
      </c>
      <c r="Y12" s="68">
        <v>0</v>
      </c>
      <c r="Z12" s="59">
        <f t="shared" si="1"/>
        <v>0</v>
      </c>
      <c r="AA12" s="60">
        <f t="shared" si="2"/>
        <v>0</v>
      </c>
      <c r="AB12" s="55">
        <f t="shared" si="3"/>
        <v>47</v>
      </c>
      <c r="AC12" s="56">
        <f t="shared" si="3"/>
        <v>46.269999999999996</v>
      </c>
      <c r="AD12" s="72">
        <v>133159.19</v>
      </c>
      <c r="AE12" s="68">
        <v>565.19</v>
      </c>
      <c r="AF12" s="70">
        <v>0</v>
      </c>
      <c r="AG12" s="72">
        <v>1360.04</v>
      </c>
      <c r="AH12" s="72">
        <v>24309.61</v>
      </c>
      <c r="AI12" s="72">
        <v>12164.24</v>
      </c>
      <c r="AJ12" s="51">
        <f t="shared" si="4"/>
        <v>171558.27000000002</v>
      </c>
      <c r="AK12" s="67">
        <v>0</v>
      </c>
      <c r="AL12" s="67">
        <v>0</v>
      </c>
      <c r="AM12" s="51">
        <f t="shared" si="5"/>
        <v>0</v>
      </c>
      <c r="AN12" s="51">
        <f t="shared" si="6"/>
        <v>171558.27000000002</v>
      </c>
      <c r="AO12" s="81" t="s">
        <v>101</v>
      </c>
    </row>
    <row r="13" spans="1:41" s="35" customFormat="1" ht="90">
      <c r="A13" s="53" t="s">
        <v>62</v>
      </c>
      <c r="B13" s="53" t="s">
        <v>63</v>
      </c>
      <c r="C13" s="53" t="s">
        <v>48</v>
      </c>
      <c r="D13" s="68">
        <v>0</v>
      </c>
      <c r="E13" s="73">
        <v>0</v>
      </c>
      <c r="F13" s="68">
        <v>0</v>
      </c>
      <c r="G13" s="73">
        <v>0</v>
      </c>
      <c r="H13" s="68">
        <v>0</v>
      </c>
      <c r="I13" s="73">
        <v>0</v>
      </c>
      <c r="J13" s="68">
        <v>0</v>
      </c>
      <c r="K13" s="73">
        <v>0</v>
      </c>
      <c r="L13" s="68">
        <v>0</v>
      </c>
      <c r="M13" s="73">
        <v>0</v>
      </c>
      <c r="N13" s="68">
        <v>74</v>
      </c>
      <c r="O13" s="68">
        <v>68.38</v>
      </c>
      <c r="P13" s="55">
        <f t="shared" si="0"/>
        <v>74</v>
      </c>
      <c r="Q13" s="56">
        <f t="shared" si="0"/>
        <v>68.38</v>
      </c>
      <c r="R13" s="68">
        <v>2</v>
      </c>
      <c r="S13" s="68">
        <v>1.81</v>
      </c>
      <c r="T13" s="68">
        <v>0</v>
      </c>
      <c r="U13" s="68">
        <v>0</v>
      </c>
      <c r="V13" s="68">
        <v>0</v>
      </c>
      <c r="W13" s="68">
        <v>0</v>
      </c>
      <c r="X13" s="68">
        <v>0</v>
      </c>
      <c r="Y13" s="68">
        <v>0</v>
      </c>
      <c r="Z13" s="59">
        <f t="shared" si="1"/>
        <v>2</v>
      </c>
      <c r="AA13" s="60">
        <f t="shared" si="2"/>
        <v>1.81</v>
      </c>
      <c r="AB13" s="55">
        <f t="shared" si="3"/>
        <v>76</v>
      </c>
      <c r="AC13" s="56">
        <f t="shared" si="3"/>
        <v>70.19</v>
      </c>
      <c r="AD13" s="50">
        <v>196128</v>
      </c>
      <c r="AE13" s="50">
        <v>43</v>
      </c>
      <c r="AF13" s="70">
        <v>0</v>
      </c>
      <c r="AG13" s="74">
        <v>0</v>
      </c>
      <c r="AH13" s="50">
        <v>36728</v>
      </c>
      <c r="AI13" s="50">
        <v>15953</v>
      </c>
      <c r="AJ13" s="51">
        <f t="shared" si="4"/>
        <v>248852</v>
      </c>
      <c r="AK13" s="50">
        <v>5551</v>
      </c>
      <c r="AL13" s="70">
        <v>0</v>
      </c>
      <c r="AM13" s="51">
        <f t="shared" si="5"/>
        <v>5551</v>
      </c>
      <c r="AN13" s="51">
        <f t="shared" si="6"/>
        <v>254403</v>
      </c>
      <c r="AO13" s="81" t="s">
        <v>64</v>
      </c>
    </row>
    <row r="14" spans="1:41" s="35" customFormat="1" ht="15">
      <c r="A14" s="53" t="s">
        <v>66</v>
      </c>
      <c r="B14" s="53" t="s">
        <v>63</v>
      </c>
      <c r="C14" s="53" t="s">
        <v>48</v>
      </c>
      <c r="D14" s="68">
        <v>0</v>
      </c>
      <c r="E14" s="68">
        <v>0</v>
      </c>
      <c r="F14" s="68">
        <v>0</v>
      </c>
      <c r="G14" s="68">
        <v>0</v>
      </c>
      <c r="H14" s="68">
        <v>0</v>
      </c>
      <c r="I14" s="68">
        <v>0</v>
      </c>
      <c r="J14" s="68">
        <v>0</v>
      </c>
      <c r="K14" s="68">
        <v>0</v>
      </c>
      <c r="L14" s="68">
        <v>0</v>
      </c>
      <c r="M14" s="68">
        <v>0</v>
      </c>
      <c r="N14" s="68">
        <v>350</v>
      </c>
      <c r="O14" s="68">
        <v>323.74</v>
      </c>
      <c r="P14" s="55">
        <f t="shared" si="0"/>
        <v>350</v>
      </c>
      <c r="Q14" s="56">
        <f t="shared" si="0"/>
        <v>323.74</v>
      </c>
      <c r="R14" s="68">
        <v>17</v>
      </c>
      <c r="S14" s="68">
        <v>16.11</v>
      </c>
      <c r="T14" s="68">
        <v>0</v>
      </c>
      <c r="U14" s="68">
        <v>0</v>
      </c>
      <c r="V14" s="68">
        <v>0</v>
      </c>
      <c r="W14" s="68">
        <v>0</v>
      </c>
      <c r="X14" s="68">
        <v>0</v>
      </c>
      <c r="Y14" s="68">
        <v>0</v>
      </c>
      <c r="Z14" s="59">
        <f t="shared" si="1"/>
        <v>17</v>
      </c>
      <c r="AA14" s="60">
        <f t="shared" si="2"/>
        <v>16.11</v>
      </c>
      <c r="AB14" s="55">
        <f t="shared" si="3"/>
        <v>367</v>
      </c>
      <c r="AC14" s="56">
        <f t="shared" si="3"/>
        <v>339.85</v>
      </c>
      <c r="AD14" s="69">
        <f>711576.67-AE14</f>
        <v>710619.02</v>
      </c>
      <c r="AE14" s="69">
        <f>402.64+555.01</f>
        <v>957.65</v>
      </c>
      <c r="AF14" s="70">
        <v>0</v>
      </c>
      <c r="AG14" s="69">
        <v>16181.2</v>
      </c>
      <c r="AH14" s="69">
        <v>136991.76</v>
      </c>
      <c r="AI14" s="69">
        <v>51154.06</v>
      </c>
      <c r="AJ14" s="51">
        <f t="shared" si="4"/>
        <v>915903.69</v>
      </c>
      <c r="AK14" s="75">
        <v>31280.96</v>
      </c>
      <c r="AL14" s="76">
        <v>0</v>
      </c>
      <c r="AM14" s="51">
        <f t="shared" si="5"/>
        <v>31280.96</v>
      </c>
      <c r="AN14" s="51">
        <f t="shared" si="6"/>
        <v>947184.6499999999</v>
      </c>
      <c r="AO14" s="80"/>
    </row>
    <row r="15" spans="1:41" s="35" customFormat="1" ht="15">
      <c r="A15" s="53" t="s">
        <v>67</v>
      </c>
      <c r="B15" s="53" t="s">
        <v>63</v>
      </c>
      <c r="C15" s="53" t="s">
        <v>48</v>
      </c>
      <c r="D15" s="68">
        <v>13</v>
      </c>
      <c r="E15" s="68">
        <v>13</v>
      </c>
      <c r="F15" s="68">
        <v>20</v>
      </c>
      <c r="G15" s="68">
        <v>18.8</v>
      </c>
      <c r="H15" s="68">
        <v>24</v>
      </c>
      <c r="I15" s="68">
        <v>24</v>
      </c>
      <c r="J15" s="68">
        <v>15</v>
      </c>
      <c r="K15" s="68">
        <v>14.2</v>
      </c>
      <c r="L15" s="68">
        <v>3</v>
      </c>
      <c r="M15" s="68">
        <v>3</v>
      </c>
      <c r="N15" s="68">
        <v>1</v>
      </c>
      <c r="O15" s="68">
        <v>0.6</v>
      </c>
      <c r="P15" s="55">
        <f t="shared" si="0"/>
        <v>76</v>
      </c>
      <c r="Q15" s="56">
        <f t="shared" si="0"/>
        <v>73.6</v>
      </c>
      <c r="R15" s="52">
        <v>0</v>
      </c>
      <c r="S15" s="54">
        <v>0</v>
      </c>
      <c r="T15" s="52">
        <v>0</v>
      </c>
      <c r="U15" s="54">
        <v>0</v>
      </c>
      <c r="V15" s="52">
        <v>0</v>
      </c>
      <c r="W15" s="54">
        <v>0</v>
      </c>
      <c r="X15" s="58">
        <v>0</v>
      </c>
      <c r="Y15" s="54">
        <v>0</v>
      </c>
      <c r="Z15" s="59">
        <f t="shared" si="1"/>
        <v>0</v>
      </c>
      <c r="AA15" s="60">
        <f t="shared" si="2"/>
        <v>0</v>
      </c>
      <c r="AB15" s="55">
        <f t="shared" si="3"/>
        <v>76</v>
      </c>
      <c r="AC15" s="56">
        <f t="shared" si="3"/>
        <v>73.6</v>
      </c>
      <c r="AD15" s="50">
        <v>210925</v>
      </c>
      <c r="AE15" s="50">
        <v>2823</v>
      </c>
      <c r="AF15" s="66">
        <v>0</v>
      </c>
      <c r="AG15" s="66">
        <v>0</v>
      </c>
      <c r="AH15" s="50">
        <v>39806</v>
      </c>
      <c r="AI15" s="50">
        <v>18088</v>
      </c>
      <c r="AJ15" s="51">
        <f t="shared" si="4"/>
        <v>271642</v>
      </c>
      <c r="AK15" s="67">
        <v>0</v>
      </c>
      <c r="AL15" s="67">
        <v>0</v>
      </c>
      <c r="AM15" s="51">
        <f t="shared" si="5"/>
        <v>0</v>
      </c>
      <c r="AN15" s="51">
        <f t="shared" si="6"/>
        <v>271642</v>
      </c>
      <c r="AO15" s="80"/>
    </row>
    <row r="16" spans="1:41" s="35" customFormat="1" ht="45">
      <c r="A16" s="53" t="s">
        <v>68</v>
      </c>
      <c r="B16" s="53" t="s">
        <v>63</v>
      </c>
      <c r="C16" s="53" t="s">
        <v>48</v>
      </c>
      <c r="D16" s="52">
        <v>0</v>
      </c>
      <c r="E16" s="54">
        <v>0</v>
      </c>
      <c r="F16" s="52">
        <v>0</v>
      </c>
      <c r="G16" s="54">
        <v>0</v>
      </c>
      <c r="H16" s="52">
        <v>0</v>
      </c>
      <c r="I16" s="54">
        <v>0</v>
      </c>
      <c r="J16" s="52">
        <v>0</v>
      </c>
      <c r="K16" s="54">
        <v>0</v>
      </c>
      <c r="L16" s="52">
        <v>0</v>
      </c>
      <c r="M16" s="54">
        <v>0</v>
      </c>
      <c r="N16" s="52">
        <v>31</v>
      </c>
      <c r="O16" s="54">
        <v>30.6</v>
      </c>
      <c r="P16" s="55">
        <f t="shared" si="0"/>
        <v>31</v>
      </c>
      <c r="Q16" s="56">
        <f t="shared" si="0"/>
        <v>30.6</v>
      </c>
      <c r="R16" s="68">
        <v>0</v>
      </c>
      <c r="S16" s="63">
        <v>0</v>
      </c>
      <c r="T16" s="63">
        <v>0</v>
      </c>
      <c r="U16" s="63">
        <v>0</v>
      </c>
      <c r="V16" s="63">
        <v>0</v>
      </c>
      <c r="W16" s="63">
        <v>0</v>
      </c>
      <c r="X16" s="63">
        <v>0</v>
      </c>
      <c r="Y16" s="63">
        <v>0</v>
      </c>
      <c r="Z16" s="59">
        <f t="shared" si="1"/>
        <v>0</v>
      </c>
      <c r="AA16" s="60">
        <f t="shared" si="2"/>
        <v>0</v>
      </c>
      <c r="AB16" s="55">
        <f t="shared" si="3"/>
        <v>31</v>
      </c>
      <c r="AC16" s="56">
        <f t="shared" si="3"/>
        <v>30.6</v>
      </c>
      <c r="AD16" s="77">
        <v>147125.57</v>
      </c>
      <c r="AE16" s="66">
        <v>0</v>
      </c>
      <c r="AF16" s="66">
        <v>0</v>
      </c>
      <c r="AG16" s="66">
        <v>0</v>
      </c>
      <c r="AH16" s="77">
        <v>29913.46</v>
      </c>
      <c r="AI16" s="77">
        <v>17896.96</v>
      </c>
      <c r="AJ16" s="51">
        <f t="shared" si="4"/>
        <v>194935.99</v>
      </c>
      <c r="AK16" s="67">
        <v>0</v>
      </c>
      <c r="AL16" s="67">
        <v>0</v>
      </c>
      <c r="AM16" s="51">
        <f t="shared" si="5"/>
        <v>0</v>
      </c>
      <c r="AN16" s="51">
        <f t="shared" si="6"/>
        <v>194935.99</v>
      </c>
      <c r="AO16" s="82" t="s">
        <v>69</v>
      </c>
    </row>
    <row r="17" spans="1:41" s="35" customFormat="1" ht="15">
      <c r="A17" s="53" t="s">
        <v>70</v>
      </c>
      <c r="B17" s="53" t="s">
        <v>63</v>
      </c>
      <c r="C17" s="53" t="s">
        <v>48</v>
      </c>
      <c r="D17" s="63">
        <v>806</v>
      </c>
      <c r="E17" s="63">
        <v>760.7</v>
      </c>
      <c r="F17" s="63">
        <v>255</v>
      </c>
      <c r="G17" s="63">
        <v>245.28</v>
      </c>
      <c r="H17" s="63">
        <v>384</v>
      </c>
      <c r="I17" s="63">
        <v>368.33</v>
      </c>
      <c r="J17" s="63">
        <v>99</v>
      </c>
      <c r="K17" s="63">
        <v>97.67</v>
      </c>
      <c r="L17" s="63">
        <v>16</v>
      </c>
      <c r="M17" s="63">
        <v>10.2</v>
      </c>
      <c r="N17" s="63">
        <v>0</v>
      </c>
      <c r="O17" s="63">
        <v>0</v>
      </c>
      <c r="P17" s="55">
        <f t="shared" si="0"/>
        <v>1560</v>
      </c>
      <c r="Q17" s="56">
        <f t="shared" si="0"/>
        <v>1482.18</v>
      </c>
      <c r="R17" s="63">
        <v>75</v>
      </c>
      <c r="S17" s="63">
        <v>66.1</v>
      </c>
      <c r="T17" s="63">
        <v>0</v>
      </c>
      <c r="U17" s="63">
        <v>0</v>
      </c>
      <c r="V17" s="63">
        <v>12</v>
      </c>
      <c r="W17" s="63">
        <v>12</v>
      </c>
      <c r="X17" s="63">
        <v>0</v>
      </c>
      <c r="Y17" s="63">
        <v>0</v>
      </c>
      <c r="Z17" s="59">
        <f t="shared" si="1"/>
        <v>87</v>
      </c>
      <c r="AA17" s="60">
        <f t="shared" si="2"/>
        <v>78.1</v>
      </c>
      <c r="AB17" s="55">
        <f t="shared" si="3"/>
        <v>1647</v>
      </c>
      <c r="AC17" s="56">
        <f t="shared" si="3"/>
        <v>1560.28</v>
      </c>
      <c r="AD17" s="77">
        <v>3328738.47</v>
      </c>
      <c r="AE17" s="66">
        <v>0</v>
      </c>
      <c r="AF17" s="66">
        <v>0</v>
      </c>
      <c r="AG17" s="77">
        <v>118319.65</v>
      </c>
      <c r="AH17" s="77">
        <v>22846.59</v>
      </c>
      <c r="AI17" s="77">
        <v>280342.08</v>
      </c>
      <c r="AJ17" s="51">
        <f t="shared" si="4"/>
        <v>3750246.79</v>
      </c>
      <c r="AK17" s="77">
        <v>140490.64</v>
      </c>
      <c r="AL17" s="67">
        <v>0</v>
      </c>
      <c r="AM17" s="51">
        <f t="shared" si="5"/>
        <v>140490.64</v>
      </c>
      <c r="AN17" s="51">
        <f t="shared" si="6"/>
        <v>3890737.43</v>
      </c>
      <c r="AO17" s="80"/>
    </row>
    <row r="18" spans="1:41" s="35" customFormat="1" ht="15">
      <c r="A18" s="53" t="s">
        <v>71</v>
      </c>
      <c r="B18" s="53" t="s">
        <v>63</v>
      </c>
      <c r="C18" s="53" t="s">
        <v>48</v>
      </c>
      <c r="D18" s="68">
        <v>24</v>
      </c>
      <c r="E18" s="63">
        <v>23.43</v>
      </c>
      <c r="F18" s="63">
        <v>45</v>
      </c>
      <c r="G18" s="63">
        <v>45.7</v>
      </c>
      <c r="H18" s="63">
        <v>15</v>
      </c>
      <c r="I18" s="63">
        <v>14.6</v>
      </c>
      <c r="J18" s="63">
        <v>6</v>
      </c>
      <c r="K18" s="63">
        <v>6</v>
      </c>
      <c r="L18" s="63">
        <v>1</v>
      </c>
      <c r="M18" s="63">
        <v>1</v>
      </c>
      <c r="N18" s="63">
        <v>1</v>
      </c>
      <c r="O18" s="63">
        <v>0.4</v>
      </c>
      <c r="P18" s="55">
        <f t="shared" si="0"/>
        <v>92</v>
      </c>
      <c r="Q18" s="56">
        <f t="shared" si="0"/>
        <v>91.13</v>
      </c>
      <c r="R18" s="68">
        <v>0</v>
      </c>
      <c r="S18" s="63">
        <v>0</v>
      </c>
      <c r="T18" s="63">
        <v>0</v>
      </c>
      <c r="U18" s="63">
        <v>0</v>
      </c>
      <c r="V18" s="63">
        <v>0</v>
      </c>
      <c r="W18" s="63">
        <v>0</v>
      </c>
      <c r="X18" s="63">
        <v>0</v>
      </c>
      <c r="Y18" s="63">
        <v>0</v>
      </c>
      <c r="Z18" s="59">
        <f t="shared" si="1"/>
        <v>0</v>
      </c>
      <c r="AA18" s="60">
        <f t="shared" si="2"/>
        <v>0</v>
      </c>
      <c r="AB18" s="55">
        <f t="shared" si="3"/>
        <v>92</v>
      </c>
      <c r="AC18" s="56">
        <f t="shared" si="3"/>
        <v>91.13</v>
      </c>
      <c r="AD18" s="78">
        <f>184900.31-1165.1-93.79+396.8-851.25</f>
        <v>183186.96999999997</v>
      </c>
      <c r="AE18" s="78">
        <f>152.07+21465.51+400.95+235.84-2332.3-50</f>
        <v>19872.07</v>
      </c>
      <c r="AF18" s="79">
        <v>0</v>
      </c>
      <c r="AG18" s="78">
        <f>2630.29</f>
        <v>2630.29</v>
      </c>
      <c r="AH18" s="78">
        <f>34788.37</f>
        <v>34788.37</v>
      </c>
      <c r="AI18" s="78">
        <f>16679.79</f>
        <v>16679.79</v>
      </c>
      <c r="AJ18" s="51">
        <f t="shared" si="4"/>
        <v>257157.49</v>
      </c>
      <c r="AK18" s="78">
        <f>14032.6+7759.09</f>
        <v>21791.690000000002</v>
      </c>
      <c r="AL18" s="67">
        <v>0</v>
      </c>
      <c r="AM18" s="51">
        <f t="shared" si="5"/>
        <v>21791.690000000002</v>
      </c>
      <c r="AN18" s="51">
        <f t="shared" si="6"/>
        <v>278949.18</v>
      </c>
      <c r="AO18" s="80"/>
    </row>
    <row r="19" spans="1:41" s="35" customFormat="1" ht="90">
      <c r="A19" s="53" t="s">
        <v>72</v>
      </c>
      <c r="B19" s="53" t="s">
        <v>63</v>
      </c>
      <c r="C19" s="53" t="s">
        <v>48</v>
      </c>
      <c r="D19" s="68">
        <v>0</v>
      </c>
      <c r="E19" s="68">
        <v>0</v>
      </c>
      <c r="F19" s="68">
        <v>0</v>
      </c>
      <c r="G19" s="68">
        <v>0</v>
      </c>
      <c r="H19" s="68">
        <v>0</v>
      </c>
      <c r="I19" s="68">
        <v>0</v>
      </c>
      <c r="J19" s="68">
        <v>0</v>
      </c>
      <c r="K19" s="68">
        <v>0</v>
      </c>
      <c r="L19" s="68">
        <v>0</v>
      </c>
      <c r="M19" s="68">
        <v>0</v>
      </c>
      <c r="N19" s="57">
        <v>19906</v>
      </c>
      <c r="O19" s="57">
        <v>17942</v>
      </c>
      <c r="P19" s="55">
        <f t="shared" si="0"/>
        <v>19906</v>
      </c>
      <c r="Q19" s="56">
        <f t="shared" si="0"/>
        <v>17942</v>
      </c>
      <c r="R19" s="57">
        <v>1576</v>
      </c>
      <c r="S19" s="57">
        <v>1576</v>
      </c>
      <c r="T19" s="57">
        <v>8</v>
      </c>
      <c r="U19" s="57">
        <v>8</v>
      </c>
      <c r="V19" s="52">
        <v>0</v>
      </c>
      <c r="W19" s="52">
        <v>0</v>
      </c>
      <c r="X19" s="52">
        <v>0</v>
      </c>
      <c r="Y19" s="52">
        <v>0</v>
      </c>
      <c r="Z19" s="59">
        <f t="shared" si="1"/>
        <v>1584</v>
      </c>
      <c r="AA19" s="60">
        <f t="shared" si="2"/>
        <v>1584</v>
      </c>
      <c r="AB19" s="55">
        <f t="shared" si="3"/>
        <v>21490</v>
      </c>
      <c r="AC19" s="56">
        <f t="shared" si="3"/>
        <v>19526</v>
      </c>
      <c r="AD19" s="77" t="s">
        <v>90</v>
      </c>
      <c r="AE19" s="77" t="s">
        <v>90</v>
      </c>
      <c r="AF19" s="77" t="s">
        <v>90</v>
      </c>
      <c r="AG19" s="77" t="s">
        <v>90</v>
      </c>
      <c r="AH19" s="77" t="s">
        <v>90</v>
      </c>
      <c r="AI19" s="77" t="s">
        <v>90</v>
      </c>
      <c r="AJ19" s="51" t="s">
        <v>90</v>
      </c>
      <c r="AK19" s="77" t="s">
        <v>90</v>
      </c>
      <c r="AL19" s="77" t="s">
        <v>90</v>
      </c>
      <c r="AM19" s="51" t="s">
        <v>90</v>
      </c>
      <c r="AN19" s="51" t="s">
        <v>90</v>
      </c>
      <c r="AO19" s="80" t="s">
        <v>102</v>
      </c>
    </row>
    <row r="20" spans="1:41" s="35" customFormat="1" ht="15">
      <c r="A20" s="53" t="s">
        <v>74</v>
      </c>
      <c r="B20" s="53" t="s">
        <v>63</v>
      </c>
      <c r="C20" s="53" t="s">
        <v>48</v>
      </c>
      <c r="D20" s="68">
        <v>18</v>
      </c>
      <c r="E20" s="68">
        <v>16.45</v>
      </c>
      <c r="F20" s="68">
        <v>39</v>
      </c>
      <c r="G20" s="68">
        <v>37.93</v>
      </c>
      <c r="H20" s="68">
        <v>111</v>
      </c>
      <c r="I20" s="68">
        <v>109.14</v>
      </c>
      <c r="J20" s="68">
        <v>32</v>
      </c>
      <c r="K20" s="68">
        <v>31.9</v>
      </c>
      <c r="L20" s="68">
        <v>4</v>
      </c>
      <c r="M20" s="68">
        <v>3.6</v>
      </c>
      <c r="N20" s="68">
        <v>9</v>
      </c>
      <c r="O20" s="68">
        <v>9</v>
      </c>
      <c r="P20" s="55">
        <f t="shared" si="0"/>
        <v>213</v>
      </c>
      <c r="Q20" s="56">
        <f t="shared" si="0"/>
        <v>208.01999999999998</v>
      </c>
      <c r="R20" s="68">
        <v>8</v>
      </c>
      <c r="S20" s="68">
        <v>8</v>
      </c>
      <c r="T20" s="68">
        <v>0</v>
      </c>
      <c r="U20" s="68">
        <v>0</v>
      </c>
      <c r="V20" s="68">
        <v>7</v>
      </c>
      <c r="W20" s="68">
        <v>6.8</v>
      </c>
      <c r="X20" s="68">
        <v>0</v>
      </c>
      <c r="Y20" s="68">
        <v>0</v>
      </c>
      <c r="Z20" s="59">
        <f t="shared" si="1"/>
        <v>15</v>
      </c>
      <c r="AA20" s="60">
        <f t="shared" si="2"/>
        <v>14.8</v>
      </c>
      <c r="AB20" s="55">
        <f t="shared" si="3"/>
        <v>228</v>
      </c>
      <c r="AC20" s="56">
        <f t="shared" si="3"/>
        <v>222.82</v>
      </c>
      <c r="AD20" s="72">
        <v>463086.46</v>
      </c>
      <c r="AE20" s="72">
        <v>64382.47</v>
      </c>
      <c r="AF20" s="70">
        <v>0</v>
      </c>
      <c r="AG20" s="72">
        <v>2762.87</v>
      </c>
      <c r="AH20" s="72">
        <v>102752.87</v>
      </c>
      <c r="AI20" s="72">
        <v>47010.16</v>
      </c>
      <c r="AJ20" s="51">
        <f t="shared" si="4"/>
        <v>679994.8300000001</v>
      </c>
      <c r="AK20" s="72">
        <v>273871.26</v>
      </c>
      <c r="AL20" s="68">
        <v>0</v>
      </c>
      <c r="AM20" s="51">
        <f t="shared" si="5"/>
        <v>273871.26</v>
      </c>
      <c r="AN20" s="51">
        <f t="shared" si="6"/>
        <v>953866.0900000001</v>
      </c>
      <c r="AO20" s="80"/>
    </row>
    <row r="21" spans="1:41" ht="15">
      <c r="A21" s="3"/>
      <c r="B21" s="3"/>
      <c r="C21" s="3"/>
      <c r="D21" s="12"/>
      <c r="E21" s="12"/>
      <c r="F21" s="12"/>
      <c r="G21" s="12"/>
      <c r="H21" s="12"/>
      <c r="I21" s="12"/>
      <c r="J21" s="12"/>
      <c r="K21" s="12"/>
      <c r="L21" s="12"/>
      <c r="M21" s="12"/>
      <c r="N21" s="12"/>
      <c r="O21" s="12"/>
      <c r="P21" s="13"/>
      <c r="Q21" s="13"/>
      <c r="R21" s="12"/>
      <c r="S21" s="12"/>
      <c r="T21" s="12"/>
      <c r="U21" s="12"/>
      <c r="V21" s="12"/>
      <c r="W21" s="12"/>
      <c r="X21" s="12"/>
      <c r="Y21" s="12"/>
      <c r="Z21" s="14"/>
      <c r="AA21" s="14"/>
      <c r="AB21" s="4"/>
      <c r="AC21" s="4"/>
      <c r="AD21" s="6"/>
      <c r="AE21" s="6"/>
      <c r="AF21" s="6"/>
      <c r="AG21" s="6"/>
      <c r="AH21" s="6"/>
      <c r="AI21" s="6"/>
      <c r="AJ21" s="7"/>
      <c r="AK21" s="5"/>
      <c r="AL21" s="5"/>
      <c r="AM21" s="8"/>
      <c r="AN21" s="8"/>
      <c r="AO21" s="9"/>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row r="101" spans="1:41" ht="15">
      <c r="A101" s="3"/>
      <c r="B101" s="3"/>
      <c r="C101" s="3"/>
      <c r="D101" s="12"/>
      <c r="E101" s="12"/>
      <c r="F101" s="12"/>
      <c r="G101" s="12"/>
      <c r="H101" s="12"/>
      <c r="I101" s="12"/>
      <c r="J101" s="12"/>
      <c r="K101" s="12"/>
      <c r="L101" s="12"/>
      <c r="M101" s="12"/>
      <c r="N101" s="12"/>
      <c r="O101" s="12"/>
      <c r="P101" s="13"/>
      <c r="Q101" s="13"/>
      <c r="R101" s="12"/>
      <c r="S101" s="12"/>
      <c r="T101" s="12"/>
      <c r="U101" s="12"/>
      <c r="V101" s="12"/>
      <c r="W101" s="12"/>
      <c r="X101" s="12"/>
      <c r="Y101" s="12"/>
      <c r="Z101" s="14"/>
      <c r="AA101" s="14"/>
      <c r="AB101" s="4"/>
      <c r="AC101" s="4"/>
      <c r="AD101" s="6"/>
      <c r="AE101" s="6"/>
      <c r="AF101" s="6"/>
      <c r="AG101" s="6"/>
      <c r="AH101" s="6"/>
      <c r="AI101" s="6"/>
      <c r="AJ101" s="7"/>
      <c r="AK101" s="5"/>
      <c r="AL101" s="5"/>
      <c r="AM101" s="8"/>
      <c r="AN101" s="8"/>
      <c r="AO101" s="9"/>
    </row>
    <row r="102" spans="1:41" ht="15">
      <c r="A102" s="3"/>
      <c r="B102" s="3"/>
      <c r="C102" s="3"/>
      <c r="D102" s="12"/>
      <c r="E102" s="12"/>
      <c r="F102" s="12"/>
      <c r="G102" s="12"/>
      <c r="H102" s="12"/>
      <c r="I102" s="12"/>
      <c r="J102" s="12"/>
      <c r="K102" s="12"/>
      <c r="L102" s="12"/>
      <c r="M102" s="12"/>
      <c r="N102" s="12"/>
      <c r="O102" s="12"/>
      <c r="P102" s="13"/>
      <c r="Q102" s="13"/>
      <c r="R102" s="12"/>
      <c r="S102" s="12"/>
      <c r="T102" s="12"/>
      <c r="U102" s="12"/>
      <c r="V102" s="12"/>
      <c r="W102" s="12"/>
      <c r="X102" s="12"/>
      <c r="Y102" s="12"/>
      <c r="Z102" s="14"/>
      <c r="AA102" s="14"/>
      <c r="AB102" s="4"/>
      <c r="AC102" s="4"/>
      <c r="AD102" s="6"/>
      <c r="AE102" s="6"/>
      <c r="AF102" s="6"/>
      <c r="AG102" s="6"/>
      <c r="AH102" s="6"/>
      <c r="AI102" s="6"/>
      <c r="AJ102" s="7"/>
      <c r="AK102" s="5"/>
      <c r="AL102" s="5"/>
      <c r="AM102" s="8"/>
      <c r="AN102" s="8"/>
      <c r="AO102" s="9"/>
    </row>
    <row r="103" spans="1:41" ht="15">
      <c r="A103" s="3"/>
      <c r="B103" s="3"/>
      <c r="C103" s="3"/>
      <c r="D103" s="12"/>
      <c r="E103" s="12"/>
      <c r="F103" s="12"/>
      <c r="G103" s="12"/>
      <c r="H103" s="12"/>
      <c r="I103" s="12"/>
      <c r="J103" s="12"/>
      <c r="K103" s="12"/>
      <c r="L103" s="12"/>
      <c r="M103" s="12"/>
      <c r="N103" s="12"/>
      <c r="O103" s="12"/>
      <c r="P103" s="13"/>
      <c r="Q103" s="13"/>
      <c r="R103" s="12"/>
      <c r="S103" s="12"/>
      <c r="T103" s="12"/>
      <c r="U103" s="12"/>
      <c r="V103" s="12"/>
      <c r="W103" s="12"/>
      <c r="X103" s="12"/>
      <c r="Y103" s="12"/>
      <c r="Z103" s="14"/>
      <c r="AA103" s="14"/>
      <c r="AB103" s="4"/>
      <c r="AC103" s="4"/>
      <c r="AD103" s="6"/>
      <c r="AE103" s="6"/>
      <c r="AF103" s="6"/>
      <c r="AG103" s="6"/>
      <c r="AH103" s="6"/>
      <c r="AI103" s="6"/>
      <c r="AJ103" s="7"/>
      <c r="AK103" s="5"/>
      <c r="AL103" s="5"/>
      <c r="AM103" s="8"/>
      <c r="AN103" s="8"/>
      <c r="AO103" s="9"/>
    </row>
  </sheetData>
  <mergeCells count="32">
    <mergeCell ref="AJ5:AJ6"/>
    <mergeCell ref="AK5:AK6"/>
    <mergeCell ref="AL5:AL6"/>
    <mergeCell ref="AM5:AM6"/>
    <mergeCell ref="AF5:AF6"/>
    <mergeCell ref="AG5:AG6"/>
    <mergeCell ref="AH5:AH6"/>
    <mergeCell ref="AI5:AI6"/>
    <mergeCell ref="AN4:AN6"/>
    <mergeCell ref="AO4:AO6"/>
    <mergeCell ref="D5:E5"/>
    <mergeCell ref="F5:G5"/>
    <mergeCell ref="H5:I5"/>
    <mergeCell ref="J5:K5"/>
    <mergeCell ref="L5:M5"/>
    <mergeCell ref="N5:O5"/>
    <mergeCell ref="P5:Q5"/>
    <mergeCell ref="R5:S5"/>
    <mergeCell ref="R4:AA4"/>
    <mergeCell ref="AB4:AC5"/>
    <mergeCell ref="AD4:AJ4"/>
    <mergeCell ref="AK4:AM4"/>
    <mergeCell ref="T5:U5"/>
    <mergeCell ref="V5:W5"/>
    <mergeCell ref="X5:Y5"/>
    <mergeCell ref="Z5:AA5"/>
    <mergeCell ref="AD5:AD6"/>
    <mergeCell ref="AE5:AE6"/>
    <mergeCell ref="A4:A6"/>
    <mergeCell ref="B4:B6"/>
    <mergeCell ref="C4:C6"/>
    <mergeCell ref="D4:Q4"/>
  </mergeCells>
  <conditionalFormatting sqref="B7:B103">
    <cfRule type="expression" priority="1" dxfId="22" stopIfTrue="1">
      <formula>AND(NOT(ISBLANK($A7)),ISBLANK(B7))</formula>
    </cfRule>
  </conditionalFormatting>
  <conditionalFormatting sqref="C7:C103">
    <cfRule type="expression" priority="2" dxfId="22" stopIfTrue="1">
      <formula>AND(NOT(ISBLANK(A7)),ISBLANK(C7))</formula>
    </cfRule>
  </conditionalFormatting>
  <conditionalFormatting sqref="F21:F103 H21:H103 J21:J103 L21:L103 N21:N103 R21:R103 T21:T103 V21:V103 X21:X103 D21:D103 R11 N7:N8 L7:L8 J7:J8 H7:H8 F7:F8 D7:D8 V7:V8 T7:T8 R7:R8 X7:X8 V15 X11 V11 N10:N11 X15 J16 T11 D16 N16 T15 R15 H16 F16 F10:F11 H10:H11 J10:J11 L10:L11 D10:D11 L16 R19 T19 V19 X19 N19">
    <cfRule type="expression" priority="3" dxfId="22" stopIfTrue="1">
      <formula>AND(NOT(ISBLANK(E7)),ISBLANK(D7))</formula>
    </cfRule>
  </conditionalFormatting>
  <conditionalFormatting sqref="G21:G103 I21:I103 K21:K103 M21:M103 O21:O103 S21:S103 U21:U103 W21:W103 Y21:Y103 E21:E103 S11 O7:O8 M7:M8 K7:K8 I7:I8 G7:G8 E7:E8 W7:W8 U7:U8 S7:S8 Y7:Y8 W15 Y11 W11 O10:O11 U19 Y19 Y15 I16 U11 E16 O16 W19 K16 S19 O19 U15 S15 G16 G10:G11 I10:I11 K10:K11 M10:M11 E10:E11 M16">
    <cfRule type="expression" priority="4" dxfId="22" stopIfTrue="1">
      <formula>AND(NOT(ISBLANK(D7)),ISBLANK(E7))</formula>
    </cfRule>
  </conditionalFormatting>
  <dataValidations count="8">
    <dataValidation type="decimal" operator="greaterThan" allowBlank="1" showInputMessage="1" showErrorMessage="1" sqref="AK21:AL103 AD21:AI103 AD7:AI7 AD15:AE15 AH15:AI15 AK7:AL7">
      <formula1>0</formula1>
    </dataValidation>
    <dataValidation operator="lessThanOrEqual" allowBlank="1" showInputMessage="1" showErrorMessage="1" error="FTE cannot be greater than Headcount&#10;" sqref="AO17:AO65536 R104:AN65536 AO4 P7:Q65536 R4 A4:C4 P5 A104:O65536 AB4 AB6:AC103 AP1:IV65536 AO14:AO15 AO7:AO9 AO11"/>
    <dataValidation type="custom" allowBlank="1" showInputMessage="1" showErrorMessage="1" errorTitle="Headcount" error="The value entered in the headcount field must be greater than or equal to the value entered in the FTE field." sqref="H21:H103 J21:J103 L21:L103 N21:N103 T21:T103 V21:V103 X21:X103 R21:R103 D21:D103 F21:F103 D7:D8 N7:N8 L7:L8 J7:J8 H7:H8 F7:F8 R7:R8 X7:X8 V7:V8 T7:T8 R15 T15 R19 N10:N11 D10:D11 F10:F11 L16 F16 N16 D16 J16 X15 V15 H16 H10:H11 J10:J11 L10:L11 T19 V19 X19 N19">
      <formula1>H21&gt;=I21</formula1>
    </dataValidation>
    <dataValidation type="custom" allowBlank="1" showInputMessage="1" showErrorMessage="1" errorTitle="FTE" error="The value entered in the FTE field must be less than or equal to the value entered in the headcount field." sqref="G21:G103 I21:I103 K21:K103 O21:O103 U21:U103 W21:W103 Y21:Y103 S21:S103 E21:E103 M21:M103 I16 E7:E8 O7:O8 K7:K8 I7:I8 G7:G8 M7:M8 S7:S8 Y7:Y8 W7:W8 U7:U8 S15 U15 S19 O10:O11 W19 E10:E11 M10:M11 M16 O19 Y19 O16 E16 K10:K11 U19 K16 Y15 W15 G16 G10:G11 I10:I11">
      <formula1>G21&lt;=F21</formula1>
    </dataValidation>
    <dataValidation errorStyle="information" type="textLength" allowBlank="1" showInputMessage="1" showErrorMessage="1" error="XLBVal:6=-3776.48&#13;&#10;" sqref="AL9">
      <formula1>0</formula1>
      <formula2>300</formula2>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20">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20">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20">
      <formula1>INDIRECT("List_of_organisations")</formula1>
    </dataValidation>
  </dataValidation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AO103"/>
  <sheetViews>
    <sheetView zoomScale="70" zoomScaleNormal="70" workbookViewId="0" topLeftCell="AG4">
      <selection activeCell="AL8" sqref="AL8"/>
    </sheetView>
  </sheetViews>
  <sheetFormatPr defaultColWidth="8.88671875" defaultRowHeight="15"/>
  <cols>
    <col min="1" max="1" width="23.5546875" style="2" customWidth="1"/>
    <col min="2" max="3" width="14.99609375" style="2" customWidth="1"/>
    <col min="4"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45.6640625" style="2" customWidth="1"/>
    <col min="42" max="16384" width="8.88671875" style="2" customWidth="1"/>
  </cols>
  <sheetData>
    <row r="1" ht="15">
      <c r="A1" s="2" t="s">
        <v>92</v>
      </c>
    </row>
    <row r="2" ht="15">
      <c r="A2" s="24" t="s">
        <v>93</v>
      </c>
    </row>
    <row r="3" ht="15">
      <c r="A3" s="24" t="s">
        <v>94</v>
      </c>
    </row>
    <row r="4" spans="1:41" s="1" customFormat="1" ht="15" customHeight="1">
      <c r="A4" s="387" t="s">
        <v>26</v>
      </c>
      <c r="B4" s="387" t="s">
        <v>15</v>
      </c>
      <c r="C4" s="387" t="s">
        <v>14</v>
      </c>
      <c r="D4" s="390" t="s">
        <v>22</v>
      </c>
      <c r="E4" s="391"/>
      <c r="F4" s="391"/>
      <c r="G4" s="391"/>
      <c r="H4" s="391"/>
      <c r="I4" s="391"/>
      <c r="J4" s="391"/>
      <c r="K4" s="391"/>
      <c r="L4" s="391"/>
      <c r="M4" s="391"/>
      <c r="N4" s="391"/>
      <c r="O4" s="391"/>
      <c r="P4" s="391"/>
      <c r="Q4" s="392"/>
      <c r="R4" s="393" t="s">
        <v>29</v>
      </c>
      <c r="S4" s="394"/>
      <c r="T4" s="394"/>
      <c r="U4" s="394"/>
      <c r="V4" s="394"/>
      <c r="W4" s="394"/>
      <c r="X4" s="394"/>
      <c r="Y4" s="394"/>
      <c r="Z4" s="394"/>
      <c r="AA4" s="395"/>
      <c r="AB4" s="396" t="s">
        <v>39</v>
      </c>
      <c r="AC4" s="397"/>
      <c r="AD4" s="400" t="s">
        <v>25</v>
      </c>
      <c r="AE4" s="401"/>
      <c r="AF4" s="401"/>
      <c r="AG4" s="401"/>
      <c r="AH4" s="401"/>
      <c r="AI4" s="401"/>
      <c r="AJ4" s="402"/>
      <c r="AK4" s="385" t="s">
        <v>46</v>
      </c>
      <c r="AL4" s="385"/>
      <c r="AM4" s="385"/>
      <c r="AN4" s="404" t="s">
        <v>38</v>
      </c>
      <c r="AO4" s="387" t="s">
        <v>47</v>
      </c>
    </row>
    <row r="5" spans="1:41" s="1" customFormat="1" ht="53.25" customHeight="1">
      <c r="A5" s="388"/>
      <c r="B5" s="388"/>
      <c r="C5" s="388"/>
      <c r="D5" s="408" t="s">
        <v>42</v>
      </c>
      <c r="E5" s="409"/>
      <c r="F5" s="408" t="s">
        <v>43</v>
      </c>
      <c r="G5" s="409"/>
      <c r="H5" s="408" t="s">
        <v>44</v>
      </c>
      <c r="I5" s="409"/>
      <c r="J5" s="408" t="s">
        <v>20</v>
      </c>
      <c r="K5" s="409"/>
      <c r="L5" s="408" t="s">
        <v>45</v>
      </c>
      <c r="M5" s="409"/>
      <c r="N5" s="408" t="s">
        <v>19</v>
      </c>
      <c r="O5" s="409"/>
      <c r="P5" s="390" t="s">
        <v>23</v>
      </c>
      <c r="Q5" s="392"/>
      <c r="R5" s="390" t="s">
        <v>27</v>
      </c>
      <c r="S5" s="395"/>
      <c r="T5" s="393" t="s">
        <v>17</v>
      </c>
      <c r="U5" s="395"/>
      <c r="V5" s="393" t="s">
        <v>18</v>
      </c>
      <c r="W5" s="395"/>
      <c r="X5" s="393" t="s">
        <v>28</v>
      </c>
      <c r="Y5" s="395"/>
      <c r="Z5" s="390" t="s">
        <v>24</v>
      </c>
      <c r="AA5" s="392"/>
      <c r="AB5" s="398"/>
      <c r="AC5" s="399"/>
      <c r="AD5" s="387" t="s">
        <v>31</v>
      </c>
      <c r="AE5" s="387" t="s">
        <v>30</v>
      </c>
      <c r="AF5" s="387" t="s">
        <v>32</v>
      </c>
      <c r="AG5" s="387" t="s">
        <v>33</v>
      </c>
      <c r="AH5" s="387" t="s">
        <v>34</v>
      </c>
      <c r="AI5" s="387" t="s">
        <v>35</v>
      </c>
      <c r="AJ5" s="383" t="s">
        <v>37</v>
      </c>
      <c r="AK5" s="387" t="s">
        <v>40</v>
      </c>
      <c r="AL5" s="387" t="s">
        <v>41</v>
      </c>
      <c r="AM5" s="387" t="s">
        <v>36</v>
      </c>
      <c r="AN5" s="405"/>
      <c r="AO5" s="407"/>
    </row>
    <row r="6" spans="1:41" ht="57.75" customHeight="1">
      <c r="A6" s="389"/>
      <c r="B6" s="389"/>
      <c r="C6" s="389"/>
      <c r="D6" s="10" t="s">
        <v>16</v>
      </c>
      <c r="E6" s="10" t="s">
        <v>21</v>
      </c>
      <c r="F6" s="10" t="s">
        <v>16</v>
      </c>
      <c r="G6" s="10" t="s">
        <v>21</v>
      </c>
      <c r="H6" s="10" t="s">
        <v>16</v>
      </c>
      <c r="I6" s="10" t="s">
        <v>21</v>
      </c>
      <c r="J6" s="10" t="s">
        <v>16</v>
      </c>
      <c r="K6" s="10" t="s">
        <v>21</v>
      </c>
      <c r="L6" s="10" t="s">
        <v>16</v>
      </c>
      <c r="M6" s="10" t="s">
        <v>21</v>
      </c>
      <c r="N6" s="10" t="s">
        <v>16</v>
      </c>
      <c r="O6" s="10" t="s">
        <v>21</v>
      </c>
      <c r="P6" s="10" t="s">
        <v>16</v>
      </c>
      <c r="Q6" s="10" t="s">
        <v>21</v>
      </c>
      <c r="R6" s="11" t="s">
        <v>16</v>
      </c>
      <c r="S6" s="11" t="s">
        <v>21</v>
      </c>
      <c r="T6" s="11" t="s">
        <v>16</v>
      </c>
      <c r="U6" s="11" t="s">
        <v>21</v>
      </c>
      <c r="V6" s="11" t="s">
        <v>16</v>
      </c>
      <c r="W6" s="11" t="s">
        <v>21</v>
      </c>
      <c r="X6" s="11" t="s">
        <v>16</v>
      </c>
      <c r="Y6" s="11" t="s">
        <v>21</v>
      </c>
      <c r="Z6" s="11" t="s">
        <v>16</v>
      </c>
      <c r="AA6" s="11" t="s">
        <v>21</v>
      </c>
      <c r="AB6" s="17" t="s">
        <v>16</v>
      </c>
      <c r="AC6" s="16" t="s">
        <v>21</v>
      </c>
      <c r="AD6" s="403"/>
      <c r="AE6" s="403"/>
      <c r="AF6" s="403"/>
      <c r="AG6" s="403"/>
      <c r="AH6" s="403"/>
      <c r="AI6" s="403"/>
      <c r="AJ6" s="383"/>
      <c r="AK6" s="403"/>
      <c r="AL6" s="403"/>
      <c r="AM6" s="403"/>
      <c r="AN6" s="406"/>
      <c r="AO6" s="403"/>
    </row>
    <row r="7" spans="1:41" ht="30">
      <c r="A7" s="3" t="s">
        <v>48</v>
      </c>
      <c r="B7" s="3" t="s">
        <v>49</v>
      </c>
      <c r="C7" s="3" t="s">
        <v>48</v>
      </c>
      <c r="D7" s="29">
        <v>1046</v>
      </c>
      <c r="E7" s="29">
        <v>970.57</v>
      </c>
      <c r="F7" s="29">
        <v>821</v>
      </c>
      <c r="G7" s="29">
        <v>787.28</v>
      </c>
      <c r="H7" s="29">
        <v>1531</v>
      </c>
      <c r="I7" s="29">
        <v>1481.96</v>
      </c>
      <c r="J7" s="29">
        <v>761</v>
      </c>
      <c r="K7" s="29">
        <v>738.39</v>
      </c>
      <c r="L7" s="29">
        <v>113</v>
      </c>
      <c r="M7" s="29">
        <v>110.55</v>
      </c>
      <c r="N7" s="29">
        <v>0</v>
      </c>
      <c r="O7" s="29">
        <v>0</v>
      </c>
      <c r="P7" s="4">
        <v>4272</v>
      </c>
      <c r="Q7" s="4">
        <v>4088.75</v>
      </c>
      <c r="R7" s="29">
        <v>195</v>
      </c>
      <c r="S7" s="29">
        <v>192.2256756756757</v>
      </c>
      <c r="T7" s="29">
        <v>20</v>
      </c>
      <c r="U7" s="29">
        <v>20</v>
      </c>
      <c r="V7" s="29">
        <v>165</v>
      </c>
      <c r="W7" s="29">
        <v>164.3</v>
      </c>
      <c r="X7" s="29">
        <v>0</v>
      </c>
      <c r="Y7" s="29">
        <v>0</v>
      </c>
      <c r="Z7" s="30">
        <v>380</v>
      </c>
      <c r="AA7" s="30">
        <v>376.5256756756757</v>
      </c>
      <c r="AB7" s="4">
        <v>4652</v>
      </c>
      <c r="AC7" s="4">
        <v>4465.275675675675</v>
      </c>
      <c r="AD7" s="19">
        <v>11299136.779999994</v>
      </c>
      <c r="AE7" s="20">
        <v>286291.1</v>
      </c>
      <c r="AF7" s="20">
        <v>19213</v>
      </c>
      <c r="AG7" s="20">
        <v>93683.56</v>
      </c>
      <c r="AH7" s="20">
        <v>2574695.2</v>
      </c>
      <c r="AI7" s="20">
        <v>1088826.75</v>
      </c>
      <c r="AJ7" s="21">
        <v>15361846.389999993</v>
      </c>
      <c r="AK7" s="19">
        <v>3112588.62</v>
      </c>
      <c r="AL7" s="19">
        <v>376065.37</v>
      </c>
      <c r="AM7" s="22">
        <v>3488653.99</v>
      </c>
      <c r="AN7" s="22">
        <v>18850500.379999995</v>
      </c>
      <c r="AO7" s="18"/>
    </row>
    <row r="8" spans="1:41" ht="30">
      <c r="A8" s="3" t="s">
        <v>76</v>
      </c>
      <c r="B8" s="3" t="s">
        <v>51</v>
      </c>
      <c r="C8" s="3" t="s">
        <v>48</v>
      </c>
      <c r="D8" s="29">
        <v>14081</v>
      </c>
      <c r="E8" s="31">
        <v>12316.92</v>
      </c>
      <c r="F8" s="29">
        <v>3409</v>
      </c>
      <c r="G8" s="29">
        <v>3184.86</v>
      </c>
      <c r="H8" s="29">
        <v>2770</v>
      </c>
      <c r="I8" s="29">
        <v>2584.92</v>
      </c>
      <c r="J8" s="29">
        <v>662</v>
      </c>
      <c r="K8" s="29">
        <v>645.58</v>
      </c>
      <c r="L8" s="29">
        <v>34</v>
      </c>
      <c r="M8" s="29">
        <v>33.92</v>
      </c>
      <c r="N8" s="29">
        <v>0</v>
      </c>
      <c r="O8" s="29">
        <v>0</v>
      </c>
      <c r="P8" s="4">
        <v>20956</v>
      </c>
      <c r="Q8" s="4">
        <v>18766.2</v>
      </c>
      <c r="R8" s="32" t="s">
        <v>90</v>
      </c>
      <c r="S8" s="32" t="s">
        <v>90</v>
      </c>
      <c r="T8" s="29">
        <v>0</v>
      </c>
      <c r="U8" s="29">
        <v>0</v>
      </c>
      <c r="V8" s="29">
        <v>0</v>
      </c>
      <c r="W8" s="29">
        <v>0</v>
      </c>
      <c r="X8" s="29">
        <v>0</v>
      </c>
      <c r="Y8" s="29">
        <v>0</v>
      </c>
      <c r="Z8" s="32" t="s">
        <v>90</v>
      </c>
      <c r="AA8" s="32" t="s">
        <v>90</v>
      </c>
      <c r="AB8" s="4">
        <v>20956</v>
      </c>
      <c r="AC8" s="4">
        <v>18766.2</v>
      </c>
      <c r="AD8" s="20">
        <v>35460613.48</v>
      </c>
      <c r="AE8" s="20">
        <v>477764.11</v>
      </c>
      <c r="AF8" s="20">
        <v>152125.91</v>
      </c>
      <c r="AG8" s="20">
        <v>442267.9</v>
      </c>
      <c r="AH8" s="20">
        <v>6069743.35</v>
      </c>
      <c r="AI8" s="20">
        <v>2295584.99</v>
      </c>
      <c r="AJ8" s="21">
        <v>44898099.739999995</v>
      </c>
      <c r="AK8" s="19">
        <v>814488.15</v>
      </c>
      <c r="AL8" s="19">
        <v>0</v>
      </c>
      <c r="AM8" s="22">
        <v>814488.15</v>
      </c>
      <c r="AN8" s="22">
        <v>45712587.88999999</v>
      </c>
      <c r="AO8" s="3"/>
    </row>
    <row r="9" spans="1:41" ht="15">
      <c r="A9" s="3" t="s">
        <v>55</v>
      </c>
      <c r="B9" s="3" t="s">
        <v>51</v>
      </c>
      <c r="C9" s="3" t="s">
        <v>48</v>
      </c>
      <c r="D9" s="29">
        <v>184</v>
      </c>
      <c r="E9" s="29">
        <v>165.21</v>
      </c>
      <c r="F9" s="29">
        <v>123</v>
      </c>
      <c r="G9" s="29">
        <v>118.52</v>
      </c>
      <c r="H9" s="29">
        <v>254</v>
      </c>
      <c r="I9" s="29">
        <v>246</v>
      </c>
      <c r="J9" s="29">
        <v>63</v>
      </c>
      <c r="K9" s="29">
        <v>62.16</v>
      </c>
      <c r="L9" s="29">
        <v>6</v>
      </c>
      <c r="M9" s="29">
        <v>6</v>
      </c>
      <c r="N9" s="29">
        <v>0</v>
      </c>
      <c r="O9" s="29">
        <v>0</v>
      </c>
      <c r="P9" s="4">
        <v>630</v>
      </c>
      <c r="Q9" s="4">
        <v>597.89</v>
      </c>
      <c r="R9" s="29">
        <v>18</v>
      </c>
      <c r="S9" s="29">
        <v>16.6</v>
      </c>
      <c r="T9" s="29">
        <v>0</v>
      </c>
      <c r="U9" s="29">
        <v>0</v>
      </c>
      <c r="V9" s="29">
        <v>15</v>
      </c>
      <c r="W9" s="29">
        <v>14.3</v>
      </c>
      <c r="X9" s="29">
        <v>0</v>
      </c>
      <c r="Y9" s="29">
        <v>0</v>
      </c>
      <c r="Z9" s="30">
        <v>33</v>
      </c>
      <c r="AA9" s="30">
        <v>30.9</v>
      </c>
      <c r="AB9" s="4">
        <v>663</v>
      </c>
      <c r="AC9" s="4">
        <v>628.79</v>
      </c>
      <c r="AD9" s="20">
        <v>1470020.58</v>
      </c>
      <c r="AE9" s="20">
        <v>6283.02</v>
      </c>
      <c r="AF9" s="20">
        <v>0</v>
      </c>
      <c r="AG9" s="20">
        <v>19879.95</v>
      </c>
      <c r="AH9" s="20">
        <v>267245.24</v>
      </c>
      <c r="AI9" s="20">
        <v>121788.31</v>
      </c>
      <c r="AJ9" s="21">
        <v>1885217.1</v>
      </c>
      <c r="AK9" s="19">
        <v>135427.62</v>
      </c>
      <c r="AL9" s="19">
        <v>0</v>
      </c>
      <c r="AM9" s="22">
        <v>135427.62</v>
      </c>
      <c r="AN9" s="22">
        <v>2020644.72</v>
      </c>
      <c r="AO9" s="3"/>
    </row>
    <row r="10" spans="1:41" ht="60">
      <c r="A10" s="3" t="s">
        <v>56</v>
      </c>
      <c r="B10" s="3" t="s">
        <v>51</v>
      </c>
      <c r="C10" s="3" t="s">
        <v>48</v>
      </c>
      <c r="D10" s="29">
        <v>34871</v>
      </c>
      <c r="E10" s="33">
        <v>33347.42043048128</v>
      </c>
      <c r="F10" s="29">
        <v>7268</v>
      </c>
      <c r="G10" s="33">
        <v>6971.240448494564</v>
      </c>
      <c r="H10" s="29">
        <v>3037</v>
      </c>
      <c r="I10" s="33">
        <v>2828.6132404181153</v>
      </c>
      <c r="J10" s="29">
        <v>625</v>
      </c>
      <c r="K10" s="33">
        <v>609.967032967033</v>
      </c>
      <c r="L10" s="29">
        <v>42</v>
      </c>
      <c r="M10" s="33">
        <v>41.8780487804878</v>
      </c>
      <c r="N10" s="29">
        <v>0</v>
      </c>
      <c r="O10" s="29">
        <v>0</v>
      </c>
      <c r="P10" s="4">
        <v>45843</v>
      </c>
      <c r="Q10" s="4">
        <v>43799.11920114148</v>
      </c>
      <c r="R10" s="29">
        <v>322.94</v>
      </c>
      <c r="S10" s="29">
        <v>322.94</v>
      </c>
      <c r="T10" s="29">
        <v>0</v>
      </c>
      <c r="U10" s="29">
        <v>0</v>
      </c>
      <c r="V10" s="29">
        <v>0</v>
      </c>
      <c r="W10" s="29">
        <v>0</v>
      </c>
      <c r="X10" s="29">
        <v>0</v>
      </c>
      <c r="Y10" s="29">
        <v>0</v>
      </c>
      <c r="Z10" s="30">
        <v>322.94</v>
      </c>
      <c r="AA10" s="30">
        <v>322.94</v>
      </c>
      <c r="AB10" s="4">
        <v>46165.94</v>
      </c>
      <c r="AC10" s="4">
        <v>44122.059201141485</v>
      </c>
      <c r="AD10" s="20">
        <v>111318495.30000003</v>
      </c>
      <c r="AE10" s="20">
        <v>0</v>
      </c>
      <c r="AF10" s="20">
        <v>0</v>
      </c>
      <c r="AG10" s="20">
        <v>3206599.99</v>
      </c>
      <c r="AH10" s="20">
        <v>18120804.779999997</v>
      </c>
      <c r="AI10" s="20">
        <v>7373044.350000002</v>
      </c>
      <c r="AJ10" s="21">
        <v>140018944.42000002</v>
      </c>
      <c r="AK10" s="19">
        <v>372379.33</v>
      </c>
      <c r="AL10" s="19">
        <v>23646.72</v>
      </c>
      <c r="AM10" s="22">
        <v>396026.05</v>
      </c>
      <c r="AN10" s="22">
        <v>140414970.47000003</v>
      </c>
      <c r="AO10" s="3" t="s">
        <v>98</v>
      </c>
    </row>
    <row r="11" spans="1:41" ht="30">
      <c r="A11" s="3" t="s">
        <v>58</v>
      </c>
      <c r="B11" s="3" t="s">
        <v>51</v>
      </c>
      <c r="C11" s="3" t="s">
        <v>48</v>
      </c>
      <c r="D11" s="29">
        <v>296</v>
      </c>
      <c r="E11" s="29">
        <v>278.03</v>
      </c>
      <c r="F11" s="29">
        <v>145</v>
      </c>
      <c r="G11" s="29">
        <v>138.05</v>
      </c>
      <c r="H11" s="29">
        <v>70</v>
      </c>
      <c r="I11" s="29">
        <v>68.65</v>
      </c>
      <c r="J11" s="29">
        <v>10</v>
      </c>
      <c r="K11" s="29">
        <v>9.82</v>
      </c>
      <c r="L11" s="29">
        <v>2</v>
      </c>
      <c r="M11" s="29">
        <v>1.78</v>
      </c>
      <c r="N11" s="29">
        <v>0</v>
      </c>
      <c r="O11" s="29">
        <v>0</v>
      </c>
      <c r="P11" s="4">
        <v>523</v>
      </c>
      <c r="Q11" s="4">
        <v>496.33</v>
      </c>
      <c r="R11" s="29">
        <v>172</v>
      </c>
      <c r="S11" s="29">
        <v>132.78</v>
      </c>
      <c r="T11" s="29">
        <v>0</v>
      </c>
      <c r="U11" s="29">
        <v>0</v>
      </c>
      <c r="V11" s="29">
        <v>0</v>
      </c>
      <c r="W11" s="29">
        <v>0</v>
      </c>
      <c r="X11" s="29">
        <v>2</v>
      </c>
      <c r="Y11" s="29">
        <v>2</v>
      </c>
      <c r="Z11" s="30">
        <v>174</v>
      </c>
      <c r="AA11" s="30">
        <v>134.78</v>
      </c>
      <c r="AB11" s="4">
        <v>697</v>
      </c>
      <c r="AC11" s="4">
        <v>631.11</v>
      </c>
      <c r="AD11" s="20">
        <v>866037.27</v>
      </c>
      <c r="AE11" s="20">
        <v>19197.65</v>
      </c>
      <c r="AF11" s="20">
        <v>600</v>
      </c>
      <c r="AG11" s="20">
        <v>18355.04</v>
      </c>
      <c r="AH11" s="20">
        <v>140069.09</v>
      </c>
      <c r="AI11" s="20">
        <v>59360.34</v>
      </c>
      <c r="AJ11" s="21">
        <v>1103619.39</v>
      </c>
      <c r="AK11" s="19">
        <v>410153.65</v>
      </c>
      <c r="AL11" s="19">
        <v>10664.32</v>
      </c>
      <c r="AM11" s="22">
        <v>420817.97</v>
      </c>
      <c r="AN11" s="22">
        <v>1524437.36</v>
      </c>
      <c r="AO11" s="18"/>
    </row>
    <row r="12" spans="1:41" ht="30">
      <c r="A12" s="3" t="s">
        <v>60</v>
      </c>
      <c r="B12" s="3" t="s">
        <v>53</v>
      </c>
      <c r="C12" s="3" t="s">
        <v>48</v>
      </c>
      <c r="D12" s="29">
        <v>4</v>
      </c>
      <c r="E12" s="29">
        <v>4</v>
      </c>
      <c r="F12" s="29">
        <v>16</v>
      </c>
      <c r="G12" s="29">
        <v>16</v>
      </c>
      <c r="H12" s="29">
        <v>19</v>
      </c>
      <c r="I12" s="29">
        <v>18.8</v>
      </c>
      <c r="J12" s="29">
        <v>5</v>
      </c>
      <c r="K12" s="29">
        <v>4.47</v>
      </c>
      <c r="L12" s="29">
        <v>2</v>
      </c>
      <c r="M12" s="29">
        <v>2</v>
      </c>
      <c r="N12" s="29">
        <v>0</v>
      </c>
      <c r="O12" s="29">
        <v>0</v>
      </c>
      <c r="P12" s="4">
        <v>46</v>
      </c>
      <c r="Q12" s="4">
        <v>45.27</v>
      </c>
      <c r="R12" s="29">
        <v>0</v>
      </c>
      <c r="S12" s="29">
        <v>0</v>
      </c>
      <c r="T12" s="29">
        <v>0</v>
      </c>
      <c r="U12" s="29">
        <v>0</v>
      </c>
      <c r="V12" s="29">
        <v>0</v>
      </c>
      <c r="W12" s="29">
        <v>0</v>
      </c>
      <c r="X12" s="29">
        <v>0</v>
      </c>
      <c r="Y12" s="29">
        <v>0</v>
      </c>
      <c r="Z12" s="30">
        <v>0</v>
      </c>
      <c r="AA12" s="30">
        <v>0</v>
      </c>
      <c r="AB12" s="4">
        <v>46</v>
      </c>
      <c r="AC12" s="4">
        <v>45.27</v>
      </c>
      <c r="AD12" s="20">
        <v>133159.08</v>
      </c>
      <c r="AE12" s="20">
        <v>211.23</v>
      </c>
      <c r="AF12" s="20">
        <v>0</v>
      </c>
      <c r="AG12" s="20">
        <v>1330.99</v>
      </c>
      <c r="AH12" s="20">
        <v>24257.82</v>
      </c>
      <c r="AI12" s="20">
        <v>12131.39</v>
      </c>
      <c r="AJ12" s="21">
        <v>171090.51</v>
      </c>
      <c r="AK12" s="20">
        <v>0</v>
      </c>
      <c r="AL12" s="20">
        <v>0</v>
      </c>
      <c r="AM12" s="22">
        <v>0</v>
      </c>
      <c r="AN12" s="22">
        <v>171090.51</v>
      </c>
      <c r="AO12" s="3"/>
    </row>
    <row r="13" spans="1:41" ht="90">
      <c r="A13" s="3" t="s">
        <v>62</v>
      </c>
      <c r="B13" s="3" t="s">
        <v>63</v>
      </c>
      <c r="C13" s="3" t="s">
        <v>48</v>
      </c>
      <c r="D13" s="29">
        <v>0</v>
      </c>
      <c r="E13" s="29">
        <v>0</v>
      </c>
      <c r="F13" s="29">
        <v>0</v>
      </c>
      <c r="G13" s="29">
        <v>0</v>
      </c>
      <c r="H13" s="29">
        <v>0</v>
      </c>
      <c r="I13" s="29">
        <v>0</v>
      </c>
      <c r="J13" s="29">
        <v>0</v>
      </c>
      <c r="K13" s="29">
        <v>0</v>
      </c>
      <c r="L13" s="29">
        <v>0</v>
      </c>
      <c r="M13" s="29">
        <v>0</v>
      </c>
      <c r="N13" s="29">
        <v>74</v>
      </c>
      <c r="O13" s="29">
        <v>68.38</v>
      </c>
      <c r="P13" s="4">
        <v>74</v>
      </c>
      <c r="Q13" s="4">
        <v>68.38</v>
      </c>
      <c r="R13" s="29">
        <v>2</v>
      </c>
      <c r="S13" s="29">
        <v>1.81</v>
      </c>
      <c r="T13" s="29">
        <v>0</v>
      </c>
      <c r="U13" s="29">
        <v>0</v>
      </c>
      <c r="V13" s="29">
        <v>0</v>
      </c>
      <c r="W13" s="29">
        <v>0</v>
      </c>
      <c r="X13" s="29">
        <v>0</v>
      </c>
      <c r="Y13" s="29">
        <v>0</v>
      </c>
      <c r="Z13" s="30">
        <v>2</v>
      </c>
      <c r="AA13" s="30">
        <v>1.81</v>
      </c>
      <c r="AB13" s="4">
        <v>76</v>
      </c>
      <c r="AC13" s="4">
        <v>70.19</v>
      </c>
      <c r="AD13" s="20">
        <v>190557</v>
      </c>
      <c r="AE13" s="20">
        <v>43</v>
      </c>
      <c r="AF13" s="20">
        <v>0</v>
      </c>
      <c r="AG13" s="20">
        <v>0</v>
      </c>
      <c r="AH13" s="20">
        <v>36065</v>
      </c>
      <c r="AI13" s="20">
        <v>15414</v>
      </c>
      <c r="AJ13" s="21">
        <v>242079</v>
      </c>
      <c r="AK13" s="19">
        <v>4064</v>
      </c>
      <c r="AL13" s="20">
        <v>0</v>
      </c>
      <c r="AM13" s="22">
        <v>4064</v>
      </c>
      <c r="AN13" s="22">
        <v>246143</v>
      </c>
      <c r="AO13" s="3" t="s">
        <v>64</v>
      </c>
    </row>
    <row r="14" spans="1:41" ht="45">
      <c r="A14" s="3" t="s">
        <v>66</v>
      </c>
      <c r="B14" s="3" t="s">
        <v>63</v>
      </c>
      <c r="C14" s="3" t="s">
        <v>48</v>
      </c>
      <c r="D14" s="29">
        <v>0</v>
      </c>
      <c r="E14" s="29">
        <v>0</v>
      </c>
      <c r="F14" s="29">
        <v>0</v>
      </c>
      <c r="G14" s="29">
        <v>0</v>
      </c>
      <c r="H14" s="29">
        <v>0</v>
      </c>
      <c r="I14" s="29">
        <v>0</v>
      </c>
      <c r="J14" s="29">
        <v>0</v>
      </c>
      <c r="K14" s="29">
        <v>0</v>
      </c>
      <c r="L14" s="29">
        <v>0</v>
      </c>
      <c r="M14" s="29">
        <v>0</v>
      </c>
      <c r="N14" s="29">
        <v>341</v>
      </c>
      <c r="O14" s="29">
        <v>314.94</v>
      </c>
      <c r="P14" s="4">
        <v>341</v>
      </c>
      <c r="Q14" s="4">
        <v>314.94</v>
      </c>
      <c r="R14" s="29">
        <v>14</v>
      </c>
      <c r="S14" s="29">
        <v>13.5</v>
      </c>
      <c r="T14" s="29">
        <v>0</v>
      </c>
      <c r="U14" s="29">
        <v>0</v>
      </c>
      <c r="V14" s="29">
        <v>0</v>
      </c>
      <c r="W14" s="29">
        <v>0</v>
      </c>
      <c r="X14" s="29">
        <v>0</v>
      </c>
      <c r="Y14" s="29">
        <v>0</v>
      </c>
      <c r="Z14" s="30">
        <v>14</v>
      </c>
      <c r="AA14" s="30">
        <v>13.5</v>
      </c>
      <c r="AB14" s="4">
        <v>355</v>
      </c>
      <c r="AC14" s="4">
        <v>328.44</v>
      </c>
      <c r="AD14" s="20">
        <v>788741.53</v>
      </c>
      <c r="AE14" s="20">
        <v>1009.32</v>
      </c>
      <c r="AF14" s="20">
        <v>0</v>
      </c>
      <c r="AG14" s="20">
        <v>4017.94</v>
      </c>
      <c r="AH14" s="20">
        <v>127322.89</v>
      </c>
      <c r="AI14" s="20">
        <v>49631.25</v>
      </c>
      <c r="AJ14" s="21">
        <v>970722.93</v>
      </c>
      <c r="AK14" s="19">
        <v>35824.66</v>
      </c>
      <c r="AL14" s="19">
        <v>0</v>
      </c>
      <c r="AM14" s="22">
        <v>35824.66</v>
      </c>
      <c r="AN14" s="22">
        <v>1006547.59</v>
      </c>
      <c r="AO14" s="3"/>
    </row>
    <row r="15" spans="1:41" ht="45">
      <c r="A15" s="3" t="s">
        <v>67</v>
      </c>
      <c r="B15" s="3" t="s">
        <v>63</v>
      </c>
      <c r="C15" s="3" t="s">
        <v>48</v>
      </c>
      <c r="D15" s="29">
        <v>13</v>
      </c>
      <c r="E15" s="29">
        <v>13</v>
      </c>
      <c r="F15" s="29">
        <v>20</v>
      </c>
      <c r="G15" s="29">
        <v>18.8</v>
      </c>
      <c r="H15" s="29">
        <v>26</v>
      </c>
      <c r="I15" s="29">
        <v>26</v>
      </c>
      <c r="J15" s="29">
        <v>15</v>
      </c>
      <c r="K15" s="29">
        <v>14.2</v>
      </c>
      <c r="L15" s="29">
        <v>3</v>
      </c>
      <c r="M15" s="29">
        <v>3</v>
      </c>
      <c r="N15" s="29">
        <v>1</v>
      </c>
      <c r="O15" s="29">
        <v>0.6</v>
      </c>
      <c r="P15" s="4">
        <v>78</v>
      </c>
      <c r="Q15" s="4">
        <v>75.6</v>
      </c>
      <c r="R15" s="29">
        <v>0</v>
      </c>
      <c r="S15" s="29">
        <v>0</v>
      </c>
      <c r="T15" s="29">
        <v>0</v>
      </c>
      <c r="U15" s="29">
        <v>0</v>
      </c>
      <c r="V15" s="29">
        <v>0</v>
      </c>
      <c r="W15" s="29">
        <v>0</v>
      </c>
      <c r="X15" s="29">
        <v>0</v>
      </c>
      <c r="Y15" s="29">
        <v>0</v>
      </c>
      <c r="Z15" s="30">
        <v>0</v>
      </c>
      <c r="AA15" s="30">
        <v>0</v>
      </c>
      <c r="AB15" s="4">
        <v>78</v>
      </c>
      <c r="AC15" s="4">
        <v>75.6</v>
      </c>
      <c r="AD15" s="20">
        <v>210784</v>
      </c>
      <c r="AE15" s="20">
        <v>2096</v>
      </c>
      <c r="AF15" s="20">
        <v>0</v>
      </c>
      <c r="AG15" s="20">
        <v>0</v>
      </c>
      <c r="AH15" s="20">
        <v>40040</v>
      </c>
      <c r="AI15" s="20">
        <v>18139</v>
      </c>
      <c r="AJ15" s="21">
        <v>271059</v>
      </c>
      <c r="AK15" s="19">
        <v>0</v>
      </c>
      <c r="AL15" s="19">
        <v>0</v>
      </c>
      <c r="AM15" s="22">
        <v>0</v>
      </c>
      <c r="AN15" s="22">
        <v>271059</v>
      </c>
      <c r="AO15" s="3"/>
    </row>
    <row r="16" spans="1:41" ht="45">
      <c r="A16" s="3" t="s">
        <v>68</v>
      </c>
      <c r="B16" s="3" t="s">
        <v>63</v>
      </c>
      <c r="C16" s="3" t="s">
        <v>48</v>
      </c>
      <c r="D16" s="29">
        <v>0</v>
      </c>
      <c r="E16" s="29">
        <v>0</v>
      </c>
      <c r="F16" s="29">
        <v>0</v>
      </c>
      <c r="G16" s="29">
        <v>0</v>
      </c>
      <c r="H16" s="29">
        <v>0</v>
      </c>
      <c r="I16" s="29">
        <v>0</v>
      </c>
      <c r="J16" s="29">
        <v>0</v>
      </c>
      <c r="K16" s="29">
        <v>0</v>
      </c>
      <c r="L16" s="29">
        <v>0</v>
      </c>
      <c r="M16" s="29">
        <v>0</v>
      </c>
      <c r="N16" s="29">
        <v>32</v>
      </c>
      <c r="O16" s="29">
        <v>31.6</v>
      </c>
      <c r="P16" s="4">
        <v>32</v>
      </c>
      <c r="Q16" s="4">
        <v>31.6</v>
      </c>
      <c r="R16" s="29">
        <v>0</v>
      </c>
      <c r="S16" s="29">
        <v>0</v>
      </c>
      <c r="T16" s="29">
        <v>0</v>
      </c>
      <c r="U16" s="29">
        <v>0</v>
      </c>
      <c r="V16" s="29">
        <v>0</v>
      </c>
      <c r="W16" s="29">
        <v>0</v>
      </c>
      <c r="X16" s="29">
        <v>0</v>
      </c>
      <c r="Y16" s="29">
        <v>0</v>
      </c>
      <c r="Z16" s="30">
        <v>0</v>
      </c>
      <c r="AA16" s="30">
        <v>0</v>
      </c>
      <c r="AB16" s="4">
        <v>32</v>
      </c>
      <c r="AC16" s="4">
        <v>31.6</v>
      </c>
      <c r="AD16" s="20">
        <v>144595.07</v>
      </c>
      <c r="AE16" s="20">
        <v>0</v>
      </c>
      <c r="AF16" s="20">
        <v>0</v>
      </c>
      <c r="AG16" s="20">
        <v>0</v>
      </c>
      <c r="AH16" s="20">
        <v>30965.79</v>
      </c>
      <c r="AI16" s="20">
        <v>17565.06</v>
      </c>
      <c r="AJ16" s="21">
        <v>193125.92</v>
      </c>
      <c r="AK16" s="19">
        <v>0</v>
      </c>
      <c r="AL16" s="19">
        <v>0</v>
      </c>
      <c r="AM16" s="22">
        <v>0</v>
      </c>
      <c r="AN16" s="22">
        <v>193125.92</v>
      </c>
      <c r="AO16" s="3" t="s">
        <v>69</v>
      </c>
    </row>
    <row r="17" spans="1:41" ht="45">
      <c r="A17" s="3" t="s">
        <v>70</v>
      </c>
      <c r="B17" s="3" t="s">
        <v>63</v>
      </c>
      <c r="C17" s="3" t="s">
        <v>48</v>
      </c>
      <c r="D17" s="29">
        <v>804</v>
      </c>
      <c r="E17" s="29">
        <v>758</v>
      </c>
      <c r="F17" s="29">
        <v>255</v>
      </c>
      <c r="G17" s="29">
        <v>245.1</v>
      </c>
      <c r="H17" s="29">
        <v>388</v>
      </c>
      <c r="I17" s="29">
        <v>371.9</v>
      </c>
      <c r="J17" s="29">
        <v>100</v>
      </c>
      <c r="K17" s="29">
        <v>98.7</v>
      </c>
      <c r="L17" s="29">
        <v>16</v>
      </c>
      <c r="M17" s="29">
        <v>10.2</v>
      </c>
      <c r="N17" s="29">
        <v>0</v>
      </c>
      <c r="O17" s="29">
        <v>0</v>
      </c>
      <c r="P17" s="4">
        <v>1563</v>
      </c>
      <c r="Q17" s="4">
        <v>1483.9</v>
      </c>
      <c r="R17" s="29">
        <v>64</v>
      </c>
      <c r="S17" s="29">
        <v>61.35</v>
      </c>
      <c r="T17" s="29">
        <v>0</v>
      </c>
      <c r="U17" s="29">
        <v>0</v>
      </c>
      <c r="V17" s="29">
        <v>12</v>
      </c>
      <c r="W17" s="29">
        <v>12</v>
      </c>
      <c r="X17" s="29">
        <v>0</v>
      </c>
      <c r="Y17" s="29">
        <v>0</v>
      </c>
      <c r="Z17" s="30">
        <v>76</v>
      </c>
      <c r="AA17" s="30">
        <v>73.35</v>
      </c>
      <c r="AB17" s="4">
        <v>1639</v>
      </c>
      <c r="AC17" s="4">
        <v>1557.25</v>
      </c>
      <c r="AD17" s="20">
        <v>3265181.16</v>
      </c>
      <c r="AE17" s="20">
        <v>0</v>
      </c>
      <c r="AF17" s="20">
        <v>0</v>
      </c>
      <c r="AG17" s="20">
        <v>43978.28</v>
      </c>
      <c r="AH17" s="20">
        <v>22994.47</v>
      </c>
      <c r="AI17" s="20">
        <v>275013.56</v>
      </c>
      <c r="AJ17" s="21">
        <v>3607167.47</v>
      </c>
      <c r="AK17" s="19">
        <v>334677.76</v>
      </c>
      <c r="AL17" s="19">
        <v>0</v>
      </c>
      <c r="AM17" s="22">
        <v>334677.76</v>
      </c>
      <c r="AN17" s="22">
        <v>3941845.23</v>
      </c>
      <c r="AO17" s="3"/>
    </row>
    <row r="18" spans="1:41" ht="45">
      <c r="A18" s="3" t="s">
        <v>71</v>
      </c>
      <c r="B18" s="3" t="s">
        <v>63</v>
      </c>
      <c r="C18" s="3" t="s">
        <v>48</v>
      </c>
      <c r="D18" s="29">
        <v>25</v>
      </c>
      <c r="E18" s="29">
        <v>24.43</v>
      </c>
      <c r="F18" s="29">
        <v>46</v>
      </c>
      <c r="G18" s="29">
        <v>44.9</v>
      </c>
      <c r="H18" s="29">
        <v>15</v>
      </c>
      <c r="I18" s="29">
        <v>14.6</v>
      </c>
      <c r="J18" s="29">
        <v>6</v>
      </c>
      <c r="K18" s="29">
        <v>6</v>
      </c>
      <c r="L18" s="29">
        <v>1</v>
      </c>
      <c r="M18" s="29">
        <v>1</v>
      </c>
      <c r="N18" s="29">
        <v>1</v>
      </c>
      <c r="O18" s="29">
        <v>0.4</v>
      </c>
      <c r="P18" s="4">
        <v>94</v>
      </c>
      <c r="Q18" s="4">
        <v>91.33</v>
      </c>
      <c r="R18" s="29">
        <v>0</v>
      </c>
      <c r="S18" s="29">
        <v>0</v>
      </c>
      <c r="T18" s="29">
        <v>0</v>
      </c>
      <c r="U18" s="29">
        <v>0</v>
      </c>
      <c r="V18" s="29">
        <v>0</v>
      </c>
      <c r="W18" s="29">
        <v>0</v>
      </c>
      <c r="X18" s="29">
        <v>0</v>
      </c>
      <c r="Y18" s="29">
        <v>0</v>
      </c>
      <c r="Z18" s="30">
        <v>0</v>
      </c>
      <c r="AA18" s="30">
        <v>0</v>
      </c>
      <c r="AB18" s="4">
        <v>94</v>
      </c>
      <c r="AC18" s="4">
        <v>91.33</v>
      </c>
      <c r="AD18" s="20">
        <v>180867.67</v>
      </c>
      <c r="AE18" s="20">
        <v>19461.13</v>
      </c>
      <c r="AF18" s="20">
        <v>0</v>
      </c>
      <c r="AG18" s="20">
        <v>2440.3</v>
      </c>
      <c r="AH18" s="20">
        <v>34860.08</v>
      </c>
      <c r="AI18" s="20">
        <v>16513.5</v>
      </c>
      <c r="AJ18" s="21">
        <v>254142.68</v>
      </c>
      <c r="AK18" s="19">
        <v>20504.38</v>
      </c>
      <c r="AL18" s="19">
        <v>0</v>
      </c>
      <c r="AM18" s="22">
        <v>20504.38</v>
      </c>
      <c r="AN18" s="22">
        <v>274647.06</v>
      </c>
      <c r="AO18" s="3"/>
    </row>
    <row r="19" spans="1:41" ht="285">
      <c r="A19" s="3" t="s">
        <v>72</v>
      </c>
      <c r="B19" s="3" t="s">
        <v>63</v>
      </c>
      <c r="C19" s="3" t="s">
        <v>48</v>
      </c>
      <c r="D19" s="29">
        <v>0</v>
      </c>
      <c r="E19" s="29">
        <v>0</v>
      </c>
      <c r="F19" s="29">
        <v>0</v>
      </c>
      <c r="G19" s="29">
        <v>0</v>
      </c>
      <c r="H19" s="29">
        <v>0</v>
      </c>
      <c r="I19" s="29">
        <v>0</v>
      </c>
      <c r="J19" s="29">
        <v>0</v>
      </c>
      <c r="K19" s="29">
        <v>0</v>
      </c>
      <c r="L19" s="29">
        <v>0</v>
      </c>
      <c r="M19" s="29">
        <v>0</v>
      </c>
      <c r="N19" s="29">
        <v>19953</v>
      </c>
      <c r="O19" s="29">
        <v>17986</v>
      </c>
      <c r="P19" s="4">
        <v>19953</v>
      </c>
      <c r="Q19" s="4">
        <v>17986</v>
      </c>
      <c r="R19" s="29">
        <v>1604</v>
      </c>
      <c r="S19" s="29">
        <v>1604</v>
      </c>
      <c r="T19" s="29">
        <v>8</v>
      </c>
      <c r="U19" s="29">
        <v>8</v>
      </c>
      <c r="V19" s="29">
        <v>0</v>
      </c>
      <c r="W19" s="29">
        <v>0</v>
      </c>
      <c r="X19" s="29">
        <v>0</v>
      </c>
      <c r="Y19" s="29">
        <v>0</v>
      </c>
      <c r="Z19" s="30">
        <v>1612</v>
      </c>
      <c r="AA19" s="30">
        <v>1612</v>
      </c>
      <c r="AB19" s="4">
        <v>21565</v>
      </c>
      <c r="AC19" s="4">
        <v>19598</v>
      </c>
      <c r="AD19" s="32" t="s">
        <v>90</v>
      </c>
      <c r="AE19" s="32" t="s">
        <v>90</v>
      </c>
      <c r="AF19" s="32" t="s">
        <v>90</v>
      </c>
      <c r="AG19" s="32" t="s">
        <v>90</v>
      </c>
      <c r="AH19" s="32" t="s">
        <v>90</v>
      </c>
      <c r="AI19" s="32" t="s">
        <v>90</v>
      </c>
      <c r="AJ19" s="32" t="s">
        <v>90</v>
      </c>
      <c r="AK19" s="32" t="s">
        <v>90</v>
      </c>
      <c r="AL19" s="32" t="s">
        <v>90</v>
      </c>
      <c r="AM19" s="32" t="s">
        <v>90</v>
      </c>
      <c r="AN19" s="32" t="s">
        <v>90</v>
      </c>
      <c r="AO19" s="18" t="s">
        <v>99</v>
      </c>
    </row>
    <row r="20" spans="1:41" ht="45">
      <c r="A20" s="3" t="s">
        <v>74</v>
      </c>
      <c r="B20" s="3" t="s">
        <v>63</v>
      </c>
      <c r="C20" s="3" t="s">
        <v>48</v>
      </c>
      <c r="D20" s="29">
        <v>18</v>
      </c>
      <c r="E20" s="29">
        <v>16.45</v>
      </c>
      <c r="F20" s="29">
        <v>39</v>
      </c>
      <c r="G20" s="29">
        <v>37.93</v>
      </c>
      <c r="H20" s="29">
        <v>109</v>
      </c>
      <c r="I20" s="29">
        <v>106.94</v>
      </c>
      <c r="J20" s="29">
        <v>34</v>
      </c>
      <c r="K20" s="29">
        <v>33.9</v>
      </c>
      <c r="L20" s="29">
        <v>4</v>
      </c>
      <c r="M20" s="29">
        <v>3.6</v>
      </c>
      <c r="N20" s="29">
        <v>9</v>
      </c>
      <c r="O20" s="29">
        <v>9</v>
      </c>
      <c r="P20" s="4">
        <v>213</v>
      </c>
      <c r="Q20" s="4">
        <v>207.82</v>
      </c>
      <c r="R20" s="29">
        <v>7</v>
      </c>
      <c r="S20" s="29">
        <v>7</v>
      </c>
      <c r="T20" s="29">
        <v>0</v>
      </c>
      <c r="U20" s="29">
        <v>0</v>
      </c>
      <c r="V20" s="29">
        <v>6</v>
      </c>
      <c r="W20" s="29">
        <v>5.8</v>
      </c>
      <c r="X20" s="29">
        <v>0</v>
      </c>
      <c r="Y20" s="29">
        <v>0</v>
      </c>
      <c r="Z20" s="30">
        <v>13</v>
      </c>
      <c r="AA20" s="30">
        <v>12.8</v>
      </c>
      <c r="AB20" s="4">
        <v>226</v>
      </c>
      <c r="AC20" s="4">
        <v>220.62</v>
      </c>
      <c r="AD20" s="20">
        <v>478537.96</v>
      </c>
      <c r="AE20" s="20">
        <v>61979.86</v>
      </c>
      <c r="AF20" s="20">
        <v>0</v>
      </c>
      <c r="AG20" s="20">
        <v>8947.84</v>
      </c>
      <c r="AH20" s="20">
        <v>105016.48</v>
      </c>
      <c r="AI20" s="20">
        <v>48963.15</v>
      </c>
      <c r="AJ20" s="21">
        <v>703445.29</v>
      </c>
      <c r="AK20" s="19">
        <v>110220.67</v>
      </c>
      <c r="AL20" s="19">
        <v>0</v>
      </c>
      <c r="AM20" s="22">
        <v>110220.67</v>
      </c>
      <c r="AN20" s="22">
        <v>813665.96</v>
      </c>
      <c r="AO20" s="3"/>
    </row>
    <row r="21" spans="1:41" ht="15">
      <c r="A21" s="3"/>
      <c r="B21" s="3"/>
      <c r="C21" s="3"/>
      <c r="D21" s="12"/>
      <c r="E21" s="28"/>
      <c r="F21" s="12"/>
      <c r="G21" s="28"/>
      <c r="H21" s="12"/>
      <c r="I21" s="28"/>
      <c r="J21" s="12"/>
      <c r="K21" s="28"/>
      <c r="L21" s="12"/>
      <c r="M21" s="28"/>
      <c r="N21" s="12"/>
      <c r="O21" s="12"/>
      <c r="P21" s="13"/>
      <c r="Q21" s="13"/>
      <c r="R21" s="25"/>
      <c r="S21" s="25"/>
      <c r="T21" s="12"/>
      <c r="U21" s="12"/>
      <c r="V21" s="12"/>
      <c r="W21" s="12"/>
      <c r="X21" s="12"/>
      <c r="Y21" s="12"/>
      <c r="Z21" s="14"/>
      <c r="AA21" s="14"/>
      <c r="AB21" s="4"/>
      <c r="AC21" s="4"/>
      <c r="AD21" s="20"/>
      <c r="AE21" s="20"/>
      <c r="AF21" s="20"/>
      <c r="AG21" s="20"/>
      <c r="AH21" s="20"/>
      <c r="AI21" s="20"/>
      <c r="AJ21" s="21"/>
      <c r="AK21" s="19"/>
      <c r="AL21" s="19"/>
      <c r="AM21" s="22"/>
      <c r="AN21" s="22"/>
      <c r="AO21" s="3"/>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row r="101" spans="1:41" ht="15">
      <c r="A101" s="3"/>
      <c r="B101" s="3"/>
      <c r="C101" s="3"/>
      <c r="D101" s="12"/>
      <c r="E101" s="12"/>
      <c r="F101" s="12"/>
      <c r="G101" s="12"/>
      <c r="H101" s="12"/>
      <c r="I101" s="12"/>
      <c r="J101" s="12"/>
      <c r="K101" s="12"/>
      <c r="L101" s="12"/>
      <c r="M101" s="12"/>
      <c r="N101" s="12"/>
      <c r="O101" s="12"/>
      <c r="P101" s="13"/>
      <c r="Q101" s="13"/>
      <c r="R101" s="12"/>
      <c r="S101" s="12"/>
      <c r="T101" s="12"/>
      <c r="U101" s="12"/>
      <c r="V101" s="12"/>
      <c r="W101" s="12"/>
      <c r="X101" s="12"/>
      <c r="Y101" s="12"/>
      <c r="Z101" s="14"/>
      <c r="AA101" s="14"/>
      <c r="AB101" s="4"/>
      <c r="AC101" s="4"/>
      <c r="AD101" s="6"/>
      <c r="AE101" s="6"/>
      <c r="AF101" s="6"/>
      <c r="AG101" s="6"/>
      <c r="AH101" s="6"/>
      <c r="AI101" s="6"/>
      <c r="AJ101" s="7"/>
      <c r="AK101" s="5"/>
      <c r="AL101" s="5"/>
      <c r="AM101" s="8"/>
      <c r="AN101" s="8"/>
      <c r="AO101" s="9"/>
    </row>
    <row r="102" spans="1:41" ht="15">
      <c r="A102" s="3"/>
      <c r="B102" s="3"/>
      <c r="C102" s="3"/>
      <c r="D102" s="12"/>
      <c r="E102" s="12"/>
      <c r="F102" s="12"/>
      <c r="G102" s="12"/>
      <c r="H102" s="12"/>
      <c r="I102" s="12"/>
      <c r="J102" s="12"/>
      <c r="K102" s="12"/>
      <c r="L102" s="12"/>
      <c r="M102" s="12"/>
      <c r="N102" s="12"/>
      <c r="O102" s="12"/>
      <c r="P102" s="13"/>
      <c r="Q102" s="13"/>
      <c r="R102" s="12"/>
      <c r="S102" s="12"/>
      <c r="T102" s="12"/>
      <c r="U102" s="12"/>
      <c r="V102" s="12"/>
      <c r="W102" s="12"/>
      <c r="X102" s="12"/>
      <c r="Y102" s="12"/>
      <c r="Z102" s="14"/>
      <c r="AA102" s="14"/>
      <c r="AB102" s="4"/>
      <c r="AC102" s="4"/>
      <c r="AD102" s="6"/>
      <c r="AE102" s="6"/>
      <c r="AF102" s="6"/>
      <c r="AG102" s="6"/>
      <c r="AH102" s="6"/>
      <c r="AI102" s="6"/>
      <c r="AJ102" s="7"/>
      <c r="AK102" s="5"/>
      <c r="AL102" s="5"/>
      <c r="AM102" s="8"/>
      <c r="AN102" s="8"/>
      <c r="AO102" s="9"/>
    </row>
    <row r="103" spans="1:41" ht="15">
      <c r="A103" s="3"/>
      <c r="B103" s="3"/>
      <c r="C103" s="3"/>
      <c r="D103" s="12"/>
      <c r="E103" s="12"/>
      <c r="F103" s="12"/>
      <c r="G103" s="12"/>
      <c r="H103" s="12"/>
      <c r="I103" s="12"/>
      <c r="J103" s="12"/>
      <c r="K103" s="12"/>
      <c r="L103" s="12"/>
      <c r="M103" s="12"/>
      <c r="N103" s="12"/>
      <c r="O103" s="12"/>
      <c r="P103" s="13"/>
      <c r="Q103" s="13"/>
      <c r="R103" s="12"/>
      <c r="S103" s="12"/>
      <c r="T103" s="12"/>
      <c r="U103" s="12"/>
      <c r="V103" s="12"/>
      <c r="W103" s="12"/>
      <c r="X103" s="12"/>
      <c r="Y103" s="12"/>
      <c r="Z103" s="14"/>
      <c r="AA103" s="14"/>
      <c r="AB103" s="4"/>
      <c r="AC103" s="4"/>
      <c r="AD103" s="6"/>
      <c r="AE103" s="6"/>
      <c r="AF103" s="6"/>
      <c r="AG103" s="6"/>
      <c r="AH103" s="6"/>
      <c r="AI103" s="6"/>
      <c r="AJ103" s="7"/>
      <c r="AK103" s="5"/>
      <c r="AL103" s="5"/>
      <c r="AM103" s="8"/>
      <c r="AN103" s="8"/>
      <c r="AO103" s="9"/>
    </row>
  </sheetData>
  <mergeCells count="32">
    <mergeCell ref="A4:A6"/>
    <mergeCell ref="B4:B6"/>
    <mergeCell ref="C4:C6"/>
    <mergeCell ref="D4:Q4"/>
    <mergeCell ref="R4:AA4"/>
    <mergeCell ref="AB4:AC5"/>
    <mergeCell ref="AD4:AJ4"/>
    <mergeCell ref="AK4:AM4"/>
    <mergeCell ref="T5:U5"/>
    <mergeCell ref="V5:W5"/>
    <mergeCell ref="X5:Y5"/>
    <mergeCell ref="Z5:AA5"/>
    <mergeCell ref="AD5:AD6"/>
    <mergeCell ref="AE5:AE6"/>
    <mergeCell ref="AN4:AN6"/>
    <mergeCell ref="AO4:AO6"/>
    <mergeCell ref="D5:E5"/>
    <mergeCell ref="F5:G5"/>
    <mergeCell ref="H5:I5"/>
    <mergeCell ref="J5:K5"/>
    <mergeCell ref="L5:M5"/>
    <mergeCell ref="N5:O5"/>
    <mergeCell ref="P5:Q5"/>
    <mergeCell ref="R5:S5"/>
    <mergeCell ref="AF5:AF6"/>
    <mergeCell ref="AG5:AG6"/>
    <mergeCell ref="AH5:AH6"/>
    <mergeCell ref="AI5:AI6"/>
    <mergeCell ref="AJ5:AJ6"/>
    <mergeCell ref="AK5:AK6"/>
    <mergeCell ref="AL5:AL6"/>
    <mergeCell ref="AM5:AM6"/>
  </mergeCells>
  <conditionalFormatting sqref="B7:B103">
    <cfRule type="expression" priority="1" dxfId="22" stopIfTrue="1">
      <formula>AND(NOT(ISBLANK($A7)),ISBLANK(B7))</formula>
    </cfRule>
  </conditionalFormatting>
  <conditionalFormatting sqref="C7:C103">
    <cfRule type="expression" priority="2" dxfId="22" stopIfTrue="1">
      <formula>AND(NOT(ISBLANK(A7)),ISBLANK(C7))</formula>
    </cfRule>
  </conditionalFormatting>
  <conditionalFormatting sqref="D7:D103 F7:F103 H7:H103 J7:J103 L7:L103 N7:N103 T7 AD19:AN19 R7:R103 Z8:AA8 S8:T8 V7:V103 T9:T103 X7:X103">
    <cfRule type="expression" priority="3" dxfId="22" stopIfTrue="1">
      <formula>AND(NOT(ISBLANK(E7)),ISBLANK(D7))</formula>
    </cfRule>
  </conditionalFormatting>
  <conditionalFormatting sqref="E7:E103 G7:G103 I7:I103 K7:K103 M7:M103 O7:O103 S9:S103 S7 U7:U103 W7:W103 Y7:Y103">
    <cfRule type="expression" priority="4" dxfId="22" stopIfTrue="1">
      <formula>AND(NOT(ISBLANK(D7)),ISBLANK(E7))</formula>
    </cfRule>
  </conditionalFormatting>
  <dataValidations count="4">
    <dataValidation type="decimal" operator="greaterThan" allowBlank="1" showInputMessage="1" showErrorMessage="1" sqref="AD20:AI103 AK7:AL18 AD7:AI18 AK20:AL103">
      <formula1>0</formula1>
    </dataValidation>
    <dataValidation operator="lessThanOrEqual" allowBlank="1" showInputMessage="1" showErrorMessage="1" error="FTE cannot be greater than Headcount&#10;" sqref="AP1:IV65536 R104:AN65536 AO4 AO7:AO65536 R4 A4:C4 P5 A104:O65536 P7:Q65536 AB6:AC103 AB4"/>
    <dataValidation type="custom" allowBlank="1" showInputMessage="1" showErrorMessage="1" errorTitle="Headcount" error="The value entered in the headcount field must be greater than or equal to the value entered in the FTE field." sqref="F7:F103 H7:H103 J7:J103 L7:L103 N7:N103 D7:D103 R8:T8 R9:R103 Z8:AA8 T7 R7 V7:V103 AD19:AN19 T9:T103 X7:X103">
      <formula1>F7&gt;=G7</formula1>
    </dataValidation>
    <dataValidation type="custom" allowBlank="1" showInputMessage="1" showErrorMessage="1" errorTitle="FTE" error="The value entered in the FTE field must be less than or equal to the value entered in the headcount field." sqref="M7:M103 G7:G103 I7:I103 K7:K103 O7:O103 S9:S103 E7:E103 S7 W7:W103 U7:U103 Y7:Y103">
      <formula1>M7&lt;=L7</formula1>
    </dataValidation>
  </dataValidation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AO103"/>
  <sheetViews>
    <sheetView zoomScale="70" zoomScaleNormal="70" workbookViewId="0" topLeftCell="A1">
      <selection activeCell="A1" sqref="A1:A3"/>
    </sheetView>
  </sheetViews>
  <sheetFormatPr defaultColWidth="8.88671875" defaultRowHeight="15"/>
  <cols>
    <col min="1" max="1" width="23.5546875" style="2" customWidth="1"/>
    <col min="2" max="3" width="14.99609375" style="2" customWidth="1"/>
    <col min="4"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33.21484375" style="2" customWidth="1"/>
    <col min="42" max="16384" width="8.88671875" style="2" customWidth="1"/>
  </cols>
  <sheetData>
    <row r="1" ht="15">
      <c r="A1" s="2" t="s">
        <v>92</v>
      </c>
    </row>
    <row r="2" ht="15">
      <c r="A2" s="24" t="s">
        <v>93</v>
      </c>
    </row>
    <row r="3" ht="15">
      <c r="A3" s="24" t="s">
        <v>94</v>
      </c>
    </row>
    <row r="4" spans="1:41" s="1" customFormat="1" ht="15" customHeight="1">
      <c r="A4" s="387" t="s">
        <v>26</v>
      </c>
      <c r="B4" s="387" t="s">
        <v>15</v>
      </c>
      <c r="C4" s="387" t="s">
        <v>14</v>
      </c>
      <c r="D4" s="390" t="s">
        <v>22</v>
      </c>
      <c r="E4" s="391"/>
      <c r="F4" s="391"/>
      <c r="G4" s="391"/>
      <c r="H4" s="391"/>
      <c r="I4" s="391"/>
      <c r="J4" s="391"/>
      <c r="K4" s="391"/>
      <c r="L4" s="391"/>
      <c r="M4" s="391"/>
      <c r="N4" s="391"/>
      <c r="O4" s="391"/>
      <c r="P4" s="391"/>
      <c r="Q4" s="392"/>
      <c r="R4" s="393" t="s">
        <v>29</v>
      </c>
      <c r="S4" s="394"/>
      <c r="T4" s="394"/>
      <c r="U4" s="394"/>
      <c r="V4" s="394"/>
      <c r="W4" s="394"/>
      <c r="X4" s="394"/>
      <c r="Y4" s="394"/>
      <c r="Z4" s="394"/>
      <c r="AA4" s="395"/>
      <c r="AB4" s="396" t="s">
        <v>39</v>
      </c>
      <c r="AC4" s="397"/>
      <c r="AD4" s="400" t="s">
        <v>25</v>
      </c>
      <c r="AE4" s="401"/>
      <c r="AF4" s="401"/>
      <c r="AG4" s="401"/>
      <c r="AH4" s="401"/>
      <c r="AI4" s="401"/>
      <c r="AJ4" s="402"/>
      <c r="AK4" s="385" t="s">
        <v>46</v>
      </c>
      <c r="AL4" s="385"/>
      <c r="AM4" s="385"/>
      <c r="AN4" s="404" t="s">
        <v>38</v>
      </c>
      <c r="AO4" s="387" t="s">
        <v>47</v>
      </c>
    </row>
    <row r="5" spans="1:41" s="1" customFormat="1" ht="53.25" customHeight="1">
      <c r="A5" s="388"/>
      <c r="B5" s="388"/>
      <c r="C5" s="388"/>
      <c r="D5" s="408" t="s">
        <v>42</v>
      </c>
      <c r="E5" s="409"/>
      <c r="F5" s="408" t="s">
        <v>43</v>
      </c>
      <c r="G5" s="409"/>
      <c r="H5" s="408" t="s">
        <v>44</v>
      </c>
      <c r="I5" s="409"/>
      <c r="J5" s="408" t="s">
        <v>20</v>
      </c>
      <c r="K5" s="409"/>
      <c r="L5" s="408" t="s">
        <v>45</v>
      </c>
      <c r="M5" s="409"/>
      <c r="N5" s="408" t="s">
        <v>19</v>
      </c>
      <c r="O5" s="409"/>
      <c r="P5" s="390" t="s">
        <v>23</v>
      </c>
      <c r="Q5" s="392"/>
      <c r="R5" s="390" t="s">
        <v>27</v>
      </c>
      <c r="S5" s="395"/>
      <c r="T5" s="393" t="s">
        <v>17</v>
      </c>
      <c r="U5" s="395"/>
      <c r="V5" s="393" t="s">
        <v>18</v>
      </c>
      <c r="W5" s="395"/>
      <c r="X5" s="393" t="s">
        <v>28</v>
      </c>
      <c r="Y5" s="395"/>
      <c r="Z5" s="390" t="s">
        <v>24</v>
      </c>
      <c r="AA5" s="392"/>
      <c r="AB5" s="398"/>
      <c r="AC5" s="399"/>
      <c r="AD5" s="387" t="s">
        <v>31</v>
      </c>
      <c r="AE5" s="387" t="s">
        <v>30</v>
      </c>
      <c r="AF5" s="387" t="s">
        <v>32</v>
      </c>
      <c r="AG5" s="387" t="s">
        <v>33</v>
      </c>
      <c r="AH5" s="387" t="s">
        <v>34</v>
      </c>
      <c r="AI5" s="387" t="s">
        <v>35</v>
      </c>
      <c r="AJ5" s="383" t="s">
        <v>37</v>
      </c>
      <c r="AK5" s="387" t="s">
        <v>40</v>
      </c>
      <c r="AL5" s="387" t="s">
        <v>41</v>
      </c>
      <c r="AM5" s="387" t="s">
        <v>36</v>
      </c>
      <c r="AN5" s="405"/>
      <c r="AO5" s="407"/>
    </row>
    <row r="6" spans="1:41" ht="57.75" customHeight="1">
      <c r="A6" s="389"/>
      <c r="B6" s="389"/>
      <c r="C6" s="389"/>
      <c r="D6" s="10" t="s">
        <v>16</v>
      </c>
      <c r="E6" s="10" t="s">
        <v>21</v>
      </c>
      <c r="F6" s="10" t="s">
        <v>16</v>
      </c>
      <c r="G6" s="10" t="s">
        <v>21</v>
      </c>
      <c r="H6" s="10" t="s">
        <v>16</v>
      </c>
      <c r="I6" s="10" t="s">
        <v>21</v>
      </c>
      <c r="J6" s="10" t="s">
        <v>16</v>
      </c>
      <c r="K6" s="10" t="s">
        <v>21</v>
      </c>
      <c r="L6" s="10" t="s">
        <v>16</v>
      </c>
      <c r="M6" s="10" t="s">
        <v>21</v>
      </c>
      <c r="N6" s="10" t="s">
        <v>16</v>
      </c>
      <c r="O6" s="10" t="s">
        <v>21</v>
      </c>
      <c r="P6" s="10" t="s">
        <v>16</v>
      </c>
      <c r="Q6" s="10" t="s">
        <v>21</v>
      </c>
      <c r="R6" s="11" t="s">
        <v>16</v>
      </c>
      <c r="S6" s="11" t="s">
        <v>21</v>
      </c>
      <c r="T6" s="11" t="s">
        <v>16</v>
      </c>
      <c r="U6" s="11" t="s">
        <v>21</v>
      </c>
      <c r="V6" s="11" t="s">
        <v>16</v>
      </c>
      <c r="W6" s="11" t="s">
        <v>21</v>
      </c>
      <c r="X6" s="11" t="s">
        <v>16</v>
      </c>
      <c r="Y6" s="11" t="s">
        <v>21</v>
      </c>
      <c r="Z6" s="11" t="s">
        <v>16</v>
      </c>
      <c r="AA6" s="11" t="s">
        <v>21</v>
      </c>
      <c r="AB6" s="17" t="s">
        <v>16</v>
      </c>
      <c r="AC6" s="16" t="s">
        <v>21</v>
      </c>
      <c r="AD6" s="403"/>
      <c r="AE6" s="403"/>
      <c r="AF6" s="403"/>
      <c r="AG6" s="403"/>
      <c r="AH6" s="403"/>
      <c r="AI6" s="403"/>
      <c r="AJ6" s="383"/>
      <c r="AK6" s="403"/>
      <c r="AL6" s="403"/>
      <c r="AM6" s="403"/>
      <c r="AN6" s="406"/>
      <c r="AO6" s="403"/>
    </row>
    <row r="7" spans="1:41" ht="30">
      <c r="A7" s="3" t="s">
        <v>48</v>
      </c>
      <c r="B7" s="3" t="s">
        <v>49</v>
      </c>
      <c r="C7" s="3" t="s">
        <v>48</v>
      </c>
      <c r="D7" s="12">
        <v>1067</v>
      </c>
      <c r="E7" s="12">
        <v>992.31</v>
      </c>
      <c r="F7" s="12">
        <v>840</v>
      </c>
      <c r="G7" s="12">
        <v>805.82</v>
      </c>
      <c r="H7" s="12">
        <v>1549</v>
      </c>
      <c r="I7" s="12">
        <v>1500.37</v>
      </c>
      <c r="J7" s="12">
        <v>776</v>
      </c>
      <c r="K7" s="12">
        <v>752.23</v>
      </c>
      <c r="L7" s="12">
        <v>115</v>
      </c>
      <c r="M7" s="12">
        <v>112.55</v>
      </c>
      <c r="N7" s="12">
        <v>0</v>
      </c>
      <c r="O7" s="12">
        <v>0</v>
      </c>
      <c r="P7" s="13">
        <v>4347</v>
      </c>
      <c r="Q7" s="13">
        <v>4163.28</v>
      </c>
      <c r="R7" s="12">
        <v>183</v>
      </c>
      <c r="S7" s="12">
        <v>181.27</v>
      </c>
      <c r="T7" s="12">
        <v>17</v>
      </c>
      <c r="U7" s="12">
        <v>17</v>
      </c>
      <c r="V7" s="12">
        <v>180</v>
      </c>
      <c r="W7" s="12">
        <v>179</v>
      </c>
      <c r="X7" s="12">
        <v>0</v>
      </c>
      <c r="Y7" s="12">
        <v>0</v>
      </c>
      <c r="Z7" s="14">
        <v>380</v>
      </c>
      <c r="AA7" s="14">
        <v>377.27</v>
      </c>
      <c r="AB7" s="4">
        <v>4727</v>
      </c>
      <c r="AC7" s="4">
        <v>4540.55</v>
      </c>
      <c r="AD7" s="19">
        <v>9222443.93999999</v>
      </c>
      <c r="AE7" s="20">
        <v>209998.01</v>
      </c>
      <c r="AF7" s="20">
        <v>16070</v>
      </c>
      <c r="AG7" s="20">
        <v>167361.66</v>
      </c>
      <c r="AH7" s="20">
        <v>1738283.31</v>
      </c>
      <c r="AI7" s="20">
        <v>787170.770000001</v>
      </c>
      <c r="AJ7" s="21">
        <v>12141327.689999992</v>
      </c>
      <c r="AK7" s="19">
        <v>1714244.09</v>
      </c>
      <c r="AL7" s="19">
        <v>216057.72</v>
      </c>
      <c r="AM7" s="22">
        <v>1930301.81</v>
      </c>
      <c r="AN7" s="22">
        <v>14071629.499999993</v>
      </c>
      <c r="AO7" s="18"/>
    </row>
    <row r="8" spans="1:41" ht="30">
      <c r="A8" s="3" t="s">
        <v>76</v>
      </c>
      <c r="B8" s="3" t="s">
        <v>51</v>
      </c>
      <c r="C8" s="3" t="s">
        <v>48</v>
      </c>
      <c r="D8" s="12">
        <v>14162</v>
      </c>
      <c r="E8" s="27">
        <v>12383.83</v>
      </c>
      <c r="F8" s="12">
        <v>3497</v>
      </c>
      <c r="G8" s="12">
        <v>3262.22</v>
      </c>
      <c r="H8" s="12">
        <v>2834</v>
      </c>
      <c r="I8" s="12">
        <v>2645.08</v>
      </c>
      <c r="J8" s="12">
        <v>667</v>
      </c>
      <c r="K8" s="12">
        <v>650.59</v>
      </c>
      <c r="L8" s="12">
        <v>38</v>
      </c>
      <c r="M8" s="12">
        <v>37.92</v>
      </c>
      <c r="N8" s="12">
        <v>0</v>
      </c>
      <c r="O8" s="12">
        <v>0</v>
      </c>
      <c r="P8" s="13">
        <v>21198</v>
      </c>
      <c r="Q8" s="13">
        <v>18979.64</v>
      </c>
      <c r="R8" s="23" t="s">
        <v>90</v>
      </c>
      <c r="S8" s="23">
        <v>255.3</v>
      </c>
      <c r="T8" s="12">
        <v>0</v>
      </c>
      <c r="U8" s="12">
        <v>0</v>
      </c>
      <c r="V8" s="12">
        <v>0</v>
      </c>
      <c r="W8" s="12">
        <v>0</v>
      </c>
      <c r="X8" s="12">
        <v>0</v>
      </c>
      <c r="Y8" s="12">
        <v>0</v>
      </c>
      <c r="Z8" s="23" t="s">
        <v>90</v>
      </c>
      <c r="AA8" s="23" t="s">
        <v>90</v>
      </c>
      <c r="AB8" s="4">
        <v>21198</v>
      </c>
      <c r="AC8" s="4">
        <v>18979.64</v>
      </c>
      <c r="AD8" s="20">
        <v>36021498.349999994</v>
      </c>
      <c r="AE8" s="20">
        <v>751855.14</v>
      </c>
      <c r="AF8" s="20">
        <v>74433.35</v>
      </c>
      <c r="AG8" s="20">
        <v>406119.66</v>
      </c>
      <c r="AH8" s="20">
        <v>6306217.319999999</v>
      </c>
      <c r="AI8" s="20">
        <v>2435911.32</v>
      </c>
      <c r="AJ8" s="21">
        <v>45996035.13999999</v>
      </c>
      <c r="AK8" s="19">
        <v>523572.89</v>
      </c>
      <c r="AL8" s="19">
        <v>0</v>
      </c>
      <c r="AM8" s="22">
        <v>523572.89</v>
      </c>
      <c r="AN8" s="22">
        <v>46519608.029999994</v>
      </c>
      <c r="AO8" s="3"/>
    </row>
    <row r="9" spans="1:41" ht="15">
      <c r="A9" s="3" t="s">
        <v>55</v>
      </c>
      <c r="B9" s="3" t="s">
        <v>51</v>
      </c>
      <c r="C9" s="3" t="s">
        <v>48</v>
      </c>
      <c r="D9" s="12">
        <v>186</v>
      </c>
      <c r="E9" s="12">
        <v>167.07</v>
      </c>
      <c r="F9" s="12">
        <v>120</v>
      </c>
      <c r="G9" s="12">
        <v>115.69</v>
      </c>
      <c r="H9" s="12">
        <v>250</v>
      </c>
      <c r="I9" s="12">
        <v>242.4</v>
      </c>
      <c r="J9" s="12">
        <v>61</v>
      </c>
      <c r="K9" s="12">
        <v>60.16</v>
      </c>
      <c r="L9" s="12">
        <v>6</v>
      </c>
      <c r="M9" s="12">
        <v>6</v>
      </c>
      <c r="N9" s="12">
        <v>0</v>
      </c>
      <c r="O9" s="12">
        <v>0</v>
      </c>
      <c r="P9" s="13">
        <v>623</v>
      </c>
      <c r="Q9" s="13">
        <v>591.32</v>
      </c>
      <c r="R9" s="12">
        <v>10</v>
      </c>
      <c r="S9" s="12">
        <v>8.9</v>
      </c>
      <c r="T9" s="12">
        <v>0</v>
      </c>
      <c r="U9" s="12">
        <v>0</v>
      </c>
      <c r="V9" s="12">
        <v>13</v>
      </c>
      <c r="W9" s="12">
        <v>12</v>
      </c>
      <c r="X9" s="12">
        <v>0</v>
      </c>
      <c r="Y9" s="12">
        <v>0</v>
      </c>
      <c r="Z9" s="14">
        <v>23</v>
      </c>
      <c r="AA9" s="14">
        <v>20.9</v>
      </c>
      <c r="AB9" s="4">
        <v>646</v>
      </c>
      <c r="AC9" s="4">
        <v>612.22</v>
      </c>
      <c r="AD9" s="20">
        <v>1456612.51</v>
      </c>
      <c r="AE9" s="20">
        <v>5013.9</v>
      </c>
      <c r="AF9" s="20">
        <v>0</v>
      </c>
      <c r="AG9" s="20">
        <v>10239.39</v>
      </c>
      <c r="AH9" s="20">
        <v>264070.25</v>
      </c>
      <c r="AI9" s="20">
        <v>119781.16</v>
      </c>
      <c r="AJ9" s="21">
        <v>1855717.21</v>
      </c>
      <c r="AK9" s="19">
        <v>70562.85</v>
      </c>
      <c r="AL9" s="19">
        <v>0</v>
      </c>
      <c r="AM9" s="22">
        <v>70562.85</v>
      </c>
      <c r="AN9" s="22">
        <v>1926280.06</v>
      </c>
      <c r="AO9" s="3"/>
    </row>
    <row r="10" spans="1:41" ht="75">
      <c r="A10" s="3" t="s">
        <v>56</v>
      </c>
      <c r="B10" s="3" t="s">
        <v>51</v>
      </c>
      <c r="C10" s="3" t="s">
        <v>48</v>
      </c>
      <c r="D10" s="12">
        <v>35251</v>
      </c>
      <c r="E10" s="28">
        <v>33729.65071919935</v>
      </c>
      <c r="F10" s="12">
        <v>7098</v>
      </c>
      <c r="G10" s="28">
        <v>6795.175792206012</v>
      </c>
      <c r="H10" s="12">
        <v>3206</v>
      </c>
      <c r="I10" s="28">
        <v>2991.3792548914494</v>
      </c>
      <c r="J10" s="12">
        <v>649</v>
      </c>
      <c r="K10" s="28">
        <v>632.7781649245064</v>
      </c>
      <c r="L10" s="12">
        <v>42</v>
      </c>
      <c r="M10" s="28">
        <v>41.8780487804878</v>
      </c>
      <c r="N10" s="12">
        <v>0</v>
      </c>
      <c r="O10" s="12">
        <v>0</v>
      </c>
      <c r="P10" s="13">
        <v>46246</v>
      </c>
      <c r="Q10" s="13">
        <v>44190.86198000181</v>
      </c>
      <c r="R10" s="12">
        <v>285</v>
      </c>
      <c r="S10" s="12">
        <v>285</v>
      </c>
      <c r="T10" s="12">
        <v>0</v>
      </c>
      <c r="U10" s="12">
        <v>0</v>
      </c>
      <c r="V10" s="12">
        <v>0</v>
      </c>
      <c r="W10" s="12">
        <v>0</v>
      </c>
      <c r="X10" s="12">
        <v>0</v>
      </c>
      <c r="Y10" s="12">
        <v>0</v>
      </c>
      <c r="Z10" s="14">
        <v>285</v>
      </c>
      <c r="AA10" s="14">
        <v>285</v>
      </c>
      <c r="AB10" s="4">
        <v>46531</v>
      </c>
      <c r="AC10" s="4">
        <v>44475.86198000181</v>
      </c>
      <c r="AD10" s="20">
        <v>100845375.60000004</v>
      </c>
      <c r="AE10" s="20">
        <v>0</v>
      </c>
      <c r="AF10" s="20">
        <v>0</v>
      </c>
      <c r="AG10" s="20">
        <v>4266468.21</v>
      </c>
      <c r="AH10" s="20">
        <v>18804161.25000001</v>
      </c>
      <c r="AI10" s="20">
        <v>7722234.59</v>
      </c>
      <c r="AJ10" s="21">
        <v>131638239.65000005</v>
      </c>
      <c r="AK10" s="19">
        <v>1455062.29</v>
      </c>
      <c r="AL10" s="19">
        <v>1057162.21</v>
      </c>
      <c r="AM10" s="22">
        <v>2512224.5</v>
      </c>
      <c r="AN10" s="22">
        <v>134150464.15000005</v>
      </c>
      <c r="AO10" s="3" t="s">
        <v>87</v>
      </c>
    </row>
    <row r="11" spans="1:41" ht="30">
      <c r="A11" s="3" t="s">
        <v>58</v>
      </c>
      <c r="B11" s="3" t="s">
        <v>51</v>
      </c>
      <c r="C11" s="3" t="s">
        <v>48</v>
      </c>
      <c r="D11" s="12">
        <v>269</v>
      </c>
      <c r="E11" s="12">
        <v>251.18</v>
      </c>
      <c r="F11" s="12">
        <v>163</v>
      </c>
      <c r="G11" s="12">
        <v>155.36</v>
      </c>
      <c r="H11" s="12">
        <v>68</v>
      </c>
      <c r="I11" s="12">
        <v>66.84</v>
      </c>
      <c r="J11" s="12">
        <v>10</v>
      </c>
      <c r="K11" s="12">
        <v>9.82</v>
      </c>
      <c r="L11" s="12">
        <v>2</v>
      </c>
      <c r="M11" s="12">
        <v>1.78</v>
      </c>
      <c r="N11" s="12">
        <v>0</v>
      </c>
      <c r="O11" s="12">
        <v>0</v>
      </c>
      <c r="P11" s="13">
        <v>512</v>
      </c>
      <c r="Q11" s="13">
        <v>484.98</v>
      </c>
      <c r="R11" s="12">
        <v>182</v>
      </c>
      <c r="S11" s="12">
        <v>141.67</v>
      </c>
      <c r="T11" s="12">
        <v>0</v>
      </c>
      <c r="U11" s="12">
        <v>0</v>
      </c>
      <c r="V11" s="12">
        <v>0</v>
      </c>
      <c r="W11" s="12">
        <v>0</v>
      </c>
      <c r="X11" s="12">
        <v>2</v>
      </c>
      <c r="Y11" s="12">
        <v>2</v>
      </c>
      <c r="Z11" s="14">
        <v>184</v>
      </c>
      <c r="AA11" s="14">
        <v>143.67</v>
      </c>
      <c r="AB11" s="4">
        <v>696</v>
      </c>
      <c r="AC11" s="4">
        <v>628.65</v>
      </c>
      <c r="AD11" s="20">
        <v>931191.32</v>
      </c>
      <c r="AE11" s="20">
        <v>19683.59</v>
      </c>
      <c r="AF11" s="20">
        <v>2750</v>
      </c>
      <c r="AG11" s="20">
        <v>12724.34</v>
      </c>
      <c r="AH11" s="20">
        <v>146532.25</v>
      </c>
      <c r="AI11" s="20">
        <v>63340.71</v>
      </c>
      <c r="AJ11" s="21">
        <v>1176222.21</v>
      </c>
      <c r="AK11" s="19">
        <v>362473.16</v>
      </c>
      <c r="AL11" s="19">
        <v>70108.31</v>
      </c>
      <c r="AM11" s="22">
        <v>432581.47</v>
      </c>
      <c r="AN11" s="22">
        <v>1608803.68</v>
      </c>
      <c r="AO11" s="18"/>
    </row>
    <row r="12" spans="1:41" ht="45">
      <c r="A12" s="3" t="s">
        <v>60</v>
      </c>
      <c r="B12" s="3" t="s">
        <v>53</v>
      </c>
      <c r="C12" s="3" t="s">
        <v>48</v>
      </c>
      <c r="D12" s="12">
        <v>4</v>
      </c>
      <c r="E12" s="12">
        <v>4</v>
      </c>
      <c r="F12" s="12">
        <v>16</v>
      </c>
      <c r="G12" s="12">
        <v>16</v>
      </c>
      <c r="H12" s="12">
        <v>19</v>
      </c>
      <c r="I12" s="12">
        <v>18.8</v>
      </c>
      <c r="J12" s="12">
        <v>5</v>
      </c>
      <c r="K12" s="12">
        <v>4.47</v>
      </c>
      <c r="L12" s="12">
        <v>2</v>
      </c>
      <c r="M12" s="12">
        <v>2</v>
      </c>
      <c r="N12" s="12">
        <v>0</v>
      </c>
      <c r="O12" s="12">
        <v>0</v>
      </c>
      <c r="P12" s="13">
        <v>46</v>
      </c>
      <c r="Q12" s="13">
        <v>45.27</v>
      </c>
      <c r="R12" s="12">
        <v>0</v>
      </c>
      <c r="S12" s="12">
        <v>0</v>
      </c>
      <c r="T12" s="12">
        <v>0</v>
      </c>
      <c r="U12" s="12">
        <v>0</v>
      </c>
      <c r="V12" s="12">
        <v>0</v>
      </c>
      <c r="W12" s="12">
        <v>0</v>
      </c>
      <c r="X12" s="12">
        <v>0</v>
      </c>
      <c r="Y12" s="12">
        <v>0</v>
      </c>
      <c r="Z12" s="14">
        <v>0</v>
      </c>
      <c r="AA12" s="14">
        <v>0</v>
      </c>
      <c r="AB12" s="4">
        <v>46</v>
      </c>
      <c r="AC12" s="4">
        <v>45.27</v>
      </c>
      <c r="AD12" s="20">
        <v>134445.68</v>
      </c>
      <c r="AE12" s="20">
        <v>211.23</v>
      </c>
      <c r="AF12" s="20">
        <v>0</v>
      </c>
      <c r="AG12" s="20">
        <v>1071.12</v>
      </c>
      <c r="AH12" s="20">
        <v>23269.69</v>
      </c>
      <c r="AI12" s="20">
        <v>12363.39</v>
      </c>
      <c r="AJ12" s="21">
        <v>171361.11</v>
      </c>
      <c r="AK12" s="19">
        <v>0</v>
      </c>
      <c r="AL12" s="19">
        <v>0</v>
      </c>
      <c r="AM12" s="22">
        <v>0</v>
      </c>
      <c r="AN12" s="22">
        <v>171361.11</v>
      </c>
      <c r="AO12" s="3" t="s">
        <v>95</v>
      </c>
    </row>
    <row r="13" spans="1:41" ht="105">
      <c r="A13" s="3" t="s">
        <v>62</v>
      </c>
      <c r="B13" s="3" t="s">
        <v>63</v>
      </c>
      <c r="C13" s="3" t="s">
        <v>48</v>
      </c>
      <c r="D13" s="12">
        <v>0</v>
      </c>
      <c r="E13" s="12">
        <v>0</v>
      </c>
      <c r="F13" s="12">
        <v>0</v>
      </c>
      <c r="G13" s="12">
        <v>0</v>
      </c>
      <c r="H13" s="12">
        <v>0</v>
      </c>
      <c r="I13" s="12">
        <v>0</v>
      </c>
      <c r="J13" s="12">
        <v>0</v>
      </c>
      <c r="K13" s="12">
        <v>0</v>
      </c>
      <c r="L13" s="12">
        <v>0</v>
      </c>
      <c r="M13" s="12">
        <v>0</v>
      </c>
      <c r="N13" s="12">
        <v>73</v>
      </c>
      <c r="O13" s="12">
        <v>67.19</v>
      </c>
      <c r="P13" s="13">
        <v>73</v>
      </c>
      <c r="Q13" s="13">
        <v>67.19</v>
      </c>
      <c r="R13" s="12">
        <v>2</v>
      </c>
      <c r="S13" s="12">
        <v>1.81</v>
      </c>
      <c r="T13" s="12">
        <v>0</v>
      </c>
      <c r="U13" s="12">
        <v>0</v>
      </c>
      <c r="V13" s="12">
        <v>0</v>
      </c>
      <c r="W13" s="12">
        <v>0</v>
      </c>
      <c r="X13" s="12">
        <v>0</v>
      </c>
      <c r="Y13" s="12">
        <v>0</v>
      </c>
      <c r="Z13" s="14">
        <v>2</v>
      </c>
      <c r="AA13" s="14">
        <v>1.81</v>
      </c>
      <c r="AB13" s="4">
        <v>75</v>
      </c>
      <c r="AC13" s="4">
        <v>69</v>
      </c>
      <c r="AD13" s="20">
        <v>193232</v>
      </c>
      <c r="AE13" s="20">
        <v>33</v>
      </c>
      <c r="AF13" s="20">
        <v>0</v>
      </c>
      <c r="AG13" s="20">
        <v>60</v>
      </c>
      <c r="AH13" s="20">
        <v>36529</v>
      </c>
      <c r="AI13" s="20">
        <v>15735</v>
      </c>
      <c r="AJ13" s="21">
        <v>245589</v>
      </c>
      <c r="AK13" s="19">
        <v>3112</v>
      </c>
      <c r="AL13" s="19">
        <v>0</v>
      </c>
      <c r="AM13" s="22">
        <v>3112</v>
      </c>
      <c r="AN13" s="22">
        <v>248701</v>
      </c>
      <c r="AO13" s="3" t="s">
        <v>64</v>
      </c>
    </row>
    <row r="14" spans="1:41" ht="45">
      <c r="A14" s="3" t="s">
        <v>66</v>
      </c>
      <c r="B14" s="3" t="s">
        <v>63</v>
      </c>
      <c r="C14" s="3" t="s">
        <v>48</v>
      </c>
      <c r="D14" s="12">
        <v>0</v>
      </c>
      <c r="E14" s="12">
        <v>0</v>
      </c>
      <c r="F14" s="12">
        <v>0</v>
      </c>
      <c r="G14" s="12">
        <v>0</v>
      </c>
      <c r="H14" s="12">
        <v>0</v>
      </c>
      <c r="I14" s="12">
        <v>0</v>
      </c>
      <c r="J14" s="12">
        <v>0</v>
      </c>
      <c r="K14" s="12">
        <v>0</v>
      </c>
      <c r="L14" s="12">
        <v>0</v>
      </c>
      <c r="M14" s="12">
        <v>0</v>
      </c>
      <c r="N14" s="12">
        <v>342</v>
      </c>
      <c r="O14" s="12">
        <v>318.15</v>
      </c>
      <c r="P14" s="13">
        <v>342</v>
      </c>
      <c r="Q14" s="13">
        <v>318.15</v>
      </c>
      <c r="R14" s="12">
        <v>10</v>
      </c>
      <c r="S14" s="12">
        <v>9.5</v>
      </c>
      <c r="T14" s="12">
        <v>0</v>
      </c>
      <c r="U14" s="12">
        <v>0</v>
      </c>
      <c r="V14" s="12">
        <v>0</v>
      </c>
      <c r="W14" s="12">
        <v>0</v>
      </c>
      <c r="X14" s="12">
        <v>0</v>
      </c>
      <c r="Y14" s="12">
        <v>0</v>
      </c>
      <c r="Z14" s="14">
        <v>10</v>
      </c>
      <c r="AA14" s="14">
        <v>9.5</v>
      </c>
      <c r="AB14" s="4">
        <v>352</v>
      </c>
      <c r="AC14" s="4">
        <v>327.65</v>
      </c>
      <c r="AD14" s="20">
        <v>709252.65</v>
      </c>
      <c r="AE14" s="20">
        <v>709.32</v>
      </c>
      <c r="AF14" s="20">
        <v>0</v>
      </c>
      <c r="AG14" s="20">
        <v>9520.01</v>
      </c>
      <c r="AH14" s="20">
        <v>129133.82</v>
      </c>
      <c r="AI14" s="20">
        <v>50698.06</v>
      </c>
      <c r="AJ14" s="21">
        <v>899313.86</v>
      </c>
      <c r="AK14" s="19">
        <v>16498.82</v>
      </c>
      <c r="AL14" s="19">
        <v>1552.5</v>
      </c>
      <c r="AM14" s="22">
        <v>18051.32</v>
      </c>
      <c r="AN14" s="22">
        <v>917365.18</v>
      </c>
      <c r="AO14" s="3"/>
    </row>
    <row r="15" spans="1:41" ht="45">
      <c r="A15" s="3" t="s">
        <v>67</v>
      </c>
      <c r="B15" s="3" t="s">
        <v>63</v>
      </c>
      <c r="C15" s="3" t="s">
        <v>48</v>
      </c>
      <c r="D15" s="12">
        <v>14</v>
      </c>
      <c r="E15" s="12">
        <v>14</v>
      </c>
      <c r="F15" s="12">
        <v>19</v>
      </c>
      <c r="G15" s="12">
        <v>18.25</v>
      </c>
      <c r="H15" s="12">
        <v>26</v>
      </c>
      <c r="I15" s="12">
        <v>26</v>
      </c>
      <c r="J15" s="12">
        <v>15</v>
      </c>
      <c r="K15" s="12">
        <v>14.2</v>
      </c>
      <c r="L15" s="12">
        <v>3</v>
      </c>
      <c r="M15" s="12">
        <v>3</v>
      </c>
      <c r="N15" s="12">
        <v>1</v>
      </c>
      <c r="O15" s="12">
        <v>0.6</v>
      </c>
      <c r="P15" s="13">
        <v>78</v>
      </c>
      <c r="Q15" s="13">
        <v>76.05</v>
      </c>
      <c r="R15" s="12">
        <v>0</v>
      </c>
      <c r="S15" s="12">
        <v>0</v>
      </c>
      <c r="T15" s="12">
        <v>0</v>
      </c>
      <c r="U15" s="12">
        <v>0</v>
      </c>
      <c r="V15" s="12">
        <v>0</v>
      </c>
      <c r="W15" s="12">
        <v>0</v>
      </c>
      <c r="X15" s="12">
        <v>0</v>
      </c>
      <c r="Y15" s="12">
        <v>0</v>
      </c>
      <c r="Z15" s="14">
        <v>0</v>
      </c>
      <c r="AA15" s="14">
        <v>0</v>
      </c>
      <c r="AB15" s="4">
        <v>78</v>
      </c>
      <c r="AC15" s="4">
        <v>76.05</v>
      </c>
      <c r="AD15" s="20">
        <v>208551</v>
      </c>
      <c r="AE15" s="20">
        <v>2402</v>
      </c>
      <c r="AF15" s="20">
        <v>0</v>
      </c>
      <c r="AG15" s="20">
        <v>78</v>
      </c>
      <c r="AH15" s="20">
        <v>40363</v>
      </c>
      <c r="AI15" s="20">
        <v>16324</v>
      </c>
      <c r="AJ15" s="21">
        <v>267718</v>
      </c>
      <c r="AK15" s="19">
        <v>0</v>
      </c>
      <c r="AL15" s="19">
        <v>0</v>
      </c>
      <c r="AM15" s="22">
        <v>0</v>
      </c>
      <c r="AN15" s="22">
        <v>267718</v>
      </c>
      <c r="AO15" s="3"/>
    </row>
    <row r="16" spans="1:41" ht="60">
      <c r="A16" s="3" t="s">
        <v>68</v>
      </c>
      <c r="B16" s="3" t="s">
        <v>63</v>
      </c>
      <c r="C16" s="3" t="s">
        <v>48</v>
      </c>
      <c r="D16" s="12">
        <v>0</v>
      </c>
      <c r="E16" s="12">
        <v>0</v>
      </c>
      <c r="F16" s="12">
        <v>0</v>
      </c>
      <c r="G16" s="12">
        <v>0</v>
      </c>
      <c r="H16" s="12">
        <v>0</v>
      </c>
      <c r="I16" s="12">
        <v>0</v>
      </c>
      <c r="J16" s="12">
        <v>0</v>
      </c>
      <c r="K16" s="12">
        <v>0</v>
      </c>
      <c r="L16" s="12">
        <v>0</v>
      </c>
      <c r="M16" s="12">
        <v>0</v>
      </c>
      <c r="N16" s="12">
        <v>32</v>
      </c>
      <c r="O16" s="12">
        <v>32</v>
      </c>
      <c r="P16" s="13">
        <v>32</v>
      </c>
      <c r="Q16" s="13">
        <v>32</v>
      </c>
      <c r="R16" s="12">
        <v>0</v>
      </c>
      <c r="S16" s="12">
        <v>0</v>
      </c>
      <c r="T16" s="12">
        <v>0</v>
      </c>
      <c r="U16" s="12">
        <v>0</v>
      </c>
      <c r="V16" s="12">
        <v>0</v>
      </c>
      <c r="W16" s="12">
        <v>0</v>
      </c>
      <c r="X16" s="12">
        <v>0</v>
      </c>
      <c r="Y16" s="12">
        <v>0</v>
      </c>
      <c r="Z16" s="14">
        <v>0</v>
      </c>
      <c r="AA16" s="14">
        <v>0</v>
      </c>
      <c r="AB16" s="4">
        <v>32</v>
      </c>
      <c r="AC16" s="4">
        <v>32</v>
      </c>
      <c r="AD16" s="20">
        <v>165477.7</v>
      </c>
      <c r="AE16" s="20">
        <v>0</v>
      </c>
      <c r="AF16" s="20">
        <v>0</v>
      </c>
      <c r="AG16" s="20">
        <v>0</v>
      </c>
      <c r="AH16" s="20">
        <v>31021.67</v>
      </c>
      <c r="AI16" s="20">
        <v>20234.82</v>
      </c>
      <c r="AJ16" s="21">
        <v>216734.19</v>
      </c>
      <c r="AK16" s="19">
        <v>0</v>
      </c>
      <c r="AL16" s="19">
        <v>0</v>
      </c>
      <c r="AM16" s="22">
        <v>0</v>
      </c>
      <c r="AN16" s="22">
        <v>216734.19</v>
      </c>
      <c r="AO16" s="3" t="s">
        <v>69</v>
      </c>
    </row>
    <row r="17" spans="1:41" ht="45">
      <c r="A17" s="3" t="s">
        <v>70</v>
      </c>
      <c r="B17" s="3" t="s">
        <v>63</v>
      </c>
      <c r="C17" s="3" t="s">
        <v>48</v>
      </c>
      <c r="D17" s="12">
        <v>798</v>
      </c>
      <c r="E17" s="12">
        <v>753.7</v>
      </c>
      <c r="F17" s="12">
        <v>254</v>
      </c>
      <c r="G17" s="12">
        <v>244.5</v>
      </c>
      <c r="H17" s="12">
        <v>386</v>
      </c>
      <c r="I17" s="12">
        <v>370.3</v>
      </c>
      <c r="J17" s="12">
        <v>97</v>
      </c>
      <c r="K17" s="12">
        <v>96</v>
      </c>
      <c r="L17" s="12">
        <v>16</v>
      </c>
      <c r="M17" s="12">
        <v>10.2</v>
      </c>
      <c r="N17" s="12">
        <v>0</v>
      </c>
      <c r="O17" s="12">
        <v>0</v>
      </c>
      <c r="P17" s="13">
        <v>1551</v>
      </c>
      <c r="Q17" s="13">
        <v>1474.7</v>
      </c>
      <c r="R17" s="12">
        <v>72</v>
      </c>
      <c r="S17" s="12">
        <v>64.58</v>
      </c>
      <c r="T17" s="12">
        <v>0</v>
      </c>
      <c r="U17" s="12">
        <v>0</v>
      </c>
      <c r="V17" s="12">
        <v>12</v>
      </c>
      <c r="W17" s="12">
        <v>12</v>
      </c>
      <c r="X17" s="12">
        <v>0</v>
      </c>
      <c r="Y17" s="12">
        <v>0</v>
      </c>
      <c r="Z17" s="14">
        <v>84</v>
      </c>
      <c r="AA17" s="14">
        <v>76.58</v>
      </c>
      <c r="AB17" s="4">
        <v>1635</v>
      </c>
      <c r="AC17" s="4">
        <v>1551.28</v>
      </c>
      <c r="AD17" s="20">
        <v>3322406.54</v>
      </c>
      <c r="AE17" s="20">
        <v>0</v>
      </c>
      <c r="AF17" s="20">
        <v>0</v>
      </c>
      <c r="AG17" s="20">
        <v>135617.02</v>
      </c>
      <c r="AH17" s="20">
        <v>22415.72</v>
      </c>
      <c r="AI17" s="20">
        <v>284074.32</v>
      </c>
      <c r="AJ17" s="21">
        <v>3764513.6</v>
      </c>
      <c r="AK17" s="19">
        <v>256838.74</v>
      </c>
      <c r="AL17" s="19">
        <v>0</v>
      </c>
      <c r="AM17" s="22">
        <v>256838.74</v>
      </c>
      <c r="AN17" s="22">
        <v>4021352.34</v>
      </c>
      <c r="AO17" s="3"/>
    </row>
    <row r="18" spans="1:41" ht="45">
      <c r="A18" s="3" t="s">
        <v>71</v>
      </c>
      <c r="B18" s="3" t="s">
        <v>63</v>
      </c>
      <c r="C18" s="3" t="s">
        <v>48</v>
      </c>
      <c r="D18" s="12">
        <v>25</v>
      </c>
      <c r="E18" s="12">
        <v>24.6</v>
      </c>
      <c r="F18" s="12">
        <v>45</v>
      </c>
      <c r="G18" s="12">
        <v>43.5</v>
      </c>
      <c r="H18" s="12">
        <v>14</v>
      </c>
      <c r="I18" s="12">
        <v>13.6</v>
      </c>
      <c r="J18" s="12">
        <v>6</v>
      </c>
      <c r="K18" s="12">
        <v>6</v>
      </c>
      <c r="L18" s="12">
        <v>1</v>
      </c>
      <c r="M18" s="12">
        <v>1</v>
      </c>
      <c r="N18" s="12">
        <v>1</v>
      </c>
      <c r="O18" s="12">
        <v>0.4</v>
      </c>
      <c r="P18" s="13">
        <v>92</v>
      </c>
      <c r="Q18" s="13">
        <v>89.1</v>
      </c>
      <c r="R18" s="12">
        <v>0</v>
      </c>
      <c r="S18" s="12">
        <v>0</v>
      </c>
      <c r="T18" s="12">
        <v>0</v>
      </c>
      <c r="U18" s="12">
        <v>0</v>
      </c>
      <c r="V18" s="12">
        <v>0</v>
      </c>
      <c r="W18" s="12">
        <v>0</v>
      </c>
      <c r="X18" s="12">
        <v>0</v>
      </c>
      <c r="Y18" s="12">
        <v>0</v>
      </c>
      <c r="Z18" s="14">
        <v>0</v>
      </c>
      <c r="AA18" s="14">
        <v>0</v>
      </c>
      <c r="AB18" s="4">
        <v>92</v>
      </c>
      <c r="AC18" s="4">
        <v>89.1</v>
      </c>
      <c r="AD18" s="20">
        <v>183450.73</v>
      </c>
      <c r="AE18" s="20">
        <v>19455.2</v>
      </c>
      <c r="AF18" s="20">
        <v>0</v>
      </c>
      <c r="AG18" s="20">
        <v>1671.59</v>
      </c>
      <c r="AH18" s="20">
        <v>35101.44</v>
      </c>
      <c r="AI18" s="20">
        <v>16542.99</v>
      </c>
      <c r="AJ18" s="21">
        <v>256221.95</v>
      </c>
      <c r="AK18" s="19">
        <v>20893.56</v>
      </c>
      <c r="AL18" s="19">
        <v>0</v>
      </c>
      <c r="AM18" s="22">
        <v>20893.56</v>
      </c>
      <c r="AN18" s="22">
        <v>277115.51</v>
      </c>
      <c r="AO18" s="3"/>
    </row>
    <row r="19" spans="1:41" ht="287.25" customHeight="1">
      <c r="A19" s="3" t="s">
        <v>72</v>
      </c>
      <c r="B19" s="3" t="s">
        <v>63</v>
      </c>
      <c r="C19" s="3" t="s">
        <v>48</v>
      </c>
      <c r="D19" s="12">
        <v>0</v>
      </c>
      <c r="E19" s="12">
        <v>0</v>
      </c>
      <c r="F19" s="12">
        <v>0</v>
      </c>
      <c r="G19" s="12">
        <v>0</v>
      </c>
      <c r="H19" s="12">
        <v>0</v>
      </c>
      <c r="I19" s="12">
        <v>0</v>
      </c>
      <c r="J19" s="12">
        <v>0</v>
      </c>
      <c r="K19" s="12">
        <v>0</v>
      </c>
      <c r="L19" s="12">
        <v>0</v>
      </c>
      <c r="M19" s="12">
        <v>0</v>
      </c>
      <c r="N19" s="12">
        <v>19997</v>
      </c>
      <c r="O19" s="12">
        <v>18034</v>
      </c>
      <c r="P19" s="13">
        <v>19949</v>
      </c>
      <c r="Q19" s="13">
        <v>18050</v>
      </c>
      <c r="R19" s="12">
        <v>1615</v>
      </c>
      <c r="S19" s="12">
        <v>1615</v>
      </c>
      <c r="T19" s="12">
        <v>5</v>
      </c>
      <c r="U19" s="12">
        <v>5</v>
      </c>
      <c r="V19" s="12">
        <v>0</v>
      </c>
      <c r="W19" s="12">
        <v>0</v>
      </c>
      <c r="X19" s="12">
        <v>0</v>
      </c>
      <c r="Y19" s="12">
        <v>0</v>
      </c>
      <c r="Z19" s="14">
        <v>1521</v>
      </c>
      <c r="AA19" s="14">
        <v>1521</v>
      </c>
      <c r="AB19" s="4">
        <v>21470</v>
      </c>
      <c r="AC19" s="4">
        <v>19571</v>
      </c>
      <c r="AD19" s="23" t="s">
        <v>90</v>
      </c>
      <c r="AE19" s="23" t="s">
        <v>90</v>
      </c>
      <c r="AF19" s="23" t="s">
        <v>90</v>
      </c>
      <c r="AG19" s="23" t="s">
        <v>90</v>
      </c>
      <c r="AH19" s="23" t="s">
        <v>90</v>
      </c>
      <c r="AI19" s="23" t="s">
        <v>90</v>
      </c>
      <c r="AJ19" s="23" t="s">
        <v>90</v>
      </c>
      <c r="AK19" s="23" t="s">
        <v>90</v>
      </c>
      <c r="AL19" s="23" t="s">
        <v>90</v>
      </c>
      <c r="AM19" s="23" t="s">
        <v>90</v>
      </c>
      <c r="AN19" s="23" t="s">
        <v>90</v>
      </c>
      <c r="AO19" s="18" t="s">
        <v>96</v>
      </c>
    </row>
    <row r="20" spans="1:41" ht="45">
      <c r="A20" s="3" t="s">
        <v>74</v>
      </c>
      <c r="B20" s="3" t="s">
        <v>63</v>
      </c>
      <c r="C20" s="3" t="s">
        <v>48</v>
      </c>
      <c r="D20" s="12">
        <v>18</v>
      </c>
      <c r="E20" s="12">
        <v>16.45</v>
      </c>
      <c r="F20" s="12">
        <v>39</v>
      </c>
      <c r="G20" s="12">
        <v>37.93</v>
      </c>
      <c r="H20" s="12">
        <v>110</v>
      </c>
      <c r="I20" s="12">
        <v>107.94</v>
      </c>
      <c r="J20" s="12">
        <v>34</v>
      </c>
      <c r="K20" s="12">
        <v>33.9</v>
      </c>
      <c r="L20" s="12">
        <v>4</v>
      </c>
      <c r="M20" s="12">
        <v>3.6</v>
      </c>
      <c r="N20" s="12">
        <v>9</v>
      </c>
      <c r="O20" s="12">
        <v>9</v>
      </c>
      <c r="P20" s="13">
        <v>214</v>
      </c>
      <c r="Q20" s="13">
        <v>208.82</v>
      </c>
      <c r="R20" s="12">
        <v>7</v>
      </c>
      <c r="S20" s="12">
        <v>7</v>
      </c>
      <c r="T20" s="12">
        <v>0</v>
      </c>
      <c r="U20" s="12">
        <v>0</v>
      </c>
      <c r="V20" s="12">
        <v>5</v>
      </c>
      <c r="W20" s="12">
        <v>4.8</v>
      </c>
      <c r="X20" s="12">
        <v>0</v>
      </c>
      <c r="Y20" s="12">
        <v>0</v>
      </c>
      <c r="Z20" s="14">
        <v>12</v>
      </c>
      <c r="AA20" s="14">
        <v>11.8</v>
      </c>
      <c r="AB20" s="4">
        <v>226</v>
      </c>
      <c r="AC20" s="4">
        <v>220.62</v>
      </c>
      <c r="AD20" s="20">
        <v>662061.49</v>
      </c>
      <c r="AE20" s="20">
        <v>73245.35</v>
      </c>
      <c r="AF20" s="20">
        <v>0</v>
      </c>
      <c r="AG20" s="20">
        <v>5862.58</v>
      </c>
      <c r="AH20" s="20">
        <v>127188.17</v>
      </c>
      <c r="AI20" s="20">
        <v>69484.13</v>
      </c>
      <c r="AJ20" s="21">
        <v>937841.72</v>
      </c>
      <c r="AK20" s="19">
        <v>135997.12</v>
      </c>
      <c r="AL20" s="19">
        <v>0</v>
      </c>
      <c r="AM20" s="22">
        <v>135997.12</v>
      </c>
      <c r="AN20" s="22">
        <v>1073838.84</v>
      </c>
      <c r="AO20" s="3"/>
    </row>
    <row r="21" spans="1:41" ht="15">
      <c r="A21" s="3"/>
      <c r="B21" s="3"/>
      <c r="C21" s="3"/>
      <c r="D21" s="12">
        <v>51794</v>
      </c>
      <c r="E21" s="28">
        <v>48336.79071919934</v>
      </c>
      <c r="F21" s="12">
        <v>12091</v>
      </c>
      <c r="G21" s="28">
        <v>11494.445792206014</v>
      </c>
      <c r="H21" s="12">
        <v>8462</v>
      </c>
      <c r="I21" s="28">
        <v>7982.709254891449</v>
      </c>
      <c r="J21" s="12">
        <v>2320</v>
      </c>
      <c r="K21" s="28">
        <v>2260.1481649245065</v>
      </c>
      <c r="L21" s="12">
        <v>229</v>
      </c>
      <c r="M21" s="28">
        <v>219.92804878048779</v>
      </c>
      <c r="N21" s="12">
        <v>20407</v>
      </c>
      <c r="O21" s="12">
        <v>18477.34</v>
      </c>
      <c r="P21" s="13">
        <v>95303</v>
      </c>
      <c r="Q21" s="13">
        <v>88771.3619800018</v>
      </c>
      <c r="R21" s="25">
        <v>2267</v>
      </c>
      <c r="S21" s="25">
        <v>2215.73</v>
      </c>
      <c r="T21" s="12">
        <v>22</v>
      </c>
      <c r="U21" s="12">
        <v>22</v>
      </c>
      <c r="V21" s="12">
        <v>210</v>
      </c>
      <c r="W21" s="12">
        <v>207.8</v>
      </c>
      <c r="X21" s="12">
        <v>2</v>
      </c>
      <c r="Y21" s="12">
        <v>2</v>
      </c>
      <c r="Z21" s="14">
        <v>2501</v>
      </c>
      <c r="AA21" s="14">
        <v>2447.53</v>
      </c>
      <c r="AB21" s="4">
        <v>97804</v>
      </c>
      <c r="AC21" s="4">
        <v>91218.8919800018</v>
      </c>
      <c r="AD21" s="20">
        <v>154055999.51000002</v>
      </c>
      <c r="AE21" s="20">
        <v>1082606.74</v>
      </c>
      <c r="AF21" s="20">
        <v>93253.35</v>
      </c>
      <c r="AG21" s="20">
        <v>5016793.58</v>
      </c>
      <c r="AH21" s="20">
        <v>27704286.890000015</v>
      </c>
      <c r="AI21" s="20">
        <v>11613895.260000004</v>
      </c>
      <c r="AJ21" s="21">
        <v>199566835.33000004</v>
      </c>
      <c r="AK21" s="19">
        <v>4559255.52</v>
      </c>
      <c r="AL21" s="19">
        <v>1344880.74</v>
      </c>
      <c r="AM21" s="22">
        <v>5904136.26</v>
      </c>
      <c r="AN21" s="22">
        <v>205470971.59000003</v>
      </c>
      <c r="AO21" s="3"/>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row r="101" spans="1:41" ht="15">
      <c r="A101" s="3"/>
      <c r="B101" s="3"/>
      <c r="C101" s="3"/>
      <c r="D101" s="12"/>
      <c r="E101" s="12"/>
      <c r="F101" s="12"/>
      <c r="G101" s="12"/>
      <c r="H101" s="12"/>
      <c r="I101" s="12"/>
      <c r="J101" s="12"/>
      <c r="K101" s="12"/>
      <c r="L101" s="12"/>
      <c r="M101" s="12"/>
      <c r="N101" s="12"/>
      <c r="O101" s="12"/>
      <c r="P101" s="13"/>
      <c r="Q101" s="13"/>
      <c r="R101" s="12"/>
      <c r="S101" s="12"/>
      <c r="T101" s="12"/>
      <c r="U101" s="12"/>
      <c r="V101" s="12"/>
      <c r="W101" s="12"/>
      <c r="X101" s="12"/>
      <c r="Y101" s="12"/>
      <c r="Z101" s="14"/>
      <c r="AA101" s="14"/>
      <c r="AB101" s="4"/>
      <c r="AC101" s="4"/>
      <c r="AD101" s="6"/>
      <c r="AE101" s="6"/>
      <c r="AF101" s="6"/>
      <c r="AG101" s="6"/>
      <c r="AH101" s="6"/>
      <c r="AI101" s="6"/>
      <c r="AJ101" s="7"/>
      <c r="AK101" s="5"/>
      <c r="AL101" s="5"/>
      <c r="AM101" s="8"/>
      <c r="AN101" s="8"/>
      <c r="AO101" s="9"/>
    </row>
    <row r="102" spans="1:41" ht="15">
      <c r="A102" s="3"/>
      <c r="B102" s="3"/>
      <c r="C102" s="3"/>
      <c r="D102" s="12"/>
      <c r="E102" s="12"/>
      <c r="F102" s="12"/>
      <c r="G102" s="12"/>
      <c r="H102" s="12"/>
      <c r="I102" s="12"/>
      <c r="J102" s="12"/>
      <c r="K102" s="12"/>
      <c r="L102" s="12"/>
      <c r="M102" s="12"/>
      <c r="N102" s="12"/>
      <c r="O102" s="12"/>
      <c r="P102" s="13"/>
      <c r="Q102" s="13"/>
      <c r="R102" s="12"/>
      <c r="S102" s="12"/>
      <c r="T102" s="12"/>
      <c r="U102" s="12"/>
      <c r="V102" s="12"/>
      <c r="W102" s="12"/>
      <c r="X102" s="12"/>
      <c r="Y102" s="12"/>
      <c r="Z102" s="14"/>
      <c r="AA102" s="14"/>
      <c r="AB102" s="4"/>
      <c r="AC102" s="4"/>
      <c r="AD102" s="6"/>
      <c r="AE102" s="6"/>
      <c r="AF102" s="6"/>
      <c r="AG102" s="6"/>
      <c r="AH102" s="6"/>
      <c r="AI102" s="6"/>
      <c r="AJ102" s="7"/>
      <c r="AK102" s="5"/>
      <c r="AL102" s="5"/>
      <c r="AM102" s="8"/>
      <c r="AN102" s="8"/>
      <c r="AO102" s="9"/>
    </row>
    <row r="103" spans="1:41" ht="15">
      <c r="A103" s="3"/>
      <c r="B103" s="3"/>
      <c r="C103" s="3"/>
      <c r="D103" s="12"/>
      <c r="E103" s="12"/>
      <c r="F103" s="12"/>
      <c r="G103" s="12"/>
      <c r="H103" s="12"/>
      <c r="I103" s="12"/>
      <c r="J103" s="12"/>
      <c r="K103" s="12"/>
      <c r="L103" s="12"/>
      <c r="M103" s="12"/>
      <c r="N103" s="12"/>
      <c r="O103" s="12"/>
      <c r="P103" s="13"/>
      <c r="Q103" s="13"/>
      <c r="R103" s="12"/>
      <c r="S103" s="12"/>
      <c r="T103" s="12"/>
      <c r="U103" s="12"/>
      <c r="V103" s="12"/>
      <c r="W103" s="12"/>
      <c r="X103" s="12"/>
      <c r="Y103" s="12"/>
      <c r="Z103" s="14"/>
      <c r="AA103" s="14"/>
      <c r="AB103" s="4"/>
      <c r="AC103" s="4"/>
      <c r="AD103" s="6"/>
      <c r="AE103" s="6"/>
      <c r="AF103" s="6"/>
      <c r="AG103" s="6"/>
      <c r="AH103" s="6"/>
      <c r="AI103" s="6"/>
      <c r="AJ103" s="7"/>
      <c r="AK103" s="5"/>
      <c r="AL103" s="5"/>
      <c r="AM103" s="8"/>
      <c r="AN103" s="8"/>
      <c r="AO103" s="9"/>
    </row>
  </sheetData>
  <mergeCells count="32">
    <mergeCell ref="A4:A6"/>
    <mergeCell ref="B4:B6"/>
    <mergeCell ref="C4:C6"/>
    <mergeCell ref="D4:Q4"/>
    <mergeCell ref="R4:AA4"/>
    <mergeCell ref="AB4:AC5"/>
    <mergeCell ref="AD4:AJ4"/>
    <mergeCell ref="AK4:AM4"/>
    <mergeCell ref="T5:U5"/>
    <mergeCell ref="V5:W5"/>
    <mergeCell ref="X5:Y5"/>
    <mergeCell ref="Z5:AA5"/>
    <mergeCell ref="AD5:AD6"/>
    <mergeCell ref="AE5:AE6"/>
    <mergeCell ref="AN4:AN6"/>
    <mergeCell ref="AO4:AO6"/>
    <mergeCell ref="D5:E5"/>
    <mergeCell ref="F5:G5"/>
    <mergeCell ref="H5:I5"/>
    <mergeCell ref="J5:K5"/>
    <mergeCell ref="L5:M5"/>
    <mergeCell ref="N5:O5"/>
    <mergeCell ref="P5:Q5"/>
    <mergeCell ref="R5:S5"/>
    <mergeCell ref="AF5:AF6"/>
    <mergeCell ref="AG5:AG6"/>
    <mergeCell ref="AH5:AH6"/>
    <mergeCell ref="AI5:AI6"/>
    <mergeCell ref="AJ5:AJ6"/>
    <mergeCell ref="AK5:AK6"/>
    <mergeCell ref="AL5:AL6"/>
    <mergeCell ref="AM5:AM6"/>
  </mergeCells>
  <conditionalFormatting sqref="B7:B103">
    <cfRule type="expression" priority="1" dxfId="22" stopIfTrue="1">
      <formula>AND(NOT(ISBLANK($A7)),ISBLANK(B7))</formula>
    </cfRule>
  </conditionalFormatting>
  <conditionalFormatting sqref="C7:C103">
    <cfRule type="expression" priority="2" dxfId="22" stopIfTrue="1">
      <formula>AND(NOT(ISBLANK(A7)),ISBLANK(C7))</formula>
    </cfRule>
  </conditionalFormatting>
  <conditionalFormatting sqref="D7:D103 F7:F103 H7:H103 J7:J103 L7:L103 N7:N103 T7 X7:X103 R7:R103 Z8:AA8 S8:T8 T9:T103 V7:V103 AD19:AN19">
    <cfRule type="expression" priority="3" dxfId="22" stopIfTrue="1">
      <formula>AND(NOT(ISBLANK(E7)),ISBLANK(D7))</formula>
    </cfRule>
  </conditionalFormatting>
  <conditionalFormatting sqref="E7:E103 G7:G103 I7:I103 K7:K103 M7:M103 O7:O103 S9:S103 S7 U7:U103 W7:W103 Y7:Y103">
    <cfRule type="expression" priority="4" dxfId="22" stopIfTrue="1">
      <formula>AND(NOT(ISBLANK(D7)),ISBLANK(E7))</formula>
    </cfRule>
  </conditionalFormatting>
  <dataValidations count="4">
    <dataValidation type="custom" allowBlank="1" showInputMessage="1" showErrorMessage="1" errorTitle="FTE" error="The value entered in the FTE field must be less than or equal to the value entered in the headcount field." sqref="M7:M103 G7:G103 I7:I103 K7:K103 O7:O103 S9:S103 E7:E103 S7 U7:U103 W7:W103 Y7:Y103">
      <formula1>M7&lt;=L7</formula1>
    </dataValidation>
    <dataValidation type="custom" allowBlank="1" showInputMessage="1" showErrorMessage="1" errorTitle="Headcount" error="The value entered in the headcount field must be greater than or equal to the value entered in the FTE field." sqref="F7:F103 H7:H103 J7:J103 L7:L103 N7:N103 D7:D103 R8:T8 R9:R103 V7:V103 Z8:AA8 T7 R7 T9:T103 X7:X103 AD19:AN19">
      <formula1>F7&gt;=G7</formula1>
    </dataValidation>
    <dataValidation operator="lessThanOrEqual" allowBlank="1" showInputMessage="1" showErrorMessage="1" error="FTE cannot be greater than Headcount&#10;" sqref="AP1:IV65536 R104:AN65536 AO4 AO7:AO65536 R4 A4:C4 P5 A104:O65536 P7:Q65536 AB6:AC103 AB4"/>
    <dataValidation type="decimal" operator="greaterThan" allowBlank="1" showInputMessage="1" showErrorMessage="1" sqref="AD20:AI103 AK20:AL103 AK7:AL18 AD7:AI18">
      <formula1>0</formula1>
    </dataValidation>
  </dataValidation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AO103"/>
  <sheetViews>
    <sheetView zoomScale="70" zoomScaleNormal="70" workbookViewId="0" topLeftCell="A1">
      <selection activeCell="A1" sqref="A1"/>
    </sheetView>
  </sheetViews>
  <sheetFormatPr defaultColWidth="8.88671875" defaultRowHeight="15"/>
  <cols>
    <col min="1" max="1" width="23.5546875" style="2" customWidth="1"/>
    <col min="2" max="3" width="14.99609375" style="2" customWidth="1"/>
    <col min="4"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ht="15">
      <c r="A1" s="2" t="s">
        <v>92</v>
      </c>
    </row>
    <row r="2" ht="15">
      <c r="A2" s="24" t="s">
        <v>93</v>
      </c>
    </row>
    <row r="3" ht="15">
      <c r="A3" s="24" t="s">
        <v>94</v>
      </c>
    </row>
    <row r="4" spans="1:41" s="1" customFormat="1" ht="15" customHeight="1">
      <c r="A4" s="387" t="s">
        <v>26</v>
      </c>
      <c r="B4" s="387" t="s">
        <v>15</v>
      </c>
      <c r="C4" s="387" t="s">
        <v>14</v>
      </c>
      <c r="D4" s="390" t="s">
        <v>22</v>
      </c>
      <c r="E4" s="391"/>
      <c r="F4" s="391"/>
      <c r="G4" s="391"/>
      <c r="H4" s="391"/>
      <c r="I4" s="391"/>
      <c r="J4" s="391"/>
      <c r="K4" s="391"/>
      <c r="L4" s="391"/>
      <c r="M4" s="391"/>
      <c r="N4" s="391"/>
      <c r="O4" s="391"/>
      <c r="P4" s="391"/>
      <c r="Q4" s="392"/>
      <c r="R4" s="393" t="s">
        <v>29</v>
      </c>
      <c r="S4" s="394"/>
      <c r="T4" s="394"/>
      <c r="U4" s="394"/>
      <c r="V4" s="394"/>
      <c r="W4" s="394"/>
      <c r="X4" s="394"/>
      <c r="Y4" s="394"/>
      <c r="Z4" s="394"/>
      <c r="AA4" s="395"/>
      <c r="AB4" s="396" t="s">
        <v>39</v>
      </c>
      <c r="AC4" s="397"/>
      <c r="AD4" s="400" t="s">
        <v>25</v>
      </c>
      <c r="AE4" s="401"/>
      <c r="AF4" s="401"/>
      <c r="AG4" s="401"/>
      <c r="AH4" s="401"/>
      <c r="AI4" s="401"/>
      <c r="AJ4" s="402"/>
      <c r="AK4" s="385" t="s">
        <v>46</v>
      </c>
      <c r="AL4" s="385"/>
      <c r="AM4" s="385"/>
      <c r="AN4" s="404" t="s">
        <v>38</v>
      </c>
      <c r="AO4" s="387" t="s">
        <v>47</v>
      </c>
    </row>
    <row r="5" spans="1:41" s="1" customFormat="1" ht="53.25" customHeight="1">
      <c r="A5" s="388"/>
      <c r="B5" s="388"/>
      <c r="C5" s="388"/>
      <c r="D5" s="408" t="s">
        <v>42</v>
      </c>
      <c r="E5" s="409"/>
      <c r="F5" s="408" t="s">
        <v>43</v>
      </c>
      <c r="G5" s="409"/>
      <c r="H5" s="408" t="s">
        <v>44</v>
      </c>
      <c r="I5" s="409"/>
      <c r="J5" s="408" t="s">
        <v>20</v>
      </c>
      <c r="K5" s="409"/>
      <c r="L5" s="408" t="s">
        <v>45</v>
      </c>
      <c r="M5" s="409"/>
      <c r="N5" s="408" t="s">
        <v>19</v>
      </c>
      <c r="O5" s="409"/>
      <c r="P5" s="390" t="s">
        <v>23</v>
      </c>
      <c r="Q5" s="392"/>
      <c r="R5" s="390" t="s">
        <v>27</v>
      </c>
      <c r="S5" s="395"/>
      <c r="T5" s="393" t="s">
        <v>17</v>
      </c>
      <c r="U5" s="395"/>
      <c r="V5" s="393" t="s">
        <v>18</v>
      </c>
      <c r="W5" s="395"/>
      <c r="X5" s="393" t="s">
        <v>28</v>
      </c>
      <c r="Y5" s="395"/>
      <c r="Z5" s="390" t="s">
        <v>24</v>
      </c>
      <c r="AA5" s="392"/>
      <c r="AB5" s="398"/>
      <c r="AC5" s="399"/>
      <c r="AD5" s="387" t="s">
        <v>31</v>
      </c>
      <c r="AE5" s="387" t="s">
        <v>30</v>
      </c>
      <c r="AF5" s="387" t="s">
        <v>32</v>
      </c>
      <c r="AG5" s="387" t="s">
        <v>33</v>
      </c>
      <c r="AH5" s="387" t="s">
        <v>34</v>
      </c>
      <c r="AI5" s="387" t="s">
        <v>35</v>
      </c>
      <c r="AJ5" s="383" t="s">
        <v>37</v>
      </c>
      <c r="AK5" s="387" t="s">
        <v>40</v>
      </c>
      <c r="AL5" s="387" t="s">
        <v>41</v>
      </c>
      <c r="AM5" s="387" t="s">
        <v>36</v>
      </c>
      <c r="AN5" s="405"/>
      <c r="AO5" s="407"/>
    </row>
    <row r="6" spans="1:41" ht="57.75" customHeight="1">
      <c r="A6" s="389"/>
      <c r="B6" s="389"/>
      <c r="C6" s="389"/>
      <c r="D6" s="10" t="s">
        <v>16</v>
      </c>
      <c r="E6" s="10" t="s">
        <v>21</v>
      </c>
      <c r="F6" s="10" t="s">
        <v>16</v>
      </c>
      <c r="G6" s="10" t="s">
        <v>21</v>
      </c>
      <c r="H6" s="10" t="s">
        <v>16</v>
      </c>
      <c r="I6" s="10" t="s">
        <v>21</v>
      </c>
      <c r="J6" s="10" t="s">
        <v>16</v>
      </c>
      <c r="K6" s="10" t="s">
        <v>21</v>
      </c>
      <c r="L6" s="10" t="s">
        <v>16</v>
      </c>
      <c r="M6" s="10" t="s">
        <v>21</v>
      </c>
      <c r="N6" s="10" t="s">
        <v>16</v>
      </c>
      <c r="O6" s="10" t="s">
        <v>21</v>
      </c>
      <c r="P6" s="10" t="s">
        <v>16</v>
      </c>
      <c r="Q6" s="10" t="s">
        <v>21</v>
      </c>
      <c r="R6" s="11" t="s">
        <v>16</v>
      </c>
      <c r="S6" s="11" t="s">
        <v>21</v>
      </c>
      <c r="T6" s="11" t="s">
        <v>16</v>
      </c>
      <c r="U6" s="11" t="s">
        <v>21</v>
      </c>
      <c r="V6" s="11" t="s">
        <v>16</v>
      </c>
      <c r="W6" s="11" t="s">
        <v>21</v>
      </c>
      <c r="X6" s="11" t="s">
        <v>16</v>
      </c>
      <c r="Y6" s="11" t="s">
        <v>21</v>
      </c>
      <c r="Z6" s="11" t="s">
        <v>16</v>
      </c>
      <c r="AA6" s="11" t="s">
        <v>21</v>
      </c>
      <c r="AB6" s="17" t="s">
        <v>16</v>
      </c>
      <c r="AC6" s="16" t="s">
        <v>21</v>
      </c>
      <c r="AD6" s="403"/>
      <c r="AE6" s="403"/>
      <c r="AF6" s="403"/>
      <c r="AG6" s="403"/>
      <c r="AH6" s="403"/>
      <c r="AI6" s="403"/>
      <c r="AJ6" s="383"/>
      <c r="AK6" s="403"/>
      <c r="AL6" s="403"/>
      <c r="AM6" s="403"/>
      <c r="AN6" s="406"/>
      <c r="AO6" s="403"/>
    </row>
    <row r="7" spans="1:41" ht="30">
      <c r="A7" s="3" t="s">
        <v>48</v>
      </c>
      <c r="B7" s="3" t="s">
        <v>49</v>
      </c>
      <c r="C7" s="3" t="s">
        <v>48</v>
      </c>
      <c r="D7" s="12">
        <v>1072</v>
      </c>
      <c r="E7" s="12">
        <v>998.39</v>
      </c>
      <c r="F7" s="12">
        <v>844</v>
      </c>
      <c r="G7" s="12">
        <v>810.62</v>
      </c>
      <c r="H7" s="12">
        <v>1554</v>
      </c>
      <c r="I7" s="12">
        <v>1505.6</v>
      </c>
      <c r="J7" s="12">
        <v>777</v>
      </c>
      <c r="K7" s="12">
        <v>753.63</v>
      </c>
      <c r="L7" s="12">
        <v>117</v>
      </c>
      <c r="M7" s="12">
        <v>114.65</v>
      </c>
      <c r="N7" s="12">
        <v>0</v>
      </c>
      <c r="O7" s="12">
        <v>0</v>
      </c>
      <c r="P7" s="13">
        <v>4364</v>
      </c>
      <c r="Q7" s="13">
        <v>4182.89</v>
      </c>
      <c r="R7" s="12">
        <v>224.5</v>
      </c>
      <c r="S7" s="12">
        <v>223.27</v>
      </c>
      <c r="T7" s="12">
        <v>8</v>
      </c>
      <c r="U7" s="12">
        <v>10</v>
      </c>
      <c r="V7" s="12">
        <v>194</v>
      </c>
      <c r="W7" s="12">
        <v>187.5</v>
      </c>
      <c r="X7" s="12">
        <v>0</v>
      </c>
      <c r="Y7" s="12">
        <v>0</v>
      </c>
      <c r="Z7" s="14">
        <v>426.5</v>
      </c>
      <c r="AA7" s="14">
        <v>420.77</v>
      </c>
      <c r="AB7" s="4">
        <v>4790.5</v>
      </c>
      <c r="AC7" s="4">
        <v>4603.66</v>
      </c>
      <c r="AD7" s="19">
        <v>12312718.96</v>
      </c>
      <c r="AE7" s="20">
        <v>266823.26</v>
      </c>
      <c r="AF7" s="20">
        <v>-2490.16</v>
      </c>
      <c r="AG7" s="20">
        <v>130536.89</v>
      </c>
      <c r="AH7" s="20">
        <v>2362926.18</v>
      </c>
      <c r="AI7" s="20">
        <v>1037856.39</v>
      </c>
      <c r="AJ7" s="21">
        <v>16108371.520000001</v>
      </c>
      <c r="AK7" s="19">
        <v>2646179.45</v>
      </c>
      <c r="AL7" s="19">
        <v>499592.63</v>
      </c>
      <c r="AM7" s="22">
        <v>3145772.08</v>
      </c>
      <c r="AN7" s="22">
        <f>SUM(AJ7,AM7)</f>
        <v>19254143.6</v>
      </c>
      <c r="AO7" s="18"/>
    </row>
    <row r="8" spans="1:41" ht="30">
      <c r="A8" s="3" t="s">
        <v>76</v>
      </c>
      <c r="B8" s="3" t="s">
        <v>51</v>
      </c>
      <c r="C8" s="3" t="s">
        <v>48</v>
      </c>
      <c r="D8" s="12">
        <v>14232</v>
      </c>
      <c r="E8" s="12">
        <v>12435.97</v>
      </c>
      <c r="F8" s="12">
        <v>3641</v>
      </c>
      <c r="G8" s="12">
        <v>3388.69</v>
      </c>
      <c r="H8" s="12">
        <v>2930</v>
      </c>
      <c r="I8" s="12">
        <v>2729.54</v>
      </c>
      <c r="J8" s="12">
        <v>679</v>
      </c>
      <c r="K8" s="12">
        <v>661.78</v>
      </c>
      <c r="L8" s="12">
        <v>38</v>
      </c>
      <c r="M8" s="12">
        <v>37.92</v>
      </c>
      <c r="N8" s="12">
        <v>0</v>
      </c>
      <c r="O8" s="12">
        <v>0</v>
      </c>
      <c r="P8" s="13">
        <v>21520</v>
      </c>
      <c r="Q8" s="13">
        <v>19253.9</v>
      </c>
      <c r="R8" s="23" t="s">
        <v>90</v>
      </c>
      <c r="S8" s="26">
        <v>246.5</v>
      </c>
      <c r="T8" s="12">
        <v>0</v>
      </c>
      <c r="U8" s="12">
        <v>0</v>
      </c>
      <c r="V8" s="12">
        <v>0</v>
      </c>
      <c r="W8" s="12">
        <v>0</v>
      </c>
      <c r="X8" s="12">
        <v>0</v>
      </c>
      <c r="Y8" s="12">
        <v>0</v>
      </c>
      <c r="Z8" s="23" t="s">
        <v>90</v>
      </c>
      <c r="AA8" s="15">
        <v>246.5</v>
      </c>
      <c r="AB8" s="4">
        <v>21520</v>
      </c>
      <c r="AC8" s="4">
        <v>19253.9</v>
      </c>
      <c r="AD8" s="20">
        <v>37585622.11</v>
      </c>
      <c r="AE8" s="20">
        <v>886678.84</v>
      </c>
      <c r="AF8" s="20">
        <v>69935.46</v>
      </c>
      <c r="AG8" s="20">
        <v>349189.44</v>
      </c>
      <c r="AH8" s="20">
        <v>6627745.45</v>
      </c>
      <c r="AI8" s="20">
        <v>2603208.73</v>
      </c>
      <c r="AJ8" s="21">
        <v>48122380.03</v>
      </c>
      <c r="AK8" s="19">
        <v>670024.33</v>
      </c>
      <c r="AL8" s="23" t="s">
        <v>90</v>
      </c>
      <c r="AM8" s="22">
        <v>670024.33</v>
      </c>
      <c r="AN8" s="22">
        <v>48792404.36</v>
      </c>
      <c r="AO8" s="3"/>
    </row>
    <row r="9" spans="1:41" ht="15">
      <c r="A9" s="3" t="s">
        <v>55</v>
      </c>
      <c r="B9" s="3" t="s">
        <v>51</v>
      </c>
      <c r="C9" s="3" t="s">
        <v>48</v>
      </c>
      <c r="D9" s="12">
        <v>185</v>
      </c>
      <c r="E9" s="12">
        <v>165.53</v>
      </c>
      <c r="F9" s="12">
        <v>119</v>
      </c>
      <c r="G9" s="12">
        <v>114.89</v>
      </c>
      <c r="H9" s="12">
        <v>250</v>
      </c>
      <c r="I9" s="12">
        <v>242.79</v>
      </c>
      <c r="J9" s="12">
        <v>61</v>
      </c>
      <c r="K9" s="12">
        <v>60.16</v>
      </c>
      <c r="L9" s="12">
        <v>6</v>
      </c>
      <c r="M9" s="12">
        <v>6</v>
      </c>
      <c r="N9" s="12">
        <v>0</v>
      </c>
      <c r="O9" s="12">
        <v>0</v>
      </c>
      <c r="P9" s="13">
        <v>621</v>
      </c>
      <c r="Q9" s="13">
        <v>589.37</v>
      </c>
      <c r="R9" s="12">
        <v>7</v>
      </c>
      <c r="S9" s="12">
        <v>5.4</v>
      </c>
      <c r="T9" s="12">
        <v>0</v>
      </c>
      <c r="U9" s="12">
        <v>0</v>
      </c>
      <c r="V9" s="12">
        <v>11</v>
      </c>
      <c r="W9" s="12">
        <v>10.5</v>
      </c>
      <c r="X9" s="12">
        <v>0</v>
      </c>
      <c r="Y9" s="12">
        <v>0</v>
      </c>
      <c r="Z9" s="14">
        <v>18</v>
      </c>
      <c r="AA9" s="14">
        <v>15.9</v>
      </c>
      <c r="AB9" s="4">
        <v>639</v>
      </c>
      <c r="AC9" s="4">
        <v>605.27</v>
      </c>
      <c r="AD9" s="20">
        <v>1472700.45</v>
      </c>
      <c r="AE9" s="20">
        <v>5763.26</v>
      </c>
      <c r="AF9" s="20">
        <v>0</v>
      </c>
      <c r="AG9" s="20">
        <v>10436.45</v>
      </c>
      <c r="AH9" s="20">
        <v>268546.6</v>
      </c>
      <c r="AI9" s="20">
        <v>120559.2</v>
      </c>
      <c r="AJ9" s="21">
        <v>1878005.96</v>
      </c>
      <c r="AK9" s="19">
        <v>96445.54</v>
      </c>
      <c r="AL9" s="19">
        <v>-1976.67</v>
      </c>
      <c r="AM9" s="22">
        <v>94468.87</v>
      </c>
      <c r="AN9" s="22">
        <v>1972474.83</v>
      </c>
      <c r="AO9" s="3"/>
    </row>
    <row r="10" spans="1:41" ht="150">
      <c r="A10" s="3" t="s">
        <v>56</v>
      </c>
      <c r="B10" s="3" t="s">
        <v>51</v>
      </c>
      <c r="C10" s="3" t="s">
        <v>48</v>
      </c>
      <c r="D10" s="12">
        <v>35357</v>
      </c>
      <c r="E10" s="12">
        <v>33835.33056374507</v>
      </c>
      <c r="F10" s="12">
        <v>7122</v>
      </c>
      <c r="G10" s="12">
        <v>6822.456215684986</v>
      </c>
      <c r="H10" s="12">
        <v>3209</v>
      </c>
      <c r="I10" s="12">
        <v>2994.3246672027167</v>
      </c>
      <c r="J10" s="12">
        <v>648</v>
      </c>
      <c r="K10" s="12">
        <v>631.4854819976771</v>
      </c>
      <c r="L10" s="12">
        <v>42</v>
      </c>
      <c r="M10" s="12">
        <v>41.8780487804878</v>
      </c>
      <c r="N10" s="12">
        <v>0</v>
      </c>
      <c r="O10" s="12">
        <v>0</v>
      </c>
      <c r="P10" s="13">
        <v>46378</v>
      </c>
      <c r="Q10" s="13">
        <v>44325.47497741094</v>
      </c>
      <c r="R10" s="23" t="s">
        <v>90</v>
      </c>
      <c r="S10" s="12">
        <v>291.05</v>
      </c>
      <c r="T10" s="12">
        <v>0</v>
      </c>
      <c r="U10" s="12">
        <v>0</v>
      </c>
      <c r="V10" s="12">
        <v>0</v>
      </c>
      <c r="W10" s="12">
        <v>0</v>
      </c>
      <c r="X10" s="12">
        <v>0</v>
      </c>
      <c r="Y10" s="12">
        <v>0</v>
      </c>
      <c r="Z10" s="14">
        <v>0</v>
      </c>
      <c r="AA10" s="14">
        <v>291.05</v>
      </c>
      <c r="AB10" s="4">
        <v>46378</v>
      </c>
      <c r="AC10" s="4">
        <v>44616.52497741094</v>
      </c>
      <c r="AD10" s="20">
        <v>102340033.44999994</v>
      </c>
      <c r="AE10" s="20">
        <v>0</v>
      </c>
      <c r="AF10" s="20">
        <v>0</v>
      </c>
      <c r="AG10" s="20">
        <v>5229717.84</v>
      </c>
      <c r="AH10" s="20">
        <v>18856515.28</v>
      </c>
      <c r="AI10" s="20">
        <v>8095670.580000011</v>
      </c>
      <c r="AJ10" s="21">
        <v>134521937.14999995</v>
      </c>
      <c r="AK10" s="19">
        <v>1972870.94</v>
      </c>
      <c r="AL10" s="19">
        <v>86443.1</v>
      </c>
      <c r="AM10" s="22">
        <v>2059314.04</v>
      </c>
      <c r="AN10" s="22">
        <v>136581251.18999994</v>
      </c>
      <c r="AO10" s="3" t="s">
        <v>87</v>
      </c>
    </row>
    <row r="11" spans="1:41" ht="30">
      <c r="A11" s="3" t="s">
        <v>58</v>
      </c>
      <c r="B11" s="3" t="s">
        <v>51</v>
      </c>
      <c r="C11" s="3" t="s">
        <v>48</v>
      </c>
      <c r="D11" s="12">
        <v>276</v>
      </c>
      <c r="E11" s="12">
        <v>256.96</v>
      </c>
      <c r="F11" s="12">
        <v>165</v>
      </c>
      <c r="G11" s="12">
        <v>157.62</v>
      </c>
      <c r="H11" s="12">
        <v>68</v>
      </c>
      <c r="I11" s="12">
        <v>67.22</v>
      </c>
      <c r="J11" s="12">
        <v>10</v>
      </c>
      <c r="K11" s="12">
        <v>9.82</v>
      </c>
      <c r="L11" s="12">
        <v>2</v>
      </c>
      <c r="M11" s="12">
        <v>1.78</v>
      </c>
      <c r="N11" s="12">
        <v>0</v>
      </c>
      <c r="O11" s="12">
        <v>0</v>
      </c>
      <c r="P11" s="13">
        <v>521</v>
      </c>
      <c r="Q11" s="13">
        <v>493.4</v>
      </c>
      <c r="R11" s="12">
        <v>214</v>
      </c>
      <c r="S11" s="12">
        <v>168.54</v>
      </c>
      <c r="T11" s="12">
        <v>0</v>
      </c>
      <c r="U11" s="12">
        <v>0</v>
      </c>
      <c r="V11" s="12">
        <v>0</v>
      </c>
      <c r="W11" s="12">
        <v>0</v>
      </c>
      <c r="X11" s="12">
        <v>0</v>
      </c>
      <c r="Y11" s="12">
        <v>0</v>
      </c>
      <c r="Z11" s="14">
        <v>214</v>
      </c>
      <c r="AA11" s="14">
        <v>168.54</v>
      </c>
      <c r="AB11" s="4">
        <v>735</v>
      </c>
      <c r="AC11" s="4">
        <v>661.94</v>
      </c>
      <c r="AD11" s="20">
        <v>976650.18</v>
      </c>
      <c r="AE11" s="20">
        <v>18840.63</v>
      </c>
      <c r="AF11" s="20">
        <v>100</v>
      </c>
      <c r="AG11" s="20">
        <v>11945.73</v>
      </c>
      <c r="AH11" s="20">
        <v>157746.2</v>
      </c>
      <c r="AI11" s="20">
        <v>66971.1</v>
      </c>
      <c r="AJ11" s="21">
        <v>1232253.84</v>
      </c>
      <c r="AK11" s="19">
        <v>362473.16</v>
      </c>
      <c r="AL11" s="19">
        <v>0</v>
      </c>
      <c r="AM11" s="22">
        <v>362473.16</v>
      </c>
      <c r="AN11" s="22">
        <v>1594727</v>
      </c>
      <c r="AO11" s="18"/>
    </row>
    <row r="12" spans="1:41" ht="30">
      <c r="A12" s="3" t="s">
        <v>60</v>
      </c>
      <c r="B12" s="3" t="s">
        <v>53</v>
      </c>
      <c r="C12" s="3" t="s">
        <v>48</v>
      </c>
      <c r="D12" s="12">
        <v>4</v>
      </c>
      <c r="E12" s="12">
        <v>4</v>
      </c>
      <c r="F12" s="12">
        <v>16</v>
      </c>
      <c r="G12" s="12">
        <v>16</v>
      </c>
      <c r="H12" s="12">
        <v>20</v>
      </c>
      <c r="I12" s="12">
        <v>19.8</v>
      </c>
      <c r="J12" s="12">
        <v>5</v>
      </c>
      <c r="K12" s="12">
        <v>4.47</v>
      </c>
      <c r="L12" s="12">
        <v>2</v>
      </c>
      <c r="M12" s="12">
        <v>2</v>
      </c>
      <c r="N12" s="12">
        <v>0</v>
      </c>
      <c r="O12" s="12">
        <v>0</v>
      </c>
      <c r="P12" s="13">
        <v>47</v>
      </c>
      <c r="Q12" s="13">
        <v>46.27</v>
      </c>
      <c r="R12" s="12">
        <v>0</v>
      </c>
      <c r="S12" s="12">
        <v>0</v>
      </c>
      <c r="T12" s="12">
        <v>0</v>
      </c>
      <c r="U12" s="12">
        <v>0</v>
      </c>
      <c r="V12" s="12">
        <v>0</v>
      </c>
      <c r="W12" s="12">
        <v>0</v>
      </c>
      <c r="X12" s="12">
        <v>0</v>
      </c>
      <c r="Y12" s="12">
        <v>0</v>
      </c>
      <c r="Z12" s="14">
        <v>0</v>
      </c>
      <c r="AA12" s="14">
        <v>0</v>
      </c>
      <c r="AB12" s="4">
        <v>47</v>
      </c>
      <c r="AC12" s="4">
        <v>46.27</v>
      </c>
      <c r="AD12" s="20">
        <v>133159.19</v>
      </c>
      <c r="AE12" s="20">
        <v>244.83</v>
      </c>
      <c r="AF12" s="20">
        <v>0</v>
      </c>
      <c r="AG12" s="20">
        <v>627.38</v>
      </c>
      <c r="AH12" s="20">
        <v>25357.35</v>
      </c>
      <c r="AI12" s="20">
        <v>11566.04</v>
      </c>
      <c r="AJ12" s="21">
        <v>170954.79</v>
      </c>
      <c r="AK12" s="19">
        <v>0</v>
      </c>
      <c r="AL12" s="19">
        <v>0</v>
      </c>
      <c r="AM12" s="22">
        <v>0</v>
      </c>
      <c r="AN12" s="22">
        <v>170954.79</v>
      </c>
      <c r="AO12" s="3"/>
    </row>
    <row r="13" spans="1:41" ht="210">
      <c r="A13" s="3" t="s">
        <v>62</v>
      </c>
      <c r="B13" s="3" t="s">
        <v>63</v>
      </c>
      <c r="C13" s="3" t="s">
        <v>48</v>
      </c>
      <c r="D13" s="12">
        <v>0</v>
      </c>
      <c r="E13" s="12">
        <v>0</v>
      </c>
      <c r="F13" s="12">
        <v>0</v>
      </c>
      <c r="G13" s="12">
        <v>0</v>
      </c>
      <c r="H13" s="12">
        <v>0</v>
      </c>
      <c r="I13" s="12">
        <v>0</v>
      </c>
      <c r="J13" s="12">
        <v>0</v>
      </c>
      <c r="K13" s="12">
        <v>0</v>
      </c>
      <c r="L13" s="12">
        <v>0</v>
      </c>
      <c r="M13" s="12">
        <v>0</v>
      </c>
      <c r="N13" s="12">
        <v>73</v>
      </c>
      <c r="O13" s="12">
        <v>67.19</v>
      </c>
      <c r="P13" s="13">
        <v>73</v>
      </c>
      <c r="Q13" s="13">
        <v>67.19</v>
      </c>
      <c r="R13" s="12">
        <v>2</v>
      </c>
      <c r="S13" s="12">
        <v>1.81</v>
      </c>
      <c r="T13" s="12">
        <v>0</v>
      </c>
      <c r="U13" s="12">
        <v>0</v>
      </c>
      <c r="V13" s="12">
        <v>0</v>
      </c>
      <c r="W13" s="12">
        <v>0</v>
      </c>
      <c r="X13" s="12">
        <v>0</v>
      </c>
      <c r="Y13" s="12">
        <v>0</v>
      </c>
      <c r="Z13" s="14">
        <v>2</v>
      </c>
      <c r="AA13" s="14">
        <v>1.81</v>
      </c>
      <c r="AB13" s="4">
        <v>75</v>
      </c>
      <c r="AC13" s="4">
        <v>69</v>
      </c>
      <c r="AD13" s="20">
        <v>193695</v>
      </c>
      <c r="AE13" s="20">
        <v>33</v>
      </c>
      <c r="AF13" s="20">
        <v>0</v>
      </c>
      <c r="AG13" s="20">
        <v>0</v>
      </c>
      <c r="AH13" s="20">
        <v>36597</v>
      </c>
      <c r="AI13" s="20">
        <v>15762</v>
      </c>
      <c r="AJ13" s="21">
        <v>246087</v>
      </c>
      <c r="AK13" s="19">
        <v>5728</v>
      </c>
      <c r="AL13" s="19">
        <v>0</v>
      </c>
      <c r="AM13" s="22">
        <v>5728</v>
      </c>
      <c r="AN13" s="22">
        <v>251815</v>
      </c>
      <c r="AO13" s="3" t="s">
        <v>64</v>
      </c>
    </row>
    <row r="14" spans="1:41" ht="45">
      <c r="A14" s="3" t="s">
        <v>66</v>
      </c>
      <c r="B14" s="3" t="s">
        <v>63</v>
      </c>
      <c r="C14" s="3" t="s">
        <v>48</v>
      </c>
      <c r="D14" s="12">
        <v>0</v>
      </c>
      <c r="E14" s="12">
        <v>0</v>
      </c>
      <c r="F14" s="12">
        <v>0</v>
      </c>
      <c r="G14" s="12">
        <v>0</v>
      </c>
      <c r="H14" s="12">
        <v>0</v>
      </c>
      <c r="I14" s="12">
        <v>0</v>
      </c>
      <c r="J14" s="12">
        <v>0</v>
      </c>
      <c r="K14" s="12">
        <v>0</v>
      </c>
      <c r="L14" s="12">
        <v>0</v>
      </c>
      <c r="M14" s="12">
        <v>0</v>
      </c>
      <c r="N14" s="12">
        <v>343</v>
      </c>
      <c r="O14" s="12">
        <v>319.47</v>
      </c>
      <c r="P14" s="13">
        <v>343</v>
      </c>
      <c r="Q14" s="13">
        <v>319.47</v>
      </c>
      <c r="R14" s="12">
        <v>10</v>
      </c>
      <c r="S14" s="12">
        <v>10</v>
      </c>
      <c r="T14" s="12">
        <v>0</v>
      </c>
      <c r="U14" s="12">
        <v>0</v>
      </c>
      <c r="V14" s="12">
        <v>0</v>
      </c>
      <c r="W14" s="12">
        <v>0</v>
      </c>
      <c r="X14" s="12">
        <v>0</v>
      </c>
      <c r="Y14" s="12">
        <v>0</v>
      </c>
      <c r="Z14" s="14">
        <v>10</v>
      </c>
      <c r="AA14" s="14">
        <v>10</v>
      </c>
      <c r="AB14" s="4">
        <v>353</v>
      </c>
      <c r="AC14" s="4">
        <v>329.47</v>
      </c>
      <c r="AD14" s="20">
        <v>697799.42</v>
      </c>
      <c r="AE14" s="20">
        <v>932.85</v>
      </c>
      <c r="AF14" s="20">
        <v>0</v>
      </c>
      <c r="AG14" s="20">
        <v>10945.51</v>
      </c>
      <c r="AH14" s="20">
        <v>127410.39</v>
      </c>
      <c r="AI14" s="20">
        <v>47616.33</v>
      </c>
      <c r="AJ14" s="21">
        <v>884704.5</v>
      </c>
      <c r="AK14" s="19">
        <v>33168.21</v>
      </c>
      <c r="AL14" s="19">
        <v>0</v>
      </c>
      <c r="AM14" s="22">
        <v>33168.21</v>
      </c>
      <c r="AN14" s="22">
        <v>917872.71</v>
      </c>
      <c r="AO14" s="3"/>
    </row>
    <row r="15" spans="1:41" ht="45">
      <c r="A15" s="3" t="s">
        <v>67</v>
      </c>
      <c r="B15" s="3" t="s">
        <v>63</v>
      </c>
      <c r="C15" s="3" t="s">
        <v>48</v>
      </c>
      <c r="D15" s="12">
        <v>14</v>
      </c>
      <c r="E15" s="12">
        <v>14</v>
      </c>
      <c r="F15" s="12">
        <v>19</v>
      </c>
      <c r="G15" s="12">
        <v>18.25</v>
      </c>
      <c r="H15" s="12">
        <v>26</v>
      </c>
      <c r="I15" s="12">
        <v>26</v>
      </c>
      <c r="J15" s="12">
        <v>15</v>
      </c>
      <c r="K15" s="12">
        <v>14.2</v>
      </c>
      <c r="L15" s="12">
        <v>3</v>
      </c>
      <c r="M15" s="12">
        <v>3</v>
      </c>
      <c r="N15" s="12">
        <v>1</v>
      </c>
      <c r="O15" s="12">
        <v>0.6</v>
      </c>
      <c r="P15" s="13">
        <v>78</v>
      </c>
      <c r="Q15" s="13">
        <v>76.05</v>
      </c>
      <c r="R15" s="12">
        <v>0</v>
      </c>
      <c r="S15" s="12">
        <v>0</v>
      </c>
      <c r="T15" s="12">
        <v>0</v>
      </c>
      <c r="U15" s="12">
        <v>0</v>
      </c>
      <c r="V15" s="12">
        <v>0</v>
      </c>
      <c r="W15" s="12">
        <v>0</v>
      </c>
      <c r="X15" s="12">
        <v>0</v>
      </c>
      <c r="Y15" s="12">
        <v>0</v>
      </c>
      <c r="Z15" s="14">
        <v>0</v>
      </c>
      <c r="AA15" s="14">
        <v>0</v>
      </c>
      <c r="AB15" s="4">
        <v>78</v>
      </c>
      <c r="AC15" s="4">
        <v>76.05</v>
      </c>
      <c r="AD15" s="20">
        <v>206939</v>
      </c>
      <c r="AE15" s="20">
        <v>1194</v>
      </c>
      <c r="AF15" s="20">
        <v>0</v>
      </c>
      <c r="AG15" s="20">
        <v>320</v>
      </c>
      <c r="AH15" s="20">
        <v>37967</v>
      </c>
      <c r="AI15" s="20">
        <v>17679</v>
      </c>
      <c r="AJ15" s="21">
        <v>264099</v>
      </c>
      <c r="AK15" s="19">
        <v>0</v>
      </c>
      <c r="AL15" s="19">
        <v>0</v>
      </c>
      <c r="AM15" s="22">
        <v>0</v>
      </c>
      <c r="AN15" s="22">
        <v>264099</v>
      </c>
      <c r="AO15" s="3"/>
    </row>
    <row r="16" spans="1:41" ht="105">
      <c r="A16" s="3" t="s">
        <v>68</v>
      </c>
      <c r="B16" s="3" t="s">
        <v>63</v>
      </c>
      <c r="C16" s="3" t="s">
        <v>48</v>
      </c>
      <c r="D16" s="12">
        <v>0</v>
      </c>
      <c r="E16" s="12">
        <v>0</v>
      </c>
      <c r="F16" s="12">
        <v>0</v>
      </c>
      <c r="G16" s="12">
        <v>0</v>
      </c>
      <c r="H16" s="12">
        <v>0</v>
      </c>
      <c r="I16" s="12">
        <v>0</v>
      </c>
      <c r="J16" s="12">
        <v>0</v>
      </c>
      <c r="K16" s="12">
        <v>0</v>
      </c>
      <c r="L16" s="12">
        <v>0</v>
      </c>
      <c r="M16" s="12">
        <v>0</v>
      </c>
      <c r="N16" s="12">
        <v>32</v>
      </c>
      <c r="O16" s="12">
        <v>31.7</v>
      </c>
      <c r="P16" s="13">
        <v>32</v>
      </c>
      <c r="Q16" s="13">
        <v>31.7</v>
      </c>
      <c r="R16" s="12">
        <v>0</v>
      </c>
      <c r="S16" s="12">
        <v>0</v>
      </c>
      <c r="T16" s="12">
        <v>0</v>
      </c>
      <c r="U16" s="12">
        <v>0</v>
      </c>
      <c r="V16" s="12">
        <v>0</v>
      </c>
      <c r="W16" s="12">
        <v>0</v>
      </c>
      <c r="X16" s="12">
        <v>0</v>
      </c>
      <c r="Y16" s="12">
        <v>0</v>
      </c>
      <c r="Z16" s="14">
        <v>0</v>
      </c>
      <c r="AA16" s="14">
        <v>0</v>
      </c>
      <c r="AB16" s="4">
        <v>32</v>
      </c>
      <c r="AC16" s="4">
        <v>31.7</v>
      </c>
      <c r="AD16" s="20">
        <v>144430.48</v>
      </c>
      <c r="AE16" s="20">
        <v>0</v>
      </c>
      <c r="AF16" s="20">
        <v>0</v>
      </c>
      <c r="AG16" s="20">
        <v>0</v>
      </c>
      <c r="AH16" s="20">
        <v>30439.47</v>
      </c>
      <c r="AI16" s="20">
        <v>18024.5</v>
      </c>
      <c r="AJ16" s="21">
        <v>192894.45</v>
      </c>
      <c r="AK16" s="19">
        <v>0</v>
      </c>
      <c r="AL16" s="19">
        <v>0</v>
      </c>
      <c r="AM16" s="22">
        <v>0</v>
      </c>
      <c r="AN16" s="22">
        <v>192894.45</v>
      </c>
      <c r="AO16" s="3" t="s">
        <v>69</v>
      </c>
    </row>
    <row r="17" spans="1:41" ht="45">
      <c r="A17" s="3" t="s">
        <v>70</v>
      </c>
      <c r="B17" s="3" t="s">
        <v>63</v>
      </c>
      <c r="C17" s="3" t="s">
        <v>48</v>
      </c>
      <c r="D17" s="12">
        <v>790</v>
      </c>
      <c r="E17" s="12">
        <v>746.4</v>
      </c>
      <c r="F17" s="12">
        <v>250</v>
      </c>
      <c r="G17" s="12">
        <v>240.7</v>
      </c>
      <c r="H17" s="12">
        <v>389</v>
      </c>
      <c r="I17" s="12">
        <v>374.3</v>
      </c>
      <c r="J17" s="12">
        <v>88</v>
      </c>
      <c r="K17" s="12">
        <v>87</v>
      </c>
      <c r="L17" s="12">
        <v>16</v>
      </c>
      <c r="M17" s="12">
        <v>10.2</v>
      </c>
      <c r="N17" s="12">
        <v>0</v>
      </c>
      <c r="O17" s="12">
        <v>0</v>
      </c>
      <c r="P17" s="13">
        <v>1533</v>
      </c>
      <c r="Q17" s="13">
        <v>1458.6</v>
      </c>
      <c r="R17" s="12">
        <v>68</v>
      </c>
      <c r="S17" s="12">
        <v>63.58</v>
      </c>
      <c r="T17" s="12">
        <v>0</v>
      </c>
      <c r="U17" s="12">
        <v>0</v>
      </c>
      <c r="V17" s="12">
        <v>12</v>
      </c>
      <c r="W17" s="12">
        <v>11.44</v>
      </c>
      <c r="X17" s="12">
        <v>0</v>
      </c>
      <c r="Y17" s="12">
        <v>0</v>
      </c>
      <c r="Z17" s="14">
        <v>80</v>
      </c>
      <c r="AA17" s="14">
        <v>75.02</v>
      </c>
      <c r="AB17" s="4">
        <v>1613</v>
      </c>
      <c r="AC17" s="4">
        <v>1533.62</v>
      </c>
      <c r="AD17" s="20">
        <v>3293125.42</v>
      </c>
      <c r="AE17" s="20">
        <v>0</v>
      </c>
      <c r="AF17" s="20">
        <v>0</v>
      </c>
      <c r="AG17" s="20">
        <v>91705.15</v>
      </c>
      <c r="AH17" s="20">
        <v>22284.3</v>
      </c>
      <c r="AI17" s="20">
        <v>274621.16</v>
      </c>
      <c r="AJ17" s="21">
        <v>3681736.03</v>
      </c>
      <c r="AK17" s="19">
        <v>383780.38</v>
      </c>
      <c r="AL17" s="19">
        <v>0</v>
      </c>
      <c r="AM17" s="22">
        <v>383780.38</v>
      </c>
      <c r="AN17" s="22">
        <v>4065516.41</v>
      </c>
      <c r="AO17" s="3"/>
    </row>
    <row r="18" spans="1:41" ht="45">
      <c r="A18" s="3" t="s">
        <v>71</v>
      </c>
      <c r="B18" s="3" t="s">
        <v>63</v>
      </c>
      <c r="C18" s="3" t="s">
        <v>48</v>
      </c>
      <c r="D18" s="12">
        <v>26</v>
      </c>
      <c r="E18" s="12">
        <v>25.6</v>
      </c>
      <c r="F18" s="12">
        <v>47</v>
      </c>
      <c r="G18" s="12">
        <v>46.5</v>
      </c>
      <c r="H18" s="12">
        <v>14</v>
      </c>
      <c r="I18" s="12">
        <v>13.6</v>
      </c>
      <c r="J18" s="12">
        <v>6</v>
      </c>
      <c r="K18" s="12">
        <v>6</v>
      </c>
      <c r="L18" s="12">
        <v>1</v>
      </c>
      <c r="M18" s="12">
        <v>1</v>
      </c>
      <c r="N18" s="12">
        <v>1</v>
      </c>
      <c r="O18" s="12">
        <v>0.4</v>
      </c>
      <c r="P18" s="13">
        <v>95</v>
      </c>
      <c r="Q18" s="13">
        <v>93.1</v>
      </c>
      <c r="R18" s="12">
        <v>0</v>
      </c>
      <c r="S18" s="12">
        <v>0</v>
      </c>
      <c r="T18" s="12">
        <v>0</v>
      </c>
      <c r="U18" s="12">
        <v>0</v>
      </c>
      <c r="V18" s="12">
        <v>0</v>
      </c>
      <c r="W18" s="12">
        <v>0</v>
      </c>
      <c r="X18" s="12">
        <v>0</v>
      </c>
      <c r="Y18" s="12">
        <v>0</v>
      </c>
      <c r="Z18" s="14">
        <v>0</v>
      </c>
      <c r="AA18" s="14">
        <v>0</v>
      </c>
      <c r="AB18" s="4">
        <v>95</v>
      </c>
      <c r="AC18" s="4">
        <v>93.1</v>
      </c>
      <c r="AD18" s="20">
        <v>189219.37</v>
      </c>
      <c r="AE18" s="20">
        <v>19794.62</v>
      </c>
      <c r="AF18" s="20">
        <v>0</v>
      </c>
      <c r="AG18" s="20">
        <v>1400.28</v>
      </c>
      <c r="AH18" s="20">
        <v>35985.75</v>
      </c>
      <c r="AI18" s="20">
        <v>17029.83</v>
      </c>
      <c r="AJ18" s="21">
        <v>263429.85</v>
      </c>
      <c r="AK18" s="19">
        <v>21274.66</v>
      </c>
      <c r="AL18" s="19">
        <v>0</v>
      </c>
      <c r="AM18" s="22">
        <v>21274.66</v>
      </c>
      <c r="AN18" s="22">
        <v>284704.51</v>
      </c>
      <c r="AO18" s="3"/>
    </row>
    <row r="19" spans="1:41" ht="243.75" customHeight="1">
      <c r="A19" s="3" t="s">
        <v>72</v>
      </c>
      <c r="B19" s="3" t="s">
        <v>63</v>
      </c>
      <c r="C19" s="3" t="s">
        <v>48</v>
      </c>
      <c r="D19" s="12">
        <v>0</v>
      </c>
      <c r="E19" s="12">
        <v>0</v>
      </c>
      <c r="F19" s="12">
        <v>0</v>
      </c>
      <c r="G19" s="12">
        <v>0</v>
      </c>
      <c r="H19" s="12">
        <v>0</v>
      </c>
      <c r="I19" s="12">
        <v>0</v>
      </c>
      <c r="J19" s="12">
        <v>0</v>
      </c>
      <c r="K19" s="12">
        <v>0</v>
      </c>
      <c r="L19" s="12">
        <v>0</v>
      </c>
      <c r="M19" s="12">
        <v>0</v>
      </c>
      <c r="N19" s="12">
        <v>20008</v>
      </c>
      <c r="O19" s="12">
        <v>18105</v>
      </c>
      <c r="P19" s="13">
        <v>20020</v>
      </c>
      <c r="Q19" s="13">
        <v>18114</v>
      </c>
      <c r="R19" s="12">
        <v>1516</v>
      </c>
      <c r="S19" s="12">
        <v>1516</v>
      </c>
      <c r="T19" s="12">
        <v>3</v>
      </c>
      <c r="U19" s="12">
        <v>3</v>
      </c>
      <c r="V19" s="12">
        <v>0</v>
      </c>
      <c r="W19" s="12">
        <v>0</v>
      </c>
      <c r="X19" s="12">
        <v>0</v>
      </c>
      <c r="Y19" s="12">
        <v>0</v>
      </c>
      <c r="Z19" s="14">
        <v>1520</v>
      </c>
      <c r="AA19" s="14">
        <v>1520</v>
      </c>
      <c r="AB19" s="4">
        <v>21540</v>
      </c>
      <c r="AC19" s="4">
        <v>19634</v>
      </c>
      <c r="AD19" s="23" t="s">
        <v>90</v>
      </c>
      <c r="AE19" s="23" t="s">
        <v>90</v>
      </c>
      <c r="AF19" s="23" t="s">
        <v>90</v>
      </c>
      <c r="AG19" s="23" t="s">
        <v>90</v>
      </c>
      <c r="AH19" s="23" t="s">
        <v>90</v>
      </c>
      <c r="AI19" s="23" t="s">
        <v>90</v>
      </c>
      <c r="AJ19" s="23" t="s">
        <v>90</v>
      </c>
      <c r="AK19" s="23" t="s">
        <v>90</v>
      </c>
      <c r="AL19" s="23" t="s">
        <v>90</v>
      </c>
      <c r="AM19" s="23" t="s">
        <v>90</v>
      </c>
      <c r="AN19" s="23" t="s">
        <v>90</v>
      </c>
      <c r="AO19" s="18" t="s">
        <v>91</v>
      </c>
    </row>
    <row r="20" spans="1:41" ht="45">
      <c r="A20" s="3" t="s">
        <v>74</v>
      </c>
      <c r="B20" s="3" t="s">
        <v>63</v>
      </c>
      <c r="C20" s="3" t="s">
        <v>48</v>
      </c>
      <c r="D20" s="12">
        <v>19</v>
      </c>
      <c r="E20" s="12">
        <v>16.95</v>
      </c>
      <c r="F20" s="12">
        <v>39</v>
      </c>
      <c r="G20" s="12">
        <v>37.77</v>
      </c>
      <c r="H20" s="12">
        <v>112</v>
      </c>
      <c r="I20" s="12">
        <v>109.94</v>
      </c>
      <c r="J20" s="12">
        <v>40</v>
      </c>
      <c r="K20" s="12">
        <v>39.1</v>
      </c>
      <c r="L20" s="12">
        <v>4</v>
      </c>
      <c r="M20" s="12">
        <v>3.6</v>
      </c>
      <c r="N20" s="12">
        <v>9</v>
      </c>
      <c r="O20" s="12">
        <v>9</v>
      </c>
      <c r="P20" s="13">
        <v>223</v>
      </c>
      <c r="Q20" s="13">
        <v>216.36</v>
      </c>
      <c r="R20" s="12">
        <v>7</v>
      </c>
      <c r="S20" s="12">
        <v>7</v>
      </c>
      <c r="T20" s="12">
        <v>0</v>
      </c>
      <c r="U20" s="12">
        <v>0</v>
      </c>
      <c r="V20" s="12">
        <v>5</v>
      </c>
      <c r="W20" s="12">
        <v>4.8</v>
      </c>
      <c r="X20" s="12">
        <v>0</v>
      </c>
      <c r="Y20" s="12">
        <v>0</v>
      </c>
      <c r="Z20" s="14">
        <v>12</v>
      </c>
      <c r="AA20" s="14">
        <v>11.8</v>
      </c>
      <c r="AB20" s="4">
        <v>235</v>
      </c>
      <c r="AC20" s="4">
        <v>228.16</v>
      </c>
      <c r="AD20" s="20">
        <v>541979.2</v>
      </c>
      <c r="AE20" s="20">
        <v>61395.99</v>
      </c>
      <c r="AF20" s="20">
        <v>1410.52</v>
      </c>
      <c r="AG20" s="20">
        <v>4857.06</v>
      </c>
      <c r="AH20" s="20">
        <v>124517.1</v>
      </c>
      <c r="AI20" s="20">
        <v>56090.92</v>
      </c>
      <c r="AJ20" s="21">
        <v>790250.79</v>
      </c>
      <c r="AK20" s="19">
        <v>156306.35</v>
      </c>
      <c r="AL20" s="19">
        <v>0</v>
      </c>
      <c r="AM20" s="22">
        <v>156306.35</v>
      </c>
      <c r="AN20" s="22">
        <v>946557.14</v>
      </c>
      <c r="AO20" s="3"/>
    </row>
    <row r="21" spans="1:41" ht="15">
      <c r="A21" s="3"/>
      <c r="B21" s="3"/>
      <c r="C21" s="3"/>
      <c r="D21" s="12">
        <v>51975</v>
      </c>
      <c r="E21" s="12">
        <v>48499.130563745064</v>
      </c>
      <c r="F21" s="12">
        <v>12262</v>
      </c>
      <c r="G21" s="12">
        <v>11653.496215684989</v>
      </c>
      <c r="H21" s="12">
        <v>8572</v>
      </c>
      <c r="I21" s="12">
        <v>8083.114667202717</v>
      </c>
      <c r="J21" s="12">
        <v>2329</v>
      </c>
      <c r="K21" s="12">
        <v>2267.6454819976766</v>
      </c>
      <c r="L21" s="12">
        <v>231</v>
      </c>
      <c r="M21" s="12">
        <v>222.02804878048778</v>
      </c>
      <c r="N21" s="12">
        <v>20467</v>
      </c>
      <c r="O21" s="12">
        <v>18533</v>
      </c>
      <c r="P21" s="13">
        <v>95848</v>
      </c>
      <c r="Q21" s="13">
        <v>89267.77497741094</v>
      </c>
      <c r="R21" s="25">
        <v>2048.5</v>
      </c>
      <c r="S21" s="25">
        <v>2533.15</v>
      </c>
      <c r="T21" s="12">
        <v>11</v>
      </c>
      <c r="U21" s="12">
        <v>13</v>
      </c>
      <c r="V21" s="12">
        <v>222</v>
      </c>
      <c r="W21" s="12">
        <v>214.24</v>
      </c>
      <c r="X21" s="12">
        <v>0</v>
      </c>
      <c r="Y21" s="12">
        <v>0</v>
      </c>
      <c r="Z21" s="14">
        <v>2282.5</v>
      </c>
      <c r="AA21" s="14">
        <v>2514.89</v>
      </c>
      <c r="AB21" s="4">
        <v>98130.5</v>
      </c>
      <c r="AC21" s="4">
        <v>91782.66497741094</v>
      </c>
      <c r="AD21" s="20">
        <v>157455214.6599999</v>
      </c>
      <c r="AE21" s="20">
        <v>1242614.52</v>
      </c>
      <c r="AF21" s="20">
        <v>66355.82</v>
      </c>
      <c r="AG21" s="20">
        <v>5827764.19</v>
      </c>
      <c r="AH21" s="20">
        <v>28179253.17</v>
      </c>
      <c r="AI21" s="20">
        <v>12153599.44000001</v>
      </c>
      <c r="AJ21" s="21">
        <f>SUM(AJ7:AJ20)</f>
        <v>208357104.90999994</v>
      </c>
      <c r="AK21" s="19">
        <v>6348251.02</v>
      </c>
      <c r="AL21" s="19">
        <v>584059.06</v>
      </c>
      <c r="AM21" s="22">
        <v>6932310.08</v>
      </c>
      <c r="AN21" s="22">
        <f>SUM(AN7:AN20)</f>
        <v>215289414.98999992</v>
      </c>
      <c r="AO21" s="3"/>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row r="101" spans="1:41" ht="15">
      <c r="A101" s="3"/>
      <c r="B101" s="3"/>
      <c r="C101" s="3"/>
      <c r="D101" s="12"/>
      <c r="E101" s="12"/>
      <c r="F101" s="12"/>
      <c r="G101" s="12"/>
      <c r="H101" s="12"/>
      <c r="I101" s="12"/>
      <c r="J101" s="12"/>
      <c r="K101" s="12"/>
      <c r="L101" s="12"/>
      <c r="M101" s="12"/>
      <c r="N101" s="12"/>
      <c r="O101" s="12"/>
      <c r="P101" s="13"/>
      <c r="Q101" s="13"/>
      <c r="R101" s="12"/>
      <c r="S101" s="12"/>
      <c r="T101" s="12"/>
      <c r="U101" s="12"/>
      <c r="V101" s="12"/>
      <c r="W101" s="12"/>
      <c r="X101" s="12"/>
      <c r="Y101" s="12"/>
      <c r="Z101" s="14"/>
      <c r="AA101" s="14"/>
      <c r="AB101" s="4"/>
      <c r="AC101" s="4"/>
      <c r="AD101" s="6"/>
      <c r="AE101" s="6"/>
      <c r="AF101" s="6"/>
      <c r="AG101" s="6"/>
      <c r="AH101" s="6"/>
      <c r="AI101" s="6"/>
      <c r="AJ101" s="7"/>
      <c r="AK101" s="5"/>
      <c r="AL101" s="5"/>
      <c r="AM101" s="8"/>
      <c r="AN101" s="8"/>
      <c r="AO101" s="9"/>
    </row>
    <row r="102" spans="1:41" ht="15">
      <c r="A102" s="3"/>
      <c r="B102" s="3"/>
      <c r="C102" s="3"/>
      <c r="D102" s="12"/>
      <c r="E102" s="12"/>
      <c r="F102" s="12"/>
      <c r="G102" s="12"/>
      <c r="H102" s="12"/>
      <c r="I102" s="12"/>
      <c r="J102" s="12"/>
      <c r="K102" s="12"/>
      <c r="L102" s="12"/>
      <c r="M102" s="12"/>
      <c r="N102" s="12"/>
      <c r="O102" s="12"/>
      <c r="P102" s="13"/>
      <c r="Q102" s="13"/>
      <c r="R102" s="12"/>
      <c r="S102" s="12"/>
      <c r="T102" s="12"/>
      <c r="U102" s="12"/>
      <c r="V102" s="12"/>
      <c r="W102" s="12"/>
      <c r="X102" s="12"/>
      <c r="Y102" s="12"/>
      <c r="Z102" s="14"/>
      <c r="AA102" s="14"/>
      <c r="AB102" s="4"/>
      <c r="AC102" s="4"/>
      <c r="AD102" s="6"/>
      <c r="AE102" s="6"/>
      <c r="AF102" s="6"/>
      <c r="AG102" s="6"/>
      <c r="AH102" s="6"/>
      <c r="AI102" s="6"/>
      <c r="AJ102" s="7"/>
      <c r="AK102" s="5"/>
      <c r="AL102" s="5"/>
      <c r="AM102" s="8"/>
      <c r="AN102" s="8"/>
      <c r="AO102" s="9"/>
    </row>
    <row r="103" spans="1:41" ht="15">
      <c r="A103" s="3"/>
      <c r="B103" s="3"/>
      <c r="C103" s="3"/>
      <c r="D103" s="12"/>
      <c r="E103" s="12"/>
      <c r="F103" s="12"/>
      <c r="G103" s="12"/>
      <c r="H103" s="12"/>
      <c r="I103" s="12"/>
      <c r="J103" s="12"/>
      <c r="K103" s="12"/>
      <c r="L103" s="12"/>
      <c r="M103" s="12"/>
      <c r="N103" s="12"/>
      <c r="O103" s="12"/>
      <c r="P103" s="13"/>
      <c r="Q103" s="13"/>
      <c r="R103" s="12"/>
      <c r="S103" s="12"/>
      <c r="T103" s="12"/>
      <c r="U103" s="12"/>
      <c r="V103" s="12"/>
      <c r="W103" s="12"/>
      <c r="X103" s="12"/>
      <c r="Y103" s="12"/>
      <c r="Z103" s="14"/>
      <c r="AA103" s="14"/>
      <c r="AB103" s="4"/>
      <c r="AC103" s="4"/>
      <c r="AD103" s="6"/>
      <c r="AE103" s="6"/>
      <c r="AF103" s="6"/>
      <c r="AG103" s="6"/>
      <c r="AH103" s="6"/>
      <c r="AI103" s="6"/>
      <c r="AJ103" s="7"/>
      <c r="AK103" s="5"/>
      <c r="AL103" s="5"/>
      <c r="AM103" s="8"/>
      <c r="AN103" s="8"/>
      <c r="AO103" s="9"/>
    </row>
  </sheetData>
  <mergeCells count="32">
    <mergeCell ref="AJ5:AJ6"/>
    <mergeCell ref="AK5:AK6"/>
    <mergeCell ref="AL5:AL6"/>
    <mergeCell ref="AM5:AM6"/>
    <mergeCell ref="AF5:AF6"/>
    <mergeCell ref="AG5:AG6"/>
    <mergeCell ref="AH5:AH6"/>
    <mergeCell ref="AI5:AI6"/>
    <mergeCell ref="AN4:AN6"/>
    <mergeCell ref="AO4:AO6"/>
    <mergeCell ref="D5:E5"/>
    <mergeCell ref="F5:G5"/>
    <mergeCell ref="H5:I5"/>
    <mergeCell ref="J5:K5"/>
    <mergeCell ref="L5:M5"/>
    <mergeCell ref="N5:O5"/>
    <mergeCell ref="P5:Q5"/>
    <mergeCell ref="R5:S5"/>
    <mergeCell ref="R4:AA4"/>
    <mergeCell ref="AB4:AC5"/>
    <mergeCell ref="AD4:AJ4"/>
    <mergeCell ref="AK4:AM4"/>
    <mergeCell ref="T5:U5"/>
    <mergeCell ref="V5:W5"/>
    <mergeCell ref="X5:Y5"/>
    <mergeCell ref="Z5:AA5"/>
    <mergeCell ref="AD5:AD6"/>
    <mergeCell ref="AE5:AE6"/>
    <mergeCell ref="A4:A6"/>
    <mergeCell ref="B4:B6"/>
    <mergeCell ref="C4:C6"/>
    <mergeCell ref="D4:Q4"/>
  </mergeCells>
  <conditionalFormatting sqref="B7:B103">
    <cfRule type="expression" priority="1" dxfId="22" stopIfTrue="1">
      <formula>AND(NOT(ISBLANK($A7)),ISBLANK(B7))</formula>
    </cfRule>
  </conditionalFormatting>
  <conditionalFormatting sqref="C7:C103">
    <cfRule type="expression" priority="2" dxfId="22" stopIfTrue="1">
      <formula>AND(NOT(ISBLANK(A7)),ISBLANK(C7))</formula>
    </cfRule>
  </conditionalFormatting>
  <conditionalFormatting sqref="D7:D103 F7:F103 H7:H103 J7:J103 L7:L103 N7:N103 X7 V7 T7 T9:T103 V9:V103 X9:X103 AL8 R7 R8:Z8 AD19:AN19 R9:R103">
    <cfRule type="expression" priority="3" dxfId="22" stopIfTrue="1">
      <formula>AND(NOT(ISBLANK(E7)),ISBLANK(D7))</formula>
    </cfRule>
  </conditionalFormatting>
  <conditionalFormatting sqref="E7:E103 G7:G103 I7:I103 K7:K103 M7:M103 O7:O103 W9:W103 S9:S103 U9:U103 S7 U7 W7 Y7 Y9:Y103">
    <cfRule type="expression" priority="4" dxfId="22" stopIfTrue="1">
      <formula>AND(NOT(ISBLANK(D7)),ISBLANK(E7))</formula>
    </cfRule>
  </conditionalFormatting>
  <dataValidations count="4">
    <dataValidation type="decimal" operator="greaterThan" allowBlank="1" showInputMessage="1" showErrorMessage="1" sqref="AD20:AI103 AL7 AD7:AI18 AK7:AK18 AL9:AL18 AK20:AL103">
      <formula1>0</formula1>
    </dataValidation>
    <dataValidation operator="lessThanOrEqual" allowBlank="1" showInputMessage="1" showErrorMessage="1" error="FTE cannot be greater than Headcount&#10;" sqref="AP1:IV65536 R104:AN65536 AO4 AO7:AO65536 R4 A4:C4 P5 A104:O65536 P7:Q65536 AB6:AC103 AB4"/>
    <dataValidation type="custom" allowBlank="1" showInputMessage="1" showErrorMessage="1" errorTitle="Headcount" error="The value entered in the headcount field must be greater than or equal to the value entered in the FTE field." sqref="F7:F103 H7:H103 J7:J103 L7:L103 N7:N103 AL8 D7:D103 W8 Y8:Z8 S8:U8 AD19:AN19 X7:X103 V7:V103 T7 T9:T103 R7:R103">
      <formula1>F7&gt;=G7</formula1>
    </dataValidation>
    <dataValidation type="custom" allowBlank="1" showInputMessage="1" showErrorMessage="1" errorTitle="FTE" error="The value entered in the FTE field must be less than or equal to the value entered in the headcount field." sqref="M7:M103 G7:G103 I7:I103 K7:K103 O7:O103 S9:S103 U9:U103 W9:W103 E7:E103 S7 U7 W7 Y7 Y9:Y103">
      <formula1>M7&lt;=L7</formula1>
    </dataValidation>
  </dataValidation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AO103"/>
  <sheetViews>
    <sheetView zoomScale="70" zoomScaleNormal="70" workbookViewId="0" topLeftCell="A1">
      <selection activeCell="A1" sqref="A1"/>
    </sheetView>
  </sheetViews>
  <sheetFormatPr defaultColWidth="8.88671875" defaultRowHeight="15"/>
  <cols>
    <col min="1" max="1" width="23.5546875" style="2" customWidth="1"/>
    <col min="2" max="3" width="14.99609375" style="2" customWidth="1"/>
    <col min="4"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ht="15">
      <c r="A1" s="2" t="s">
        <v>92</v>
      </c>
    </row>
    <row r="2" ht="15">
      <c r="A2" s="24" t="s">
        <v>93</v>
      </c>
    </row>
    <row r="3" ht="15">
      <c r="A3" s="24" t="s">
        <v>94</v>
      </c>
    </row>
    <row r="4" spans="1:41" s="1" customFormat="1" ht="15" customHeight="1">
      <c r="A4" s="387" t="s">
        <v>26</v>
      </c>
      <c r="B4" s="387" t="s">
        <v>15</v>
      </c>
      <c r="C4" s="387" t="s">
        <v>14</v>
      </c>
      <c r="D4" s="390" t="s">
        <v>22</v>
      </c>
      <c r="E4" s="391"/>
      <c r="F4" s="391"/>
      <c r="G4" s="391"/>
      <c r="H4" s="391"/>
      <c r="I4" s="391"/>
      <c r="J4" s="391"/>
      <c r="K4" s="391"/>
      <c r="L4" s="391"/>
      <c r="M4" s="391"/>
      <c r="N4" s="391"/>
      <c r="O4" s="391"/>
      <c r="P4" s="391"/>
      <c r="Q4" s="392"/>
      <c r="R4" s="393" t="s">
        <v>29</v>
      </c>
      <c r="S4" s="394"/>
      <c r="T4" s="394"/>
      <c r="U4" s="394"/>
      <c r="V4" s="394"/>
      <c r="W4" s="394"/>
      <c r="X4" s="394"/>
      <c r="Y4" s="394"/>
      <c r="Z4" s="394"/>
      <c r="AA4" s="395"/>
      <c r="AB4" s="396" t="s">
        <v>39</v>
      </c>
      <c r="AC4" s="397"/>
      <c r="AD4" s="400" t="s">
        <v>25</v>
      </c>
      <c r="AE4" s="401"/>
      <c r="AF4" s="401"/>
      <c r="AG4" s="401"/>
      <c r="AH4" s="401"/>
      <c r="AI4" s="401"/>
      <c r="AJ4" s="402"/>
      <c r="AK4" s="385" t="s">
        <v>46</v>
      </c>
      <c r="AL4" s="385"/>
      <c r="AM4" s="385"/>
      <c r="AN4" s="404" t="s">
        <v>38</v>
      </c>
      <c r="AO4" s="387" t="s">
        <v>47</v>
      </c>
    </row>
    <row r="5" spans="1:41" s="1" customFormat="1" ht="53.25" customHeight="1">
      <c r="A5" s="388"/>
      <c r="B5" s="388"/>
      <c r="C5" s="388"/>
      <c r="D5" s="408" t="s">
        <v>42</v>
      </c>
      <c r="E5" s="409"/>
      <c r="F5" s="408" t="s">
        <v>43</v>
      </c>
      <c r="G5" s="409"/>
      <c r="H5" s="408" t="s">
        <v>44</v>
      </c>
      <c r="I5" s="409"/>
      <c r="J5" s="408" t="s">
        <v>20</v>
      </c>
      <c r="K5" s="409"/>
      <c r="L5" s="408" t="s">
        <v>45</v>
      </c>
      <c r="M5" s="409"/>
      <c r="N5" s="408" t="s">
        <v>19</v>
      </c>
      <c r="O5" s="409"/>
      <c r="P5" s="390" t="s">
        <v>23</v>
      </c>
      <c r="Q5" s="392"/>
      <c r="R5" s="390" t="s">
        <v>27</v>
      </c>
      <c r="S5" s="395"/>
      <c r="T5" s="393" t="s">
        <v>17</v>
      </c>
      <c r="U5" s="395"/>
      <c r="V5" s="393" t="s">
        <v>18</v>
      </c>
      <c r="W5" s="395"/>
      <c r="X5" s="393" t="s">
        <v>28</v>
      </c>
      <c r="Y5" s="395"/>
      <c r="Z5" s="390" t="s">
        <v>24</v>
      </c>
      <c r="AA5" s="392"/>
      <c r="AB5" s="398"/>
      <c r="AC5" s="399"/>
      <c r="AD5" s="387" t="s">
        <v>31</v>
      </c>
      <c r="AE5" s="387" t="s">
        <v>30</v>
      </c>
      <c r="AF5" s="387" t="s">
        <v>32</v>
      </c>
      <c r="AG5" s="387" t="s">
        <v>33</v>
      </c>
      <c r="AH5" s="387" t="s">
        <v>34</v>
      </c>
      <c r="AI5" s="387" t="s">
        <v>35</v>
      </c>
      <c r="AJ5" s="383" t="s">
        <v>37</v>
      </c>
      <c r="AK5" s="387" t="s">
        <v>40</v>
      </c>
      <c r="AL5" s="387" t="s">
        <v>41</v>
      </c>
      <c r="AM5" s="387" t="s">
        <v>36</v>
      </c>
      <c r="AN5" s="405"/>
      <c r="AO5" s="407"/>
    </row>
    <row r="6" spans="1:41" ht="57.75" customHeight="1">
      <c r="A6" s="389"/>
      <c r="B6" s="389"/>
      <c r="C6" s="389"/>
      <c r="D6" s="10" t="s">
        <v>16</v>
      </c>
      <c r="E6" s="10" t="s">
        <v>21</v>
      </c>
      <c r="F6" s="10" t="s">
        <v>16</v>
      </c>
      <c r="G6" s="10" t="s">
        <v>21</v>
      </c>
      <c r="H6" s="10" t="s">
        <v>16</v>
      </c>
      <c r="I6" s="10" t="s">
        <v>21</v>
      </c>
      <c r="J6" s="10" t="s">
        <v>16</v>
      </c>
      <c r="K6" s="10" t="s">
        <v>21</v>
      </c>
      <c r="L6" s="10" t="s">
        <v>16</v>
      </c>
      <c r="M6" s="10" t="s">
        <v>21</v>
      </c>
      <c r="N6" s="10" t="s">
        <v>16</v>
      </c>
      <c r="O6" s="10" t="s">
        <v>21</v>
      </c>
      <c r="P6" s="10" t="s">
        <v>16</v>
      </c>
      <c r="Q6" s="10" t="s">
        <v>21</v>
      </c>
      <c r="R6" s="11" t="s">
        <v>16</v>
      </c>
      <c r="S6" s="11" t="s">
        <v>21</v>
      </c>
      <c r="T6" s="11" t="s">
        <v>16</v>
      </c>
      <c r="U6" s="11" t="s">
        <v>21</v>
      </c>
      <c r="V6" s="11" t="s">
        <v>16</v>
      </c>
      <c r="W6" s="11" t="s">
        <v>21</v>
      </c>
      <c r="X6" s="11" t="s">
        <v>16</v>
      </c>
      <c r="Y6" s="11" t="s">
        <v>21</v>
      </c>
      <c r="Z6" s="11" t="s">
        <v>16</v>
      </c>
      <c r="AA6" s="11" t="s">
        <v>21</v>
      </c>
      <c r="AB6" s="17" t="s">
        <v>16</v>
      </c>
      <c r="AC6" s="16" t="s">
        <v>21</v>
      </c>
      <c r="AD6" s="403"/>
      <c r="AE6" s="403"/>
      <c r="AF6" s="403"/>
      <c r="AG6" s="403"/>
      <c r="AH6" s="403"/>
      <c r="AI6" s="403"/>
      <c r="AJ6" s="383"/>
      <c r="AK6" s="403"/>
      <c r="AL6" s="403"/>
      <c r="AM6" s="403"/>
      <c r="AN6" s="406"/>
      <c r="AO6" s="403"/>
    </row>
    <row r="7" spans="1:41" ht="30">
      <c r="A7" s="3" t="s">
        <v>48</v>
      </c>
      <c r="B7" s="3" t="s">
        <v>49</v>
      </c>
      <c r="C7" s="3" t="s">
        <v>48</v>
      </c>
      <c r="D7" s="12">
        <v>1053</v>
      </c>
      <c r="E7" s="12">
        <v>985.36</v>
      </c>
      <c r="F7" s="12">
        <v>814</v>
      </c>
      <c r="G7" s="12">
        <v>780.69</v>
      </c>
      <c r="H7" s="12">
        <v>1597</v>
      </c>
      <c r="I7" s="12">
        <v>1546.93</v>
      </c>
      <c r="J7" s="12">
        <v>789</v>
      </c>
      <c r="K7" s="12">
        <v>764.66</v>
      </c>
      <c r="L7" s="12">
        <v>122</v>
      </c>
      <c r="M7" s="12">
        <v>119.43</v>
      </c>
      <c r="N7" s="12">
        <v>0</v>
      </c>
      <c r="O7" s="12">
        <v>0</v>
      </c>
      <c r="P7" s="13">
        <v>4375</v>
      </c>
      <c r="Q7" s="13">
        <v>4197.07</v>
      </c>
      <c r="R7" s="12">
        <v>209.1</v>
      </c>
      <c r="S7" s="12">
        <v>205.04</v>
      </c>
      <c r="T7" s="12">
        <v>8</v>
      </c>
      <c r="U7" s="12">
        <v>8</v>
      </c>
      <c r="V7" s="12">
        <v>191</v>
      </c>
      <c r="W7" s="12">
        <v>185.5</v>
      </c>
      <c r="X7" s="12">
        <v>0</v>
      </c>
      <c r="Y7" s="12">
        <v>0</v>
      </c>
      <c r="Z7" s="14">
        <v>408.1</v>
      </c>
      <c r="AA7" s="14">
        <v>398.54</v>
      </c>
      <c r="AB7" s="4">
        <v>4783.1</v>
      </c>
      <c r="AC7" s="4">
        <v>4595.61</v>
      </c>
      <c r="AD7" s="19">
        <v>11172669.15</v>
      </c>
      <c r="AE7" s="20">
        <v>197356.03</v>
      </c>
      <c r="AF7" s="20">
        <v>41791.1</v>
      </c>
      <c r="AG7" s="20">
        <v>126293</v>
      </c>
      <c r="AH7" s="20">
        <v>2181357.03</v>
      </c>
      <c r="AI7" s="20">
        <v>974157.83</v>
      </c>
      <c r="AJ7" s="21">
        <v>14693624.139999999</v>
      </c>
      <c r="AK7" s="19">
        <v>2193514.7</v>
      </c>
      <c r="AL7" s="19">
        <v>492264.63</v>
      </c>
      <c r="AM7" s="22">
        <v>2685779.33</v>
      </c>
      <c r="AN7" s="22">
        <f>SUM(AJ7,AM7)</f>
        <v>17379403.47</v>
      </c>
      <c r="AO7" s="18"/>
    </row>
    <row r="8" spans="1:41" ht="30">
      <c r="A8" s="3" t="s">
        <v>76</v>
      </c>
      <c r="B8" s="3" t="s">
        <v>51</v>
      </c>
      <c r="C8" s="3" t="s">
        <v>48</v>
      </c>
      <c r="D8" s="12">
        <v>14414</v>
      </c>
      <c r="E8" s="12">
        <v>12568.33</v>
      </c>
      <c r="F8" s="12">
        <v>3737</v>
      </c>
      <c r="G8" s="12">
        <v>3476.24</v>
      </c>
      <c r="H8" s="12">
        <v>2978</v>
      </c>
      <c r="I8" s="12">
        <v>2773.54</v>
      </c>
      <c r="J8" s="12">
        <v>696</v>
      </c>
      <c r="K8" s="12">
        <v>678.43</v>
      </c>
      <c r="L8" s="12">
        <v>39</v>
      </c>
      <c r="M8" s="12">
        <v>38.92</v>
      </c>
      <c r="N8" s="12">
        <v>0</v>
      </c>
      <c r="O8" s="12">
        <v>0</v>
      </c>
      <c r="P8" s="13">
        <v>21864</v>
      </c>
      <c r="Q8" s="13">
        <v>19535.46</v>
      </c>
      <c r="R8" s="23" t="s">
        <v>90</v>
      </c>
      <c r="S8" s="12">
        <v>204.1</v>
      </c>
      <c r="T8" s="12">
        <v>0</v>
      </c>
      <c r="U8" s="12">
        <v>0</v>
      </c>
      <c r="V8" s="12">
        <v>0</v>
      </c>
      <c r="W8" s="12">
        <v>0</v>
      </c>
      <c r="X8" s="12">
        <v>0</v>
      </c>
      <c r="Y8" s="12">
        <v>0</v>
      </c>
      <c r="Z8" s="23" t="s">
        <v>90</v>
      </c>
      <c r="AA8" s="14">
        <v>204.1</v>
      </c>
      <c r="AB8" s="4">
        <v>21864</v>
      </c>
      <c r="AC8" s="4">
        <v>19739.56</v>
      </c>
      <c r="AD8" s="20">
        <v>36888434.36</v>
      </c>
      <c r="AE8" s="20">
        <v>585535.86</v>
      </c>
      <c r="AF8" s="20">
        <v>27450.76</v>
      </c>
      <c r="AG8" s="20">
        <v>392986.22</v>
      </c>
      <c r="AH8" s="20">
        <v>6436517.55</v>
      </c>
      <c r="AI8" s="20">
        <v>2497259.82</v>
      </c>
      <c r="AJ8" s="21">
        <v>46828184.56999999</v>
      </c>
      <c r="AK8" s="19">
        <v>399017.52</v>
      </c>
      <c r="AL8" s="19">
        <v>0</v>
      </c>
      <c r="AM8" s="22">
        <v>399017.52</v>
      </c>
      <c r="AN8" s="22">
        <v>47227202.089999996</v>
      </c>
      <c r="AO8" s="3"/>
    </row>
    <row r="9" spans="1:41" ht="15">
      <c r="A9" s="3" t="s">
        <v>55</v>
      </c>
      <c r="B9" s="3" t="s">
        <v>51</v>
      </c>
      <c r="C9" s="3" t="s">
        <v>48</v>
      </c>
      <c r="D9" s="12">
        <v>186</v>
      </c>
      <c r="E9" s="12">
        <v>166.07</v>
      </c>
      <c r="F9" s="12">
        <v>118</v>
      </c>
      <c r="G9" s="12">
        <v>114.28</v>
      </c>
      <c r="H9" s="12">
        <v>250</v>
      </c>
      <c r="I9" s="12">
        <v>242.38</v>
      </c>
      <c r="J9" s="12">
        <v>61</v>
      </c>
      <c r="K9" s="12">
        <v>60.16</v>
      </c>
      <c r="L9" s="12">
        <v>6</v>
      </c>
      <c r="M9" s="12">
        <v>6</v>
      </c>
      <c r="N9" s="12">
        <v>0</v>
      </c>
      <c r="O9" s="12">
        <v>0</v>
      </c>
      <c r="P9" s="13">
        <v>621</v>
      </c>
      <c r="Q9" s="13">
        <v>588.89</v>
      </c>
      <c r="R9" s="12">
        <v>7</v>
      </c>
      <c r="S9" s="12">
        <v>5.4</v>
      </c>
      <c r="T9" s="12">
        <v>0</v>
      </c>
      <c r="U9" s="12">
        <v>0</v>
      </c>
      <c r="V9" s="12">
        <v>11</v>
      </c>
      <c r="W9" s="12">
        <v>10.2</v>
      </c>
      <c r="X9" s="12">
        <v>0</v>
      </c>
      <c r="Y9" s="12">
        <v>0</v>
      </c>
      <c r="Z9" s="14">
        <v>18</v>
      </c>
      <c r="AA9" s="14">
        <v>15.6</v>
      </c>
      <c r="AB9" s="4">
        <v>639</v>
      </c>
      <c r="AC9" s="4">
        <v>604.49</v>
      </c>
      <c r="AD9" s="20">
        <v>1478690.79</v>
      </c>
      <c r="AE9" s="20">
        <v>5554.88</v>
      </c>
      <c r="AF9" s="20">
        <v>0</v>
      </c>
      <c r="AG9" s="20">
        <v>11114.7</v>
      </c>
      <c r="AH9" s="20">
        <v>265935.3</v>
      </c>
      <c r="AI9" s="20">
        <v>119506.58</v>
      </c>
      <c r="AJ9" s="21">
        <v>1880802.25</v>
      </c>
      <c r="AK9" s="19">
        <v>45038.64</v>
      </c>
      <c r="AL9" s="19">
        <v>12640</v>
      </c>
      <c r="AM9" s="22">
        <v>57678.64</v>
      </c>
      <c r="AN9" s="22">
        <v>1938480.89</v>
      </c>
      <c r="AO9" s="3"/>
    </row>
    <row r="10" spans="1:41" ht="150">
      <c r="A10" s="3" t="s">
        <v>56</v>
      </c>
      <c r="B10" s="3" t="s">
        <v>51</v>
      </c>
      <c r="C10" s="3" t="s">
        <v>48</v>
      </c>
      <c r="D10" s="12">
        <v>35554</v>
      </c>
      <c r="E10" s="12">
        <v>34031.67658357889</v>
      </c>
      <c r="F10" s="12">
        <v>7223</v>
      </c>
      <c r="G10" s="12">
        <v>6920.7032709149435</v>
      </c>
      <c r="H10" s="12">
        <v>3342</v>
      </c>
      <c r="I10" s="12">
        <v>3119.5633431609012</v>
      </c>
      <c r="J10" s="12">
        <v>703</v>
      </c>
      <c r="K10" s="12">
        <v>684.6341463414635</v>
      </c>
      <c r="L10" s="12">
        <v>44</v>
      </c>
      <c r="M10" s="12">
        <v>43.8780487804878</v>
      </c>
      <c r="N10" s="12">
        <v>0</v>
      </c>
      <c r="O10" s="12">
        <v>0</v>
      </c>
      <c r="P10" s="13">
        <v>46866</v>
      </c>
      <c r="Q10" s="13">
        <v>44800.45539277669</v>
      </c>
      <c r="R10" s="12">
        <v>304</v>
      </c>
      <c r="S10" s="12">
        <v>304</v>
      </c>
      <c r="T10" s="12">
        <v>0</v>
      </c>
      <c r="U10" s="12">
        <v>0</v>
      </c>
      <c r="V10" s="12">
        <v>0</v>
      </c>
      <c r="W10" s="12">
        <v>0</v>
      </c>
      <c r="X10" s="12">
        <v>0</v>
      </c>
      <c r="Y10" s="12">
        <v>0</v>
      </c>
      <c r="Z10" s="14">
        <v>304</v>
      </c>
      <c r="AA10" s="14">
        <v>304</v>
      </c>
      <c r="AB10" s="4">
        <v>47170</v>
      </c>
      <c r="AC10" s="4">
        <v>45104.45539277669</v>
      </c>
      <c r="AD10" s="20">
        <v>102731687.97999996</v>
      </c>
      <c r="AE10" s="20">
        <v>0</v>
      </c>
      <c r="AF10" s="20">
        <v>0</v>
      </c>
      <c r="AG10" s="20">
        <v>5290009.25</v>
      </c>
      <c r="AH10" s="20">
        <v>19370136.87</v>
      </c>
      <c r="AI10" s="20">
        <v>8880036.570000006</v>
      </c>
      <c r="AJ10" s="21">
        <v>136271870.66999996</v>
      </c>
      <c r="AK10" s="19">
        <v>1970796.02</v>
      </c>
      <c r="AL10" s="19">
        <v>138023.3</v>
      </c>
      <c r="AM10" s="22">
        <v>2108819.32</v>
      </c>
      <c r="AN10" s="22">
        <v>138380689.98999995</v>
      </c>
      <c r="AO10" s="3" t="s">
        <v>87</v>
      </c>
    </row>
    <row r="11" spans="1:41" ht="30">
      <c r="A11" s="3" t="s">
        <v>58</v>
      </c>
      <c r="B11" s="3" t="s">
        <v>51</v>
      </c>
      <c r="C11" s="3" t="s">
        <v>48</v>
      </c>
      <c r="D11" s="12">
        <v>261</v>
      </c>
      <c r="E11" s="12">
        <v>242.41</v>
      </c>
      <c r="F11" s="12">
        <v>154</v>
      </c>
      <c r="G11" s="12">
        <v>147.88</v>
      </c>
      <c r="H11" s="12">
        <v>61</v>
      </c>
      <c r="I11" s="12">
        <v>60.36</v>
      </c>
      <c r="J11" s="12">
        <v>10</v>
      </c>
      <c r="K11" s="12">
        <v>9.82</v>
      </c>
      <c r="L11" s="12">
        <v>2</v>
      </c>
      <c r="M11" s="12">
        <v>1.78</v>
      </c>
      <c r="N11" s="12">
        <v>0</v>
      </c>
      <c r="O11" s="12">
        <v>0</v>
      </c>
      <c r="P11" s="13">
        <v>488</v>
      </c>
      <c r="Q11" s="13">
        <v>462.25</v>
      </c>
      <c r="R11" s="12">
        <v>221</v>
      </c>
      <c r="S11" s="12">
        <v>168.76</v>
      </c>
      <c r="T11" s="12">
        <v>0</v>
      </c>
      <c r="U11" s="12">
        <v>0</v>
      </c>
      <c r="V11" s="12">
        <v>0</v>
      </c>
      <c r="W11" s="12">
        <v>0</v>
      </c>
      <c r="X11" s="12">
        <v>0</v>
      </c>
      <c r="Y11" s="12">
        <v>0</v>
      </c>
      <c r="Z11" s="14">
        <v>221</v>
      </c>
      <c r="AA11" s="14">
        <v>168.76</v>
      </c>
      <c r="AB11" s="4">
        <v>709</v>
      </c>
      <c r="AC11" s="4">
        <v>631.01</v>
      </c>
      <c r="AD11" s="20">
        <v>948181.25</v>
      </c>
      <c r="AE11" s="20">
        <v>25310.85</v>
      </c>
      <c r="AF11" s="20">
        <v>5950</v>
      </c>
      <c r="AG11" s="20">
        <v>15962.83</v>
      </c>
      <c r="AH11" s="20">
        <v>150846.69</v>
      </c>
      <c r="AI11" s="20">
        <v>70294.22</v>
      </c>
      <c r="AJ11" s="21">
        <v>1216545.84</v>
      </c>
      <c r="AK11" s="19">
        <v>323659.02</v>
      </c>
      <c r="AL11" s="19">
        <v>0</v>
      </c>
      <c r="AM11" s="22">
        <v>323659.02</v>
      </c>
      <c r="AN11" s="22">
        <v>1540204.86</v>
      </c>
      <c r="AO11" s="18"/>
    </row>
    <row r="12" spans="1:41" ht="90">
      <c r="A12" s="3" t="s">
        <v>60</v>
      </c>
      <c r="B12" s="3" t="s">
        <v>53</v>
      </c>
      <c r="C12" s="3" t="s">
        <v>48</v>
      </c>
      <c r="D12" s="12">
        <v>4</v>
      </c>
      <c r="E12" s="12">
        <v>4</v>
      </c>
      <c r="F12" s="12">
        <v>17</v>
      </c>
      <c r="G12" s="12">
        <v>17</v>
      </c>
      <c r="H12" s="12">
        <v>20</v>
      </c>
      <c r="I12" s="12">
        <v>19.8</v>
      </c>
      <c r="J12" s="12">
        <v>5</v>
      </c>
      <c r="K12" s="12">
        <v>4.47</v>
      </c>
      <c r="L12" s="12">
        <v>2</v>
      </c>
      <c r="M12" s="12">
        <v>2</v>
      </c>
      <c r="N12" s="12">
        <v>0</v>
      </c>
      <c r="O12" s="12">
        <v>0</v>
      </c>
      <c r="P12" s="13">
        <v>48</v>
      </c>
      <c r="Q12" s="13">
        <v>47.27</v>
      </c>
      <c r="R12" s="12">
        <v>0</v>
      </c>
      <c r="S12" s="12">
        <v>0</v>
      </c>
      <c r="T12" s="12">
        <v>0</v>
      </c>
      <c r="U12" s="12">
        <v>0</v>
      </c>
      <c r="V12" s="12">
        <v>0</v>
      </c>
      <c r="W12" s="12">
        <v>0</v>
      </c>
      <c r="X12" s="12">
        <v>0</v>
      </c>
      <c r="Y12" s="12">
        <v>0</v>
      </c>
      <c r="Z12" s="14">
        <v>0</v>
      </c>
      <c r="AA12" s="14">
        <v>0</v>
      </c>
      <c r="AB12" s="4">
        <v>48</v>
      </c>
      <c r="AC12" s="4">
        <v>47.27</v>
      </c>
      <c r="AD12" s="20">
        <v>133889.21</v>
      </c>
      <c r="AE12" s="20">
        <v>206.43</v>
      </c>
      <c r="AF12" s="20">
        <v>949.99</v>
      </c>
      <c r="AG12" s="20">
        <v>2151.7</v>
      </c>
      <c r="AH12" s="20">
        <v>25242.15</v>
      </c>
      <c r="AI12" s="20">
        <v>12066.88</v>
      </c>
      <c r="AJ12" s="21">
        <v>174506.36</v>
      </c>
      <c r="AK12" s="19">
        <v>0</v>
      </c>
      <c r="AL12" s="19">
        <v>0</v>
      </c>
      <c r="AM12" s="22">
        <v>0</v>
      </c>
      <c r="AN12" s="22">
        <v>174506.36</v>
      </c>
      <c r="AO12" s="3" t="s">
        <v>88</v>
      </c>
    </row>
    <row r="13" spans="1:41" ht="210">
      <c r="A13" s="3" t="s">
        <v>62</v>
      </c>
      <c r="B13" s="3" t="s">
        <v>63</v>
      </c>
      <c r="C13" s="3" t="s">
        <v>48</v>
      </c>
      <c r="D13" s="12">
        <v>0</v>
      </c>
      <c r="E13" s="12">
        <v>0</v>
      </c>
      <c r="F13" s="12">
        <v>0</v>
      </c>
      <c r="G13" s="12">
        <v>0</v>
      </c>
      <c r="H13" s="12">
        <v>0</v>
      </c>
      <c r="I13" s="12">
        <v>0</v>
      </c>
      <c r="J13" s="12">
        <v>0</v>
      </c>
      <c r="K13" s="12">
        <v>0</v>
      </c>
      <c r="L13" s="12">
        <v>0</v>
      </c>
      <c r="M13" s="12">
        <v>0</v>
      </c>
      <c r="N13" s="12">
        <v>73</v>
      </c>
      <c r="O13" s="12">
        <v>67.16</v>
      </c>
      <c r="P13" s="13">
        <v>73</v>
      </c>
      <c r="Q13" s="13">
        <v>67.16</v>
      </c>
      <c r="R13" s="12">
        <v>3</v>
      </c>
      <c r="S13" s="12">
        <v>2.81</v>
      </c>
      <c r="T13" s="12">
        <v>0</v>
      </c>
      <c r="U13" s="12">
        <v>0</v>
      </c>
      <c r="V13" s="12">
        <v>0</v>
      </c>
      <c r="W13" s="12">
        <v>0</v>
      </c>
      <c r="X13" s="12">
        <v>0</v>
      </c>
      <c r="Y13" s="12">
        <v>0</v>
      </c>
      <c r="Z13" s="14">
        <v>3</v>
      </c>
      <c r="AA13" s="14">
        <v>2.81</v>
      </c>
      <c r="AB13" s="4">
        <v>76</v>
      </c>
      <c r="AC13" s="4">
        <v>69.97</v>
      </c>
      <c r="AD13" s="20">
        <v>190716</v>
      </c>
      <c r="AE13" s="20">
        <v>33</v>
      </c>
      <c r="AF13" s="20">
        <v>0</v>
      </c>
      <c r="AG13" s="20">
        <v>0</v>
      </c>
      <c r="AH13" s="20">
        <v>36047</v>
      </c>
      <c r="AI13" s="20">
        <v>15526</v>
      </c>
      <c r="AJ13" s="21">
        <v>242322</v>
      </c>
      <c r="AK13" s="19">
        <v>5930</v>
      </c>
      <c r="AL13" s="19">
        <v>0</v>
      </c>
      <c r="AM13" s="22">
        <v>5930</v>
      </c>
      <c r="AN13" s="22">
        <v>248252</v>
      </c>
      <c r="AO13" s="3" t="s">
        <v>64</v>
      </c>
    </row>
    <row r="14" spans="1:41" ht="45">
      <c r="A14" s="3" t="s">
        <v>66</v>
      </c>
      <c r="B14" s="3" t="s">
        <v>63</v>
      </c>
      <c r="C14" s="3" t="s">
        <v>48</v>
      </c>
      <c r="D14" s="12">
        <v>0</v>
      </c>
      <c r="E14" s="12">
        <v>0</v>
      </c>
      <c r="F14" s="12">
        <v>0</v>
      </c>
      <c r="G14" s="12">
        <v>0</v>
      </c>
      <c r="H14" s="12">
        <v>0</v>
      </c>
      <c r="I14" s="12">
        <v>0</v>
      </c>
      <c r="J14" s="12">
        <v>0</v>
      </c>
      <c r="K14" s="12">
        <v>0</v>
      </c>
      <c r="L14" s="12">
        <v>0</v>
      </c>
      <c r="M14" s="12">
        <v>0</v>
      </c>
      <c r="N14" s="12">
        <v>345</v>
      </c>
      <c r="O14" s="12">
        <v>321.87</v>
      </c>
      <c r="P14" s="13">
        <v>345</v>
      </c>
      <c r="Q14" s="13">
        <v>321.87</v>
      </c>
      <c r="R14" s="12">
        <v>12</v>
      </c>
      <c r="S14" s="12">
        <v>12</v>
      </c>
      <c r="T14" s="12">
        <v>0</v>
      </c>
      <c r="U14" s="12">
        <v>0</v>
      </c>
      <c r="V14" s="12">
        <v>0</v>
      </c>
      <c r="W14" s="12">
        <v>0</v>
      </c>
      <c r="X14" s="12">
        <v>0</v>
      </c>
      <c r="Y14" s="12">
        <v>0</v>
      </c>
      <c r="Z14" s="14">
        <v>12</v>
      </c>
      <c r="AA14" s="14">
        <v>12</v>
      </c>
      <c r="AB14" s="4">
        <v>357</v>
      </c>
      <c r="AC14" s="4">
        <v>333.87</v>
      </c>
      <c r="AD14" s="20">
        <v>741891.76</v>
      </c>
      <c r="AE14" s="20">
        <v>932.85</v>
      </c>
      <c r="AF14" s="20">
        <v>0</v>
      </c>
      <c r="AG14" s="20">
        <v>5161.41</v>
      </c>
      <c r="AH14" s="20">
        <v>129781.14</v>
      </c>
      <c r="AI14" s="20">
        <v>51134.65</v>
      </c>
      <c r="AJ14" s="21">
        <v>928901.81</v>
      </c>
      <c r="AK14" s="19">
        <v>15449.39</v>
      </c>
      <c r="AL14" s="19">
        <v>0</v>
      </c>
      <c r="AM14" s="22">
        <v>15449.39</v>
      </c>
      <c r="AN14" s="22">
        <v>944351.2</v>
      </c>
      <c r="AO14" s="3"/>
    </row>
    <row r="15" spans="1:41" ht="45">
      <c r="A15" s="3" t="s">
        <v>67</v>
      </c>
      <c r="B15" s="3" t="s">
        <v>63</v>
      </c>
      <c r="C15" s="3" t="s">
        <v>48</v>
      </c>
      <c r="D15" s="12">
        <v>14</v>
      </c>
      <c r="E15" s="12">
        <v>14</v>
      </c>
      <c r="F15" s="12">
        <v>19</v>
      </c>
      <c r="G15" s="12">
        <v>18.25</v>
      </c>
      <c r="H15" s="12">
        <v>26</v>
      </c>
      <c r="I15" s="12">
        <v>26</v>
      </c>
      <c r="J15" s="12">
        <v>15</v>
      </c>
      <c r="K15" s="12">
        <v>14.2</v>
      </c>
      <c r="L15" s="12">
        <v>3</v>
      </c>
      <c r="M15" s="12">
        <v>3</v>
      </c>
      <c r="N15" s="12">
        <v>1</v>
      </c>
      <c r="O15" s="12">
        <v>0.6</v>
      </c>
      <c r="P15" s="13">
        <v>78</v>
      </c>
      <c r="Q15" s="13">
        <v>76.05</v>
      </c>
      <c r="R15" s="12">
        <v>0</v>
      </c>
      <c r="S15" s="12">
        <v>0</v>
      </c>
      <c r="T15" s="12">
        <v>0</v>
      </c>
      <c r="U15" s="12">
        <v>0</v>
      </c>
      <c r="V15" s="12">
        <v>0</v>
      </c>
      <c r="W15" s="12">
        <v>0</v>
      </c>
      <c r="X15" s="12">
        <v>0</v>
      </c>
      <c r="Y15" s="12">
        <v>0</v>
      </c>
      <c r="Z15" s="14">
        <v>0</v>
      </c>
      <c r="AA15" s="14">
        <v>0</v>
      </c>
      <c r="AB15" s="4">
        <v>78</v>
      </c>
      <c r="AC15" s="4">
        <v>76.05</v>
      </c>
      <c r="AD15" s="20">
        <v>203860</v>
      </c>
      <c r="AE15" s="20">
        <v>2075</v>
      </c>
      <c r="AF15" s="20">
        <v>0</v>
      </c>
      <c r="AG15" s="20">
        <v>465</v>
      </c>
      <c r="AH15" s="20">
        <v>38885</v>
      </c>
      <c r="AI15" s="20">
        <v>17487</v>
      </c>
      <c r="AJ15" s="21">
        <v>262772</v>
      </c>
      <c r="AK15" s="19">
        <v>0</v>
      </c>
      <c r="AL15" s="19">
        <v>0</v>
      </c>
      <c r="AM15" s="22">
        <v>0</v>
      </c>
      <c r="AN15" s="22">
        <v>262772</v>
      </c>
      <c r="AO15" s="3"/>
    </row>
    <row r="16" spans="1:41" ht="105">
      <c r="A16" s="3" t="s">
        <v>68</v>
      </c>
      <c r="B16" s="3" t="s">
        <v>63</v>
      </c>
      <c r="C16" s="3" t="s">
        <v>48</v>
      </c>
      <c r="D16" s="12">
        <v>0</v>
      </c>
      <c r="E16" s="12">
        <v>0</v>
      </c>
      <c r="F16" s="12">
        <v>0</v>
      </c>
      <c r="G16" s="12">
        <v>0</v>
      </c>
      <c r="H16" s="12">
        <v>0</v>
      </c>
      <c r="I16" s="12">
        <v>0</v>
      </c>
      <c r="J16" s="12">
        <v>0</v>
      </c>
      <c r="K16" s="12">
        <v>0</v>
      </c>
      <c r="L16" s="12">
        <v>0</v>
      </c>
      <c r="M16" s="12">
        <v>0</v>
      </c>
      <c r="N16" s="12">
        <v>32</v>
      </c>
      <c r="O16" s="12">
        <v>31.7</v>
      </c>
      <c r="P16" s="13">
        <v>32</v>
      </c>
      <c r="Q16" s="13">
        <v>31.7</v>
      </c>
      <c r="R16" s="12">
        <v>0</v>
      </c>
      <c r="S16" s="12">
        <v>0</v>
      </c>
      <c r="T16" s="12">
        <v>0</v>
      </c>
      <c r="U16" s="12">
        <v>0</v>
      </c>
      <c r="V16" s="12">
        <v>0</v>
      </c>
      <c r="W16" s="12">
        <v>0</v>
      </c>
      <c r="X16" s="12">
        <v>0</v>
      </c>
      <c r="Y16" s="12">
        <v>0</v>
      </c>
      <c r="Z16" s="14">
        <v>0</v>
      </c>
      <c r="AA16" s="14">
        <v>0</v>
      </c>
      <c r="AB16" s="4">
        <v>32</v>
      </c>
      <c r="AC16" s="4">
        <v>31.7</v>
      </c>
      <c r="AD16" s="20">
        <v>150792.5</v>
      </c>
      <c r="AE16" s="20">
        <v>0</v>
      </c>
      <c r="AF16" s="20">
        <v>0</v>
      </c>
      <c r="AG16" s="20">
        <v>0</v>
      </c>
      <c r="AH16" s="20">
        <v>30830.94</v>
      </c>
      <c r="AI16" s="20">
        <v>18208.27</v>
      </c>
      <c r="AJ16" s="21">
        <v>199831.71</v>
      </c>
      <c r="AK16" s="19">
        <v>0</v>
      </c>
      <c r="AL16" s="19">
        <v>0</v>
      </c>
      <c r="AM16" s="22">
        <v>0</v>
      </c>
      <c r="AN16" s="22">
        <v>199831.71</v>
      </c>
      <c r="AO16" s="3" t="s">
        <v>69</v>
      </c>
    </row>
    <row r="17" spans="1:41" ht="45">
      <c r="A17" s="3" t="s">
        <v>70</v>
      </c>
      <c r="B17" s="3" t="s">
        <v>63</v>
      </c>
      <c r="C17" s="3" t="s">
        <v>48</v>
      </c>
      <c r="D17" s="12">
        <v>776</v>
      </c>
      <c r="E17" s="12">
        <v>731.9</v>
      </c>
      <c r="F17" s="12">
        <v>249</v>
      </c>
      <c r="G17" s="12">
        <v>239.6</v>
      </c>
      <c r="H17" s="12">
        <v>389</v>
      </c>
      <c r="I17" s="12">
        <v>374.6</v>
      </c>
      <c r="J17" s="12">
        <v>88</v>
      </c>
      <c r="K17" s="12">
        <v>86.8</v>
      </c>
      <c r="L17" s="12">
        <v>17</v>
      </c>
      <c r="M17" s="12">
        <v>11.2</v>
      </c>
      <c r="N17" s="12">
        <v>0</v>
      </c>
      <c r="O17" s="12">
        <v>0</v>
      </c>
      <c r="P17" s="13">
        <v>1519</v>
      </c>
      <c r="Q17" s="13">
        <v>1444.1</v>
      </c>
      <c r="R17" s="12">
        <v>71</v>
      </c>
      <c r="S17" s="12">
        <v>66.75</v>
      </c>
      <c r="T17" s="12">
        <v>0</v>
      </c>
      <c r="U17" s="12">
        <v>0</v>
      </c>
      <c r="V17" s="12">
        <v>12</v>
      </c>
      <c r="W17" s="12">
        <v>12</v>
      </c>
      <c r="X17" s="12">
        <v>0</v>
      </c>
      <c r="Y17" s="12">
        <v>0</v>
      </c>
      <c r="Z17" s="14">
        <v>83</v>
      </c>
      <c r="AA17" s="14">
        <v>78.75</v>
      </c>
      <c r="AB17" s="4">
        <v>1602</v>
      </c>
      <c r="AC17" s="4">
        <v>1522.85</v>
      </c>
      <c r="AD17" s="20">
        <v>3315746.63</v>
      </c>
      <c r="AE17" s="20">
        <v>0</v>
      </c>
      <c r="AF17" s="20">
        <v>0</v>
      </c>
      <c r="AG17" s="20">
        <v>85360.38</v>
      </c>
      <c r="AH17" s="20">
        <v>35085.4</v>
      </c>
      <c r="AI17" s="20">
        <v>273638.51</v>
      </c>
      <c r="AJ17" s="21">
        <v>3709830.92</v>
      </c>
      <c r="AK17" s="19">
        <v>220805.46</v>
      </c>
      <c r="AL17" s="19">
        <v>0</v>
      </c>
      <c r="AM17" s="22">
        <v>220805.46</v>
      </c>
      <c r="AN17" s="22">
        <v>3930636.38</v>
      </c>
      <c r="AO17" s="3"/>
    </row>
    <row r="18" spans="1:41" ht="45">
      <c r="A18" s="3" t="s">
        <v>71</v>
      </c>
      <c r="B18" s="3" t="s">
        <v>63</v>
      </c>
      <c r="C18" s="3" t="s">
        <v>48</v>
      </c>
      <c r="D18" s="12">
        <v>26</v>
      </c>
      <c r="E18" s="12">
        <v>25.6</v>
      </c>
      <c r="F18" s="12">
        <v>47</v>
      </c>
      <c r="G18" s="12">
        <v>46.4</v>
      </c>
      <c r="H18" s="12">
        <v>14</v>
      </c>
      <c r="I18" s="12">
        <v>13.6</v>
      </c>
      <c r="J18" s="12">
        <v>6</v>
      </c>
      <c r="K18" s="12">
        <v>6</v>
      </c>
      <c r="L18" s="12">
        <v>1</v>
      </c>
      <c r="M18" s="12">
        <v>1</v>
      </c>
      <c r="N18" s="12">
        <v>1</v>
      </c>
      <c r="O18" s="12">
        <v>0.4</v>
      </c>
      <c r="P18" s="13">
        <v>95</v>
      </c>
      <c r="Q18" s="13">
        <v>93</v>
      </c>
      <c r="R18" s="12">
        <v>0</v>
      </c>
      <c r="S18" s="12">
        <v>0</v>
      </c>
      <c r="T18" s="12">
        <v>0</v>
      </c>
      <c r="U18" s="12">
        <v>0</v>
      </c>
      <c r="V18" s="12">
        <v>0</v>
      </c>
      <c r="W18" s="12">
        <v>0</v>
      </c>
      <c r="X18" s="12">
        <v>0</v>
      </c>
      <c r="Y18" s="12">
        <v>0</v>
      </c>
      <c r="Z18" s="14">
        <v>0</v>
      </c>
      <c r="AA18" s="14">
        <v>0</v>
      </c>
      <c r="AB18" s="4">
        <v>95</v>
      </c>
      <c r="AC18" s="4">
        <v>93</v>
      </c>
      <c r="AD18" s="20">
        <v>188913.24</v>
      </c>
      <c r="AE18" s="20">
        <v>20729.46</v>
      </c>
      <c r="AF18" s="20">
        <v>0</v>
      </c>
      <c r="AG18" s="20">
        <v>1118.77</v>
      </c>
      <c r="AH18" s="20">
        <v>36200.76</v>
      </c>
      <c r="AI18" s="20">
        <v>17174.34</v>
      </c>
      <c r="AJ18" s="21">
        <v>264136.57</v>
      </c>
      <c r="AK18" s="19">
        <v>20504.38</v>
      </c>
      <c r="AL18" s="19">
        <v>0</v>
      </c>
      <c r="AM18" s="22">
        <v>20504.38</v>
      </c>
      <c r="AN18" s="22">
        <v>284640.95</v>
      </c>
      <c r="AO18" s="3"/>
    </row>
    <row r="19" spans="1:41" ht="195">
      <c r="A19" s="3" t="s">
        <v>72</v>
      </c>
      <c r="B19" s="3" t="s">
        <v>63</v>
      </c>
      <c r="C19" s="3" t="s">
        <v>48</v>
      </c>
      <c r="D19" s="12">
        <v>0</v>
      </c>
      <c r="E19" s="12">
        <v>0</v>
      </c>
      <c r="F19" s="12">
        <v>0</v>
      </c>
      <c r="G19" s="12">
        <v>0</v>
      </c>
      <c r="H19" s="12">
        <v>0</v>
      </c>
      <c r="I19" s="12">
        <v>0</v>
      </c>
      <c r="J19" s="12">
        <v>0</v>
      </c>
      <c r="K19" s="12">
        <v>0</v>
      </c>
      <c r="L19" s="12">
        <v>0</v>
      </c>
      <c r="M19" s="12">
        <v>0</v>
      </c>
      <c r="N19" s="12">
        <v>20042</v>
      </c>
      <c r="O19" s="12">
        <v>18140</v>
      </c>
      <c r="P19" s="13">
        <v>20042</v>
      </c>
      <c r="Q19" s="13">
        <v>18140</v>
      </c>
      <c r="R19" s="12">
        <v>1470</v>
      </c>
      <c r="S19" s="12">
        <v>1470</v>
      </c>
      <c r="T19" s="12">
        <v>2</v>
      </c>
      <c r="U19" s="12">
        <v>2</v>
      </c>
      <c r="V19" s="12">
        <v>0</v>
      </c>
      <c r="W19" s="12">
        <v>0</v>
      </c>
      <c r="X19" s="12">
        <v>0</v>
      </c>
      <c r="Y19" s="12">
        <v>0</v>
      </c>
      <c r="Z19" s="14">
        <v>1472</v>
      </c>
      <c r="AA19" s="14">
        <v>1472</v>
      </c>
      <c r="AB19" s="4">
        <v>21514</v>
      </c>
      <c r="AC19" s="4">
        <v>19612</v>
      </c>
      <c r="AD19" s="23" t="s">
        <v>90</v>
      </c>
      <c r="AE19" s="23" t="s">
        <v>90</v>
      </c>
      <c r="AF19" s="23" t="s">
        <v>90</v>
      </c>
      <c r="AG19" s="23" t="s">
        <v>90</v>
      </c>
      <c r="AH19" s="23" t="s">
        <v>90</v>
      </c>
      <c r="AI19" s="23" t="s">
        <v>90</v>
      </c>
      <c r="AJ19" s="23" t="s">
        <v>90</v>
      </c>
      <c r="AK19" s="23" t="s">
        <v>90</v>
      </c>
      <c r="AL19" s="23" t="s">
        <v>90</v>
      </c>
      <c r="AM19" s="23" t="s">
        <v>90</v>
      </c>
      <c r="AN19" s="23" t="s">
        <v>90</v>
      </c>
      <c r="AO19" s="3" t="s">
        <v>89</v>
      </c>
    </row>
    <row r="20" spans="1:41" ht="45">
      <c r="A20" s="3" t="s">
        <v>74</v>
      </c>
      <c r="B20" s="3" t="s">
        <v>63</v>
      </c>
      <c r="C20" s="3" t="s">
        <v>48</v>
      </c>
      <c r="D20" s="12">
        <v>19</v>
      </c>
      <c r="E20" s="12">
        <v>16.95</v>
      </c>
      <c r="F20" s="12">
        <v>39</v>
      </c>
      <c r="G20" s="12">
        <v>37.77</v>
      </c>
      <c r="H20" s="12">
        <v>112</v>
      </c>
      <c r="I20" s="12">
        <v>110.94</v>
      </c>
      <c r="J20" s="12">
        <v>38</v>
      </c>
      <c r="K20" s="12">
        <v>37.1</v>
      </c>
      <c r="L20" s="12">
        <v>4</v>
      </c>
      <c r="M20" s="12">
        <v>3.6</v>
      </c>
      <c r="N20" s="12">
        <v>9</v>
      </c>
      <c r="O20" s="12">
        <v>9</v>
      </c>
      <c r="P20" s="13">
        <v>221</v>
      </c>
      <c r="Q20" s="13">
        <v>215.36</v>
      </c>
      <c r="R20" s="12">
        <v>7</v>
      </c>
      <c r="S20" s="12">
        <v>7</v>
      </c>
      <c r="T20" s="12">
        <v>0</v>
      </c>
      <c r="U20" s="12">
        <v>0</v>
      </c>
      <c r="V20" s="12">
        <v>5</v>
      </c>
      <c r="W20" s="12">
        <v>4.8</v>
      </c>
      <c r="X20" s="12">
        <v>0</v>
      </c>
      <c r="Y20" s="12">
        <v>0</v>
      </c>
      <c r="Z20" s="14">
        <v>12</v>
      </c>
      <c r="AA20" s="14">
        <v>11.8</v>
      </c>
      <c r="AB20" s="4">
        <v>233</v>
      </c>
      <c r="AC20" s="4">
        <v>227.16</v>
      </c>
      <c r="AD20" s="20">
        <v>628993.98</v>
      </c>
      <c r="AE20" s="20">
        <v>53918.63</v>
      </c>
      <c r="AF20" s="20">
        <v>15000</v>
      </c>
      <c r="AG20" s="20">
        <v>6052.72</v>
      </c>
      <c r="AH20" s="20">
        <v>120667.34</v>
      </c>
      <c r="AI20" s="20">
        <v>67477.29</v>
      </c>
      <c r="AJ20" s="21">
        <v>892109.96</v>
      </c>
      <c r="AK20" s="19">
        <v>180372.1</v>
      </c>
      <c r="AL20" s="19">
        <v>0</v>
      </c>
      <c r="AM20" s="22">
        <v>180372.1</v>
      </c>
      <c r="AN20" s="22">
        <v>1072482.06</v>
      </c>
      <c r="AO20" s="3"/>
    </row>
    <row r="21" spans="1:41" ht="15">
      <c r="A21" s="3"/>
      <c r="B21" s="3"/>
      <c r="C21" s="3"/>
      <c r="D21" s="12">
        <v>52307</v>
      </c>
      <c r="E21" s="12">
        <v>48786.29658357889</v>
      </c>
      <c r="F21" s="12">
        <v>12417</v>
      </c>
      <c r="G21" s="12">
        <v>11798.813270914943</v>
      </c>
      <c r="H21" s="12">
        <v>8789</v>
      </c>
      <c r="I21" s="12">
        <v>8287.713343160902</v>
      </c>
      <c r="J21" s="12">
        <v>2411</v>
      </c>
      <c r="K21" s="12">
        <v>2346.2741463414636</v>
      </c>
      <c r="L21" s="12">
        <v>240</v>
      </c>
      <c r="M21" s="12">
        <v>230.8080487804878</v>
      </c>
      <c r="N21" s="12">
        <v>20503</v>
      </c>
      <c r="O21" s="12">
        <v>18570.73</v>
      </c>
      <c r="P21" s="13">
        <v>96667</v>
      </c>
      <c r="Q21" s="13">
        <v>90020.63539277669</v>
      </c>
      <c r="R21" s="12">
        <v>2304.1</v>
      </c>
      <c r="S21" s="12">
        <v>2445.86</v>
      </c>
      <c r="T21" s="12">
        <v>10</v>
      </c>
      <c r="U21" s="12">
        <v>10</v>
      </c>
      <c r="V21" s="12">
        <v>219</v>
      </c>
      <c r="W21" s="12">
        <v>212.5</v>
      </c>
      <c r="X21" s="12">
        <v>0</v>
      </c>
      <c r="Y21" s="12">
        <v>0</v>
      </c>
      <c r="Z21" s="14">
        <v>2533.1</v>
      </c>
      <c r="AA21" s="14">
        <v>2668.36</v>
      </c>
      <c r="AB21" s="4">
        <v>99200.1</v>
      </c>
      <c r="AC21" s="4">
        <v>92688.99539277669</v>
      </c>
      <c r="AD21" s="20">
        <v>157787799.91999996</v>
      </c>
      <c r="AE21" s="20">
        <v>887158.45</v>
      </c>
      <c r="AF21" s="20">
        <v>105138.99</v>
      </c>
      <c r="AG21" s="20">
        <v>5902542.71</v>
      </c>
      <c r="AH21" s="20">
        <v>28513701.910000004</v>
      </c>
      <c r="AI21" s="20">
        <v>12850090.660000006</v>
      </c>
      <c r="AJ21" s="21">
        <f>SUM(AJ7:AJ20)</f>
        <v>207565438.79999995</v>
      </c>
      <c r="AK21" s="19">
        <v>5375087.2299999995</v>
      </c>
      <c r="AL21" s="19">
        <v>642927.93</v>
      </c>
      <c r="AM21" s="22">
        <v>6018015.159999999</v>
      </c>
      <c r="AN21" s="22">
        <f>SUM(AN7:AN20)</f>
        <v>213583453.95999995</v>
      </c>
      <c r="AO21" s="3"/>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row r="101" spans="1:41" ht="15">
      <c r="A101" s="3"/>
      <c r="B101" s="3"/>
      <c r="C101" s="3"/>
      <c r="D101" s="12"/>
      <c r="E101" s="12"/>
      <c r="F101" s="12"/>
      <c r="G101" s="12"/>
      <c r="H101" s="12"/>
      <c r="I101" s="12"/>
      <c r="J101" s="12"/>
      <c r="K101" s="12"/>
      <c r="L101" s="12"/>
      <c r="M101" s="12"/>
      <c r="N101" s="12"/>
      <c r="O101" s="12"/>
      <c r="P101" s="13"/>
      <c r="Q101" s="13"/>
      <c r="R101" s="12"/>
      <c r="S101" s="12"/>
      <c r="T101" s="12"/>
      <c r="U101" s="12"/>
      <c r="V101" s="12"/>
      <c r="W101" s="12"/>
      <c r="X101" s="12"/>
      <c r="Y101" s="12"/>
      <c r="Z101" s="14"/>
      <c r="AA101" s="14"/>
      <c r="AB101" s="4"/>
      <c r="AC101" s="4"/>
      <c r="AD101" s="6"/>
      <c r="AE101" s="6"/>
      <c r="AF101" s="6"/>
      <c r="AG101" s="6"/>
      <c r="AH101" s="6"/>
      <c r="AI101" s="6"/>
      <c r="AJ101" s="7"/>
      <c r="AK101" s="5"/>
      <c r="AL101" s="5"/>
      <c r="AM101" s="8"/>
      <c r="AN101" s="8"/>
      <c r="AO101" s="9"/>
    </row>
    <row r="102" spans="1:41" ht="15">
      <c r="A102" s="3"/>
      <c r="B102" s="3"/>
      <c r="C102" s="3"/>
      <c r="D102" s="12"/>
      <c r="E102" s="12"/>
      <c r="F102" s="12"/>
      <c r="G102" s="12"/>
      <c r="H102" s="12"/>
      <c r="I102" s="12"/>
      <c r="J102" s="12"/>
      <c r="K102" s="12"/>
      <c r="L102" s="12"/>
      <c r="M102" s="12"/>
      <c r="N102" s="12"/>
      <c r="O102" s="12"/>
      <c r="P102" s="13"/>
      <c r="Q102" s="13"/>
      <c r="R102" s="12"/>
      <c r="S102" s="12"/>
      <c r="T102" s="12"/>
      <c r="U102" s="12"/>
      <c r="V102" s="12"/>
      <c r="W102" s="12"/>
      <c r="X102" s="12"/>
      <c r="Y102" s="12"/>
      <c r="Z102" s="14"/>
      <c r="AA102" s="14"/>
      <c r="AB102" s="4"/>
      <c r="AC102" s="4"/>
      <c r="AD102" s="6"/>
      <c r="AE102" s="6"/>
      <c r="AF102" s="6"/>
      <c r="AG102" s="6"/>
      <c r="AH102" s="6"/>
      <c r="AI102" s="6"/>
      <c r="AJ102" s="7"/>
      <c r="AK102" s="5"/>
      <c r="AL102" s="5"/>
      <c r="AM102" s="8"/>
      <c r="AN102" s="8"/>
      <c r="AO102" s="9"/>
    </row>
    <row r="103" spans="1:41" ht="15">
      <c r="A103" s="3"/>
      <c r="B103" s="3"/>
      <c r="C103" s="3"/>
      <c r="D103" s="12"/>
      <c r="E103" s="12"/>
      <c r="F103" s="12"/>
      <c r="G103" s="12"/>
      <c r="H103" s="12"/>
      <c r="I103" s="12"/>
      <c r="J103" s="12"/>
      <c r="K103" s="12"/>
      <c r="L103" s="12"/>
      <c r="M103" s="12"/>
      <c r="N103" s="12"/>
      <c r="O103" s="12"/>
      <c r="P103" s="13"/>
      <c r="Q103" s="13"/>
      <c r="R103" s="12"/>
      <c r="S103" s="12"/>
      <c r="T103" s="12"/>
      <c r="U103" s="12"/>
      <c r="V103" s="12"/>
      <c r="W103" s="12"/>
      <c r="X103" s="12"/>
      <c r="Y103" s="12"/>
      <c r="Z103" s="14"/>
      <c r="AA103" s="14"/>
      <c r="AB103" s="4"/>
      <c r="AC103" s="4"/>
      <c r="AD103" s="6"/>
      <c r="AE103" s="6"/>
      <c r="AF103" s="6"/>
      <c r="AG103" s="6"/>
      <c r="AH103" s="6"/>
      <c r="AI103" s="6"/>
      <c r="AJ103" s="7"/>
      <c r="AK103" s="5"/>
      <c r="AL103" s="5"/>
      <c r="AM103" s="8"/>
      <c r="AN103" s="8"/>
      <c r="AO103" s="9"/>
    </row>
  </sheetData>
  <mergeCells count="32">
    <mergeCell ref="AJ5:AJ6"/>
    <mergeCell ref="AK5:AK6"/>
    <mergeCell ref="AL5:AL6"/>
    <mergeCell ref="AM5:AM6"/>
    <mergeCell ref="AF5:AF6"/>
    <mergeCell ref="AG5:AG6"/>
    <mergeCell ref="AH5:AH6"/>
    <mergeCell ref="AI5:AI6"/>
    <mergeCell ref="AN4:AN6"/>
    <mergeCell ref="AO4:AO6"/>
    <mergeCell ref="D5:E5"/>
    <mergeCell ref="F5:G5"/>
    <mergeCell ref="H5:I5"/>
    <mergeCell ref="J5:K5"/>
    <mergeCell ref="L5:M5"/>
    <mergeCell ref="N5:O5"/>
    <mergeCell ref="P5:Q5"/>
    <mergeCell ref="R5:S5"/>
    <mergeCell ref="R4:AA4"/>
    <mergeCell ref="AB4:AC5"/>
    <mergeCell ref="AD4:AJ4"/>
    <mergeCell ref="AK4:AM4"/>
    <mergeCell ref="T5:U5"/>
    <mergeCell ref="V5:W5"/>
    <mergeCell ref="X5:Y5"/>
    <mergeCell ref="Z5:AA5"/>
    <mergeCell ref="AD5:AD6"/>
    <mergeCell ref="AE5:AE6"/>
    <mergeCell ref="A4:A6"/>
    <mergeCell ref="B4:B6"/>
    <mergeCell ref="C4:C6"/>
    <mergeCell ref="D4:Q4"/>
  </mergeCells>
  <conditionalFormatting sqref="B7:B103">
    <cfRule type="expression" priority="1" dxfId="22" stopIfTrue="1">
      <formula>AND(NOT(ISBLANK($A7)),ISBLANK(B7))</formula>
    </cfRule>
  </conditionalFormatting>
  <conditionalFormatting sqref="C7:C103">
    <cfRule type="expression" priority="2" dxfId="22" stopIfTrue="1">
      <formula>AND(NOT(ISBLANK(A7)),ISBLANK(C7))</formula>
    </cfRule>
  </conditionalFormatting>
  <conditionalFormatting sqref="D7:D103 F7:F103 H7:H103 J7:J103 L7:L103 N7:N103 T8:Z8 V9:V103 X9:X103 AD19:AN19 X7 V7 T7 T9:T103 R7:R103">
    <cfRule type="expression" priority="3" dxfId="22" stopIfTrue="1">
      <formula>AND(NOT(ISBLANK(E7)),ISBLANK(D7))</formula>
    </cfRule>
  </conditionalFormatting>
  <conditionalFormatting sqref="E7:E103 G7:G103 I7:I103 K7:K103 M7:M103 O7:O103 S7:S103 W9:W103 Y9:Y103 Y7 W7 U7 U9:U103">
    <cfRule type="expression" priority="4" dxfId="22" stopIfTrue="1">
      <formula>AND(NOT(ISBLANK(D7)),ISBLANK(E7))</formula>
    </cfRule>
  </conditionalFormatting>
  <dataValidations count="4">
    <dataValidation type="decimal" operator="greaterThan" allowBlank="1" showInputMessage="1" showErrorMessage="1" sqref="AK20:AL103 AK7:AL18 AD7:AI18 AD20:AI103">
      <formula1>0</formula1>
    </dataValidation>
    <dataValidation operator="lessThanOrEqual" allowBlank="1" showInputMessage="1" showErrorMessage="1" error="FTE cannot be greater than Headcount&#10;" sqref="AP1:IV65536 R104:AN65536 AO4 AO7:AO65536 R4 A4:C4 P5 A104:O65536 P7:Q65536 AB6:AC103 AB4"/>
    <dataValidation type="custom" allowBlank="1" showInputMessage="1" showErrorMessage="1" errorTitle="Headcount" error="The value entered in the headcount field must be greater than or equal to the value entered in the FTE field." sqref="F7:F103 H7:H103 J7:J103 L7:L103 N7:N103 AD19:AN19 Y8:Z8 D7:D103 X7:X103 V7:V103 T7:T103 U8 W8 R7:R103">
      <formula1>F7&gt;=G7</formula1>
    </dataValidation>
    <dataValidation type="custom" allowBlank="1" showInputMessage="1" showErrorMessage="1" errorTitle="FTE" error="The value entered in the FTE field must be less than or equal to the value entered in the headcount field." sqref="M7:M103 G7:G103 I7:I103 K7:K103 O7:O103 W9:W103 Y9:Y103 E7:E103 S7:S103 Y7 W7 U7 U9:U103">
      <formula1>M7&lt;=L7</formula1>
    </dataValidation>
  </dataValidation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AO103"/>
  <sheetViews>
    <sheetView zoomScale="70" zoomScaleNormal="70" workbookViewId="0" topLeftCell="A1">
      <selection activeCell="A1" sqref="A1"/>
    </sheetView>
  </sheetViews>
  <sheetFormatPr defaultColWidth="8.88671875" defaultRowHeight="15"/>
  <cols>
    <col min="1" max="1" width="23.5546875" style="2" customWidth="1"/>
    <col min="2" max="3" width="14.99609375" style="2" customWidth="1"/>
    <col min="4"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ht="15">
      <c r="A1" s="2" t="s">
        <v>92</v>
      </c>
    </row>
    <row r="2" ht="15">
      <c r="A2" s="24" t="s">
        <v>93</v>
      </c>
    </row>
    <row r="3" ht="15">
      <c r="A3" s="24" t="s">
        <v>94</v>
      </c>
    </row>
    <row r="4" spans="1:41" s="1" customFormat="1" ht="15" customHeight="1">
      <c r="A4" s="387" t="s">
        <v>26</v>
      </c>
      <c r="B4" s="387" t="s">
        <v>15</v>
      </c>
      <c r="C4" s="387" t="s">
        <v>14</v>
      </c>
      <c r="D4" s="390" t="s">
        <v>22</v>
      </c>
      <c r="E4" s="391"/>
      <c r="F4" s="391"/>
      <c r="G4" s="391"/>
      <c r="H4" s="391"/>
      <c r="I4" s="391"/>
      <c r="J4" s="391"/>
      <c r="K4" s="391"/>
      <c r="L4" s="391"/>
      <c r="M4" s="391"/>
      <c r="N4" s="391"/>
      <c r="O4" s="391"/>
      <c r="P4" s="391"/>
      <c r="Q4" s="392"/>
      <c r="R4" s="393" t="s">
        <v>29</v>
      </c>
      <c r="S4" s="394"/>
      <c r="T4" s="394"/>
      <c r="U4" s="394"/>
      <c r="V4" s="394"/>
      <c r="W4" s="394"/>
      <c r="X4" s="394"/>
      <c r="Y4" s="394"/>
      <c r="Z4" s="394"/>
      <c r="AA4" s="395"/>
      <c r="AB4" s="396" t="s">
        <v>39</v>
      </c>
      <c r="AC4" s="397"/>
      <c r="AD4" s="400" t="s">
        <v>25</v>
      </c>
      <c r="AE4" s="401"/>
      <c r="AF4" s="401"/>
      <c r="AG4" s="401"/>
      <c r="AH4" s="401"/>
      <c r="AI4" s="401"/>
      <c r="AJ4" s="402"/>
      <c r="AK4" s="385" t="s">
        <v>46</v>
      </c>
      <c r="AL4" s="385"/>
      <c r="AM4" s="385"/>
      <c r="AN4" s="404" t="s">
        <v>38</v>
      </c>
      <c r="AO4" s="387" t="s">
        <v>47</v>
      </c>
    </row>
    <row r="5" spans="1:41" s="1" customFormat="1" ht="53.25" customHeight="1">
      <c r="A5" s="388"/>
      <c r="B5" s="388"/>
      <c r="C5" s="388"/>
      <c r="D5" s="408" t="s">
        <v>42</v>
      </c>
      <c r="E5" s="409"/>
      <c r="F5" s="408" t="s">
        <v>43</v>
      </c>
      <c r="G5" s="409"/>
      <c r="H5" s="408" t="s">
        <v>44</v>
      </c>
      <c r="I5" s="409"/>
      <c r="J5" s="408" t="s">
        <v>20</v>
      </c>
      <c r="K5" s="409"/>
      <c r="L5" s="408" t="s">
        <v>45</v>
      </c>
      <c r="M5" s="409"/>
      <c r="N5" s="408" t="s">
        <v>19</v>
      </c>
      <c r="O5" s="409"/>
      <c r="P5" s="390" t="s">
        <v>23</v>
      </c>
      <c r="Q5" s="392"/>
      <c r="R5" s="390" t="s">
        <v>27</v>
      </c>
      <c r="S5" s="395"/>
      <c r="T5" s="393" t="s">
        <v>17</v>
      </c>
      <c r="U5" s="395"/>
      <c r="V5" s="393" t="s">
        <v>18</v>
      </c>
      <c r="W5" s="395"/>
      <c r="X5" s="393" t="s">
        <v>28</v>
      </c>
      <c r="Y5" s="395"/>
      <c r="Z5" s="390" t="s">
        <v>24</v>
      </c>
      <c r="AA5" s="392"/>
      <c r="AB5" s="398"/>
      <c r="AC5" s="399"/>
      <c r="AD5" s="387" t="s">
        <v>31</v>
      </c>
      <c r="AE5" s="387" t="s">
        <v>30</v>
      </c>
      <c r="AF5" s="387" t="s">
        <v>32</v>
      </c>
      <c r="AG5" s="387" t="s">
        <v>33</v>
      </c>
      <c r="AH5" s="387" t="s">
        <v>34</v>
      </c>
      <c r="AI5" s="387" t="s">
        <v>35</v>
      </c>
      <c r="AJ5" s="383" t="s">
        <v>37</v>
      </c>
      <c r="AK5" s="387" t="s">
        <v>40</v>
      </c>
      <c r="AL5" s="387" t="s">
        <v>41</v>
      </c>
      <c r="AM5" s="387" t="s">
        <v>36</v>
      </c>
      <c r="AN5" s="405"/>
      <c r="AO5" s="407"/>
    </row>
    <row r="6" spans="1:41" ht="57.75" customHeight="1">
      <c r="A6" s="389"/>
      <c r="B6" s="389"/>
      <c r="C6" s="389"/>
      <c r="D6" s="10" t="s">
        <v>16</v>
      </c>
      <c r="E6" s="10" t="s">
        <v>21</v>
      </c>
      <c r="F6" s="10" t="s">
        <v>16</v>
      </c>
      <c r="G6" s="10" t="s">
        <v>21</v>
      </c>
      <c r="H6" s="10" t="s">
        <v>16</v>
      </c>
      <c r="I6" s="10" t="s">
        <v>21</v>
      </c>
      <c r="J6" s="10" t="s">
        <v>16</v>
      </c>
      <c r="K6" s="10" t="s">
        <v>21</v>
      </c>
      <c r="L6" s="10" t="s">
        <v>16</v>
      </c>
      <c r="M6" s="10" t="s">
        <v>21</v>
      </c>
      <c r="N6" s="10" t="s">
        <v>16</v>
      </c>
      <c r="O6" s="10" t="s">
        <v>21</v>
      </c>
      <c r="P6" s="10" t="s">
        <v>16</v>
      </c>
      <c r="Q6" s="10" t="s">
        <v>21</v>
      </c>
      <c r="R6" s="11" t="s">
        <v>16</v>
      </c>
      <c r="S6" s="11" t="s">
        <v>21</v>
      </c>
      <c r="T6" s="11" t="s">
        <v>16</v>
      </c>
      <c r="U6" s="11" t="s">
        <v>21</v>
      </c>
      <c r="V6" s="11" t="s">
        <v>16</v>
      </c>
      <c r="W6" s="11" t="s">
        <v>21</v>
      </c>
      <c r="X6" s="11" t="s">
        <v>16</v>
      </c>
      <c r="Y6" s="11" t="s">
        <v>21</v>
      </c>
      <c r="Z6" s="11" t="s">
        <v>16</v>
      </c>
      <c r="AA6" s="11" t="s">
        <v>21</v>
      </c>
      <c r="AB6" s="17" t="s">
        <v>16</v>
      </c>
      <c r="AC6" s="16" t="s">
        <v>21</v>
      </c>
      <c r="AD6" s="403"/>
      <c r="AE6" s="403"/>
      <c r="AF6" s="403"/>
      <c r="AG6" s="403"/>
      <c r="AH6" s="403"/>
      <c r="AI6" s="403"/>
      <c r="AJ6" s="383"/>
      <c r="AK6" s="403"/>
      <c r="AL6" s="403"/>
      <c r="AM6" s="403"/>
      <c r="AN6" s="406"/>
      <c r="AO6" s="403"/>
    </row>
    <row r="7" spans="1:41" ht="30">
      <c r="A7" s="3" t="s">
        <v>48</v>
      </c>
      <c r="B7" s="3" t="s">
        <v>49</v>
      </c>
      <c r="C7" s="3" t="s">
        <v>48</v>
      </c>
      <c r="D7" s="12">
        <v>1066</v>
      </c>
      <c r="E7" s="12">
        <v>997.23</v>
      </c>
      <c r="F7" s="12">
        <v>824</v>
      </c>
      <c r="G7" s="12">
        <v>791.23</v>
      </c>
      <c r="H7" s="12">
        <v>1607</v>
      </c>
      <c r="I7" s="12">
        <v>1558.39</v>
      </c>
      <c r="J7" s="12">
        <v>809</v>
      </c>
      <c r="K7" s="12">
        <v>782.74</v>
      </c>
      <c r="L7" s="12">
        <v>123</v>
      </c>
      <c r="M7" s="12">
        <v>120.33</v>
      </c>
      <c r="N7" s="12">
        <v>0</v>
      </c>
      <c r="O7" s="12">
        <v>0</v>
      </c>
      <c r="P7" s="13">
        <v>4429</v>
      </c>
      <c r="Q7" s="13">
        <v>4249.92</v>
      </c>
      <c r="R7" s="12">
        <v>220</v>
      </c>
      <c r="S7" s="12">
        <v>215.85</v>
      </c>
      <c r="T7" s="12">
        <v>8</v>
      </c>
      <c r="U7" s="12">
        <v>8</v>
      </c>
      <c r="V7" s="12">
        <v>187</v>
      </c>
      <c r="W7" s="12">
        <v>185.5</v>
      </c>
      <c r="X7" s="12">
        <v>0</v>
      </c>
      <c r="Y7" s="12">
        <v>0</v>
      </c>
      <c r="Z7" s="14">
        <v>415</v>
      </c>
      <c r="AA7" s="14">
        <v>409.35</v>
      </c>
      <c r="AB7" s="4">
        <v>4844</v>
      </c>
      <c r="AC7" s="4">
        <v>4659.27</v>
      </c>
      <c r="AD7" s="19">
        <v>12917991.579999998</v>
      </c>
      <c r="AE7" s="20">
        <v>210943.28</v>
      </c>
      <c r="AF7" s="20">
        <v>64638.24</v>
      </c>
      <c r="AG7" s="20">
        <v>97350.39</v>
      </c>
      <c r="AH7" s="20">
        <v>2377417.71</v>
      </c>
      <c r="AI7" s="20">
        <v>1041495.6</v>
      </c>
      <c r="AJ7" s="21">
        <v>16709836.8</v>
      </c>
      <c r="AK7" s="19">
        <v>2217718.59</v>
      </c>
      <c r="AL7" s="19">
        <v>492264.63</v>
      </c>
      <c r="AM7" s="22">
        <v>2709983.22</v>
      </c>
      <c r="AN7" s="22">
        <f>SUM(AJ7,AM7)</f>
        <v>19419820.02</v>
      </c>
      <c r="AO7" s="18"/>
    </row>
    <row r="8" spans="1:41" ht="30">
      <c r="A8" s="3" t="s">
        <v>76</v>
      </c>
      <c r="B8" s="3" t="s">
        <v>51</v>
      </c>
      <c r="C8" s="3" t="s">
        <v>48</v>
      </c>
      <c r="D8" s="12">
        <v>14500</v>
      </c>
      <c r="E8" s="12">
        <v>12654.44</v>
      </c>
      <c r="F8" s="12">
        <v>3752</v>
      </c>
      <c r="G8" s="12">
        <v>3489.86</v>
      </c>
      <c r="H8" s="12">
        <v>3004</v>
      </c>
      <c r="I8" s="12">
        <v>2798.35</v>
      </c>
      <c r="J8" s="12">
        <v>717</v>
      </c>
      <c r="K8" s="12">
        <v>700.76</v>
      </c>
      <c r="L8" s="12">
        <v>38</v>
      </c>
      <c r="M8" s="12">
        <v>37.92</v>
      </c>
      <c r="N8" s="12">
        <v>0</v>
      </c>
      <c r="O8" s="12">
        <v>0</v>
      </c>
      <c r="P8" s="13">
        <v>22011</v>
      </c>
      <c r="Q8" s="13">
        <v>19681.33</v>
      </c>
      <c r="R8" s="23" t="s">
        <v>90</v>
      </c>
      <c r="S8" s="12">
        <v>204.58</v>
      </c>
      <c r="T8" s="12">
        <v>0</v>
      </c>
      <c r="U8" s="12">
        <v>0</v>
      </c>
      <c r="V8" s="12">
        <v>0</v>
      </c>
      <c r="W8" s="12">
        <v>0</v>
      </c>
      <c r="X8" s="12">
        <v>0</v>
      </c>
      <c r="Y8" s="12">
        <v>0</v>
      </c>
      <c r="Z8" s="14">
        <v>0</v>
      </c>
      <c r="AA8" s="14">
        <v>204.58</v>
      </c>
      <c r="AB8" s="4">
        <v>22011</v>
      </c>
      <c r="AC8" s="4">
        <v>19885.91</v>
      </c>
      <c r="AD8" s="20">
        <v>37953427.04</v>
      </c>
      <c r="AE8" s="20">
        <v>526028.15</v>
      </c>
      <c r="AF8" s="20">
        <v>27223.83</v>
      </c>
      <c r="AG8" s="20">
        <v>270225.75</v>
      </c>
      <c r="AH8" s="20">
        <v>6657062.890000001</v>
      </c>
      <c r="AI8" s="20">
        <v>2559312.51</v>
      </c>
      <c r="AJ8" s="21">
        <v>47993280.169999994</v>
      </c>
      <c r="AK8" s="19">
        <v>596302.07</v>
      </c>
      <c r="AL8" s="19">
        <v>0</v>
      </c>
      <c r="AM8" s="22">
        <v>596302.07</v>
      </c>
      <c r="AN8" s="22">
        <v>48589582.239999995</v>
      </c>
      <c r="AO8" s="3"/>
    </row>
    <row r="9" spans="1:41" ht="15">
      <c r="A9" s="3" t="s">
        <v>55</v>
      </c>
      <c r="B9" s="3" t="s">
        <v>51</v>
      </c>
      <c r="C9" s="3" t="s">
        <v>48</v>
      </c>
      <c r="D9" s="12">
        <v>184</v>
      </c>
      <c r="E9" s="12">
        <v>164.37</v>
      </c>
      <c r="F9" s="12">
        <v>119</v>
      </c>
      <c r="G9" s="12">
        <v>115.08</v>
      </c>
      <c r="H9" s="12">
        <v>248</v>
      </c>
      <c r="I9" s="12">
        <v>240.97</v>
      </c>
      <c r="J9" s="12">
        <v>61</v>
      </c>
      <c r="K9" s="12">
        <v>60.16</v>
      </c>
      <c r="L9" s="12">
        <v>6</v>
      </c>
      <c r="M9" s="12">
        <v>6</v>
      </c>
      <c r="N9" s="12">
        <v>0</v>
      </c>
      <c r="O9" s="12">
        <v>0</v>
      </c>
      <c r="P9" s="13">
        <v>618</v>
      </c>
      <c r="Q9" s="13">
        <v>586.58</v>
      </c>
      <c r="R9" s="12">
        <v>7</v>
      </c>
      <c r="S9" s="12">
        <v>5.4</v>
      </c>
      <c r="T9" s="12">
        <v>0</v>
      </c>
      <c r="U9" s="12">
        <v>0</v>
      </c>
      <c r="V9" s="12">
        <v>7</v>
      </c>
      <c r="W9" s="12">
        <v>7</v>
      </c>
      <c r="X9" s="12">
        <v>0</v>
      </c>
      <c r="Y9" s="12">
        <v>0</v>
      </c>
      <c r="Z9" s="14">
        <v>14</v>
      </c>
      <c r="AA9" s="14">
        <v>12.4</v>
      </c>
      <c r="AB9" s="4">
        <v>632</v>
      </c>
      <c r="AC9" s="4">
        <v>598.98</v>
      </c>
      <c r="AD9" s="20">
        <v>1478432.6</v>
      </c>
      <c r="AE9" s="20">
        <v>5204.84</v>
      </c>
      <c r="AF9" s="20">
        <v>0</v>
      </c>
      <c r="AG9" s="20">
        <v>7910.85</v>
      </c>
      <c r="AH9" s="20">
        <v>267211.96</v>
      </c>
      <c r="AI9" s="20">
        <v>119954.47</v>
      </c>
      <c r="AJ9" s="21">
        <v>1878714.72</v>
      </c>
      <c r="AK9" s="19">
        <v>67054.9</v>
      </c>
      <c r="AL9" s="19">
        <v>4750</v>
      </c>
      <c r="AM9" s="22">
        <v>71804.9</v>
      </c>
      <c r="AN9" s="22">
        <v>1950519.62</v>
      </c>
      <c r="AO9" s="3"/>
    </row>
    <row r="10" spans="1:41" ht="30">
      <c r="A10" s="3" t="s">
        <v>56</v>
      </c>
      <c r="B10" s="3" t="s">
        <v>51</v>
      </c>
      <c r="C10" s="3" t="s">
        <v>48</v>
      </c>
      <c r="D10" s="12">
        <v>36217</v>
      </c>
      <c r="E10" s="12">
        <v>34676.988251585666</v>
      </c>
      <c r="F10" s="12">
        <v>7349</v>
      </c>
      <c r="G10" s="12">
        <v>7045.443006222488</v>
      </c>
      <c r="H10" s="12">
        <v>3337</v>
      </c>
      <c r="I10" s="12">
        <v>3113.3804163316354</v>
      </c>
      <c r="J10" s="12">
        <v>705</v>
      </c>
      <c r="K10" s="12">
        <v>686.0487804878048</v>
      </c>
      <c r="L10" s="12">
        <v>44</v>
      </c>
      <c r="M10" s="12">
        <v>44</v>
      </c>
      <c r="N10" s="12">
        <v>0</v>
      </c>
      <c r="O10" s="12">
        <v>0</v>
      </c>
      <c r="P10" s="13">
        <v>47652</v>
      </c>
      <c r="Q10" s="13">
        <v>45565.8604546276</v>
      </c>
      <c r="R10" s="12">
        <v>316</v>
      </c>
      <c r="S10" s="12">
        <v>316</v>
      </c>
      <c r="T10" s="12">
        <v>0</v>
      </c>
      <c r="U10" s="12">
        <v>0</v>
      </c>
      <c r="V10" s="12">
        <v>0</v>
      </c>
      <c r="W10" s="12">
        <v>0</v>
      </c>
      <c r="X10" s="12">
        <v>0</v>
      </c>
      <c r="Y10" s="12">
        <v>0</v>
      </c>
      <c r="Z10" s="14">
        <v>316</v>
      </c>
      <c r="AA10" s="14">
        <v>316</v>
      </c>
      <c r="AB10" s="4">
        <v>47968</v>
      </c>
      <c r="AC10" s="4">
        <v>45881.8604546276</v>
      </c>
      <c r="AD10" s="20">
        <v>102230883.64000009</v>
      </c>
      <c r="AE10" s="20">
        <v>0</v>
      </c>
      <c r="AF10" s="20">
        <v>0</v>
      </c>
      <c r="AG10" s="20">
        <v>881554.82</v>
      </c>
      <c r="AH10" s="20">
        <v>19370136.869999997</v>
      </c>
      <c r="AI10" s="20">
        <v>8880036.570000008</v>
      </c>
      <c r="AJ10" s="21">
        <v>131362611.90000008</v>
      </c>
      <c r="AK10" s="19">
        <v>1970796.02</v>
      </c>
      <c r="AL10" s="19">
        <v>0</v>
      </c>
      <c r="AM10" s="22">
        <v>1970796.02</v>
      </c>
      <c r="AN10" s="22">
        <v>133333407.92000008</v>
      </c>
      <c r="AO10" s="3"/>
    </row>
    <row r="11" spans="1:41" ht="30">
      <c r="A11" s="3" t="s">
        <v>58</v>
      </c>
      <c r="B11" s="3" t="s">
        <v>51</v>
      </c>
      <c r="C11" s="3" t="s">
        <v>48</v>
      </c>
      <c r="D11" s="12">
        <v>253</v>
      </c>
      <c r="E11" s="12">
        <v>235.07</v>
      </c>
      <c r="F11" s="12">
        <v>138</v>
      </c>
      <c r="G11" s="12">
        <v>132.09</v>
      </c>
      <c r="H11" s="12">
        <v>66</v>
      </c>
      <c r="I11" s="12">
        <v>64.8</v>
      </c>
      <c r="J11" s="12">
        <v>11</v>
      </c>
      <c r="K11" s="12">
        <v>10.74</v>
      </c>
      <c r="L11" s="12">
        <v>2</v>
      </c>
      <c r="M11" s="12">
        <v>1.78</v>
      </c>
      <c r="N11" s="12">
        <v>0</v>
      </c>
      <c r="O11" s="12">
        <v>0</v>
      </c>
      <c r="P11" s="13">
        <v>470</v>
      </c>
      <c r="Q11" s="13">
        <v>444.48</v>
      </c>
      <c r="R11" s="12">
        <v>238</v>
      </c>
      <c r="S11" s="12">
        <v>182.09</v>
      </c>
      <c r="T11" s="12">
        <v>0</v>
      </c>
      <c r="U11" s="12">
        <v>0</v>
      </c>
      <c r="V11" s="12">
        <v>0</v>
      </c>
      <c r="W11" s="12">
        <v>0</v>
      </c>
      <c r="X11" s="12">
        <v>0</v>
      </c>
      <c r="Y11" s="12">
        <v>0</v>
      </c>
      <c r="Z11" s="14">
        <v>238</v>
      </c>
      <c r="AA11" s="14">
        <v>182.09</v>
      </c>
      <c r="AB11" s="4">
        <v>708</v>
      </c>
      <c r="AC11" s="4">
        <v>626.57</v>
      </c>
      <c r="AD11" s="20">
        <v>959631.59</v>
      </c>
      <c r="AE11" s="20">
        <v>21446.66</v>
      </c>
      <c r="AF11" s="20">
        <v>650</v>
      </c>
      <c r="AG11" s="20">
        <v>27525.65</v>
      </c>
      <c r="AH11" s="20">
        <v>158040.15</v>
      </c>
      <c r="AI11" s="20">
        <v>72545.56</v>
      </c>
      <c r="AJ11" s="21">
        <v>1239839.61</v>
      </c>
      <c r="AK11" s="19">
        <v>374951.79</v>
      </c>
      <c r="AL11" s="19">
        <v>0</v>
      </c>
      <c r="AM11" s="22">
        <v>374951.79</v>
      </c>
      <c r="AN11" s="22">
        <v>1614791.4</v>
      </c>
      <c r="AO11" s="18"/>
    </row>
    <row r="12" spans="1:41" ht="135">
      <c r="A12" s="3" t="s">
        <v>60</v>
      </c>
      <c r="B12" s="3" t="s">
        <v>53</v>
      </c>
      <c r="C12" s="3" t="s">
        <v>48</v>
      </c>
      <c r="D12" s="12">
        <v>4</v>
      </c>
      <c r="E12" s="12">
        <v>4</v>
      </c>
      <c r="F12" s="12">
        <v>16</v>
      </c>
      <c r="G12" s="12">
        <v>16</v>
      </c>
      <c r="H12" s="12">
        <v>18</v>
      </c>
      <c r="I12" s="12">
        <v>17.8</v>
      </c>
      <c r="J12" s="12">
        <v>7</v>
      </c>
      <c r="K12" s="12">
        <v>6.47</v>
      </c>
      <c r="L12" s="12">
        <v>2</v>
      </c>
      <c r="M12" s="12">
        <v>2</v>
      </c>
      <c r="N12" s="12">
        <v>0</v>
      </c>
      <c r="O12" s="12">
        <v>0</v>
      </c>
      <c r="P12" s="13">
        <v>47</v>
      </c>
      <c r="Q12" s="13">
        <v>46.27</v>
      </c>
      <c r="R12" s="12">
        <v>0</v>
      </c>
      <c r="S12" s="12">
        <v>0</v>
      </c>
      <c r="T12" s="12">
        <v>0</v>
      </c>
      <c r="U12" s="12">
        <v>0</v>
      </c>
      <c r="V12" s="12">
        <v>0</v>
      </c>
      <c r="W12" s="12">
        <v>0</v>
      </c>
      <c r="X12" s="12">
        <v>0</v>
      </c>
      <c r="Y12" s="12">
        <v>0</v>
      </c>
      <c r="Z12" s="14">
        <v>0</v>
      </c>
      <c r="AA12" s="14">
        <v>0</v>
      </c>
      <c r="AB12" s="4">
        <v>47</v>
      </c>
      <c r="AC12" s="4">
        <v>46.27</v>
      </c>
      <c r="AD12" s="20">
        <v>132789.87</v>
      </c>
      <c r="AE12" s="20">
        <v>209.43</v>
      </c>
      <c r="AF12" s="20">
        <v>0</v>
      </c>
      <c r="AG12" s="20">
        <v>345.01</v>
      </c>
      <c r="AH12" s="20">
        <v>25925.46</v>
      </c>
      <c r="AI12" s="20">
        <v>11399.63</v>
      </c>
      <c r="AJ12" s="21">
        <v>170669.4</v>
      </c>
      <c r="AK12" s="19">
        <v>0</v>
      </c>
      <c r="AL12" s="19">
        <v>0</v>
      </c>
      <c r="AM12" s="22">
        <v>0</v>
      </c>
      <c r="AN12" s="22">
        <v>170669.4</v>
      </c>
      <c r="AO12" s="3" t="s">
        <v>85</v>
      </c>
    </row>
    <row r="13" spans="1:41" ht="210">
      <c r="A13" s="3" t="s">
        <v>62</v>
      </c>
      <c r="B13" s="3" t="s">
        <v>63</v>
      </c>
      <c r="C13" s="3" t="s">
        <v>48</v>
      </c>
      <c r="D13" s="12">
        <v>0</v>
      </c>
      <c r="E13" s="12">
        <v>0</v>
      </c>
      <c r="F13" s="12">
        <v>0</v>
      </c>
      <c r="G13" s="12">
        <v>0</v>
      </c>
      <c r="H13" s="12">
        <v>0</v>
      </c>
      <c r="I13" s="12">
        <v>0</v>
      </c>
      <c r="J13" s="12">
        <v>0</v>
      </c>
      <c r="K13" s="12">
        <v>0</v>
      </c>
      <c r="L13" s="12">
        <v>0</v>
      </c>
      <c r="M13" s="12">
        <v>0</v>
      </c>
      <c r="N13" s="12">
        <v>73</v>
      </c>
      <c r="O13" s="12">
        <v>66.96</v>
      </c>
      <c r="P13" s="13">
        <v>73</v>
      </c>
      <c r="Q13" s="13">
        <v>66.96</v>
      </c>
      <c r="R13" s="12">
        <v>3</v>
      </c>
      <c r="S13" s="12">
        <v>2.81</v>
      </c>
      <c r="T13" s="12">
        <v>0</v>
      </c>
      <c r="U13" s="12">
        <v>0</v>
      </c>
      <c r="V13" s="12">
        <v>0</v>
      </c>
      <c r="W13" s="12">
        <v>0</v>
      </c>
      <c r="X13" s="12">
        <v>0</v>
      </c>
      <c r="Y13" s="12">
        <v>0</v>
      </c>
      <c r="Z13" s="14">
        <v>3</v>
      </c>
      <c r="AA13" s="14">
        <v>2.81</v>
      </c>
      <c r="AB13" s="4">
        <v>76</v>
      </c>
      <c r="AC13" s="4">
        <v>69.77</v>
      </c>
      <c r="AD13" s="20">
        <v>191212</v>
      </c>
      <c r="AE13" s="20">
        <v>33</v>
      </c>
      <c r="AF13" s="20">
        <v>0</v>
      </c>
      <c r="AG13" s="20">
        <v>0</v>
      </c>
      <c r="AH13" s="20">
        <v>35726</v>
      </c>
      <c r="AI13" s="20">
        <v>15557</v>
      </c>
      <c r="AJ13" s="21">
        <v>242528</v>
      </c>
      <c r="AK13" s="19">
        <v>6675</v>
      </c>
      <c r="AL13" s="19">
        <v>0</v>
      </c>
      <c r="AM13" s="22">
        <v>6675</v>
      </c>
      <c r="AN13" s="22">
        <v>249203</v>
      </c>
      <c r="AO13" s="3" t="s">
        <v>64</v>
      </c>
    </row>
    <row r="14" spans="1:41" ht="45">
      <c r="A14" s="3" t="s">
        <v>66</v>
      </c>
      <c r="B14" s="3" t="s">
        <v>63</v>
      </c>
      <c r="C14" s="3" t="s">
        <v>48</v>
      </c>
      <c r="D14" s="12">
        <v>0</v>
      </c>
      <c r="E14" s="12">
        <v>0</v>
      </c>
      <c r="F14" s="12">
        <v>0</v>
      </c>
      <c r="G14" s="12">
        <v>0</v>
      </c>
      <c r="H14" s="12">
        <v>0</v>
      </c>
      <c r="I14" s="12">
        <v>0</v>
      </c>
      <c r="J14" s="12">
        <v>0</v>
      </c>
      <c r="K14" s="12">
        <v>0</v>
      </c>
      <c r="L14" s="12">
        <v>0</v>
      </c>
      <c r="M14" s="12">
        <v>0</v>
      </c>
      <c r="N14" s="12">
        <v>350</v>
      </c>
      <c r="O14" s="12">
        <v>324.15</v>
      </c>
      <c r="P14" s="13">
        <v>350</v>
      </c>
      <c r="Q14" s="13">
        <v>324.15</v>
      </c>
      <c r="R14" s="12">
        <v>4</v>
      </c>
      <c r="S14" s="12">
        <v>4</v>
      </c>
      <c r="T14" s="12">
        <v>0</v>
      </c>
      <c r="U14" s="12">
        <v>0</v>
      </c>
      <c r="V14" s="12">
        <v>0</v>
      </c>
      <c r="W14" s="12">
        <v>0</v>
      </c>
      <c r="X14" s="12">
        <v>0</v>
      </c>
      <c r="Y14" s="12">
        <v>0</v>
      </c>
      <c r="Z14" s="14">
        <v>4</v>
      </c>
      <c r="AA14" s="14">
        <v>4</v>
      </c>
      <c r="AB14" s="4">
        <v>354</v>
      </c>
      <c r="AC14" s="4">
        <v>328.15</v>
      </c>
      <c r="AD14" s="20">
        <v>710226.83</v>
      </c>
      <c r="AE14" s="20">
        <v>1009.32</v>
      </c>
      <c r="AF14" s="20">
        <v>0</v>
      </c>
      <c r="AG14" s="20">
        <v>1500.73</v>
      </c>
      <c r="AH14" s="20">
        <v>130248.7</v>
      </c>
      <c r="AI14" s="20">
        <v>49301.53</v>
      </c>
      <c r="AJ14" s="21">
        <v>892287.11</v>
      </c>
      <c r="AK14" s="19">
        <v>13362.99</v>
      </c>
      <c r="AL14" s="19">
        <v>0</v>
      </c>
      <c r="AM14" s="22">
        <v>13362.99</v>
      </c>
      <c r="AN14" s="22">
        <v>905650.1</v>
      </c>
      <c r="AO14" s="3"/>
    </row>
    <row r="15" spans="1:41" ht="45">
      <c r="A15" s="3" t="s">
        <v>67</v>
      </c>
      <c r="B15" s="3" t="s">
        <v>63</v>
      </c>
      <c r="C15" s="3" t="s">
        <v>48</v>
      </c>
      <c r="D15" s="12">
        <v>13</v>
      </c>
      <c r="E15" s="12">
        <v>13</v>
      </c>
      <c r="F15" s="12">
        <v>19</v>
      </c>
      <c r="G15" s="12">
        <v>18.15</v>
      </c>
      <c r="H15" s="12">
        <v>26</v>
      </c>
      <c r="I15" s="12">
        <v>26</v>
      </c>
      <c r="J15" s="12">
        <v>15</v>
      </c>
      <c r="K15" s="12">
        <v>14.2</v>
      </c>
      <c r="L15" s="12">
        <v>3</v>
      </c>
      <c r="M15" s="12">
        <v>3</v>
      </c>
      <c r="N15" s="12">
        <v>1</v>
      </c>
      <c r="O15" s="12">
        <v>0.6</v>
      </c>
      <c r="P15" s="13">
        <v>77</v>
      </c>
      <c r="Q15" s="13">
        <v>74.95</v>
      </c>
      <c r="R15" s="12">
        <v>0</v>
      </c>
      <c r="S15" s="12">
        <v>0</v>
      </c>
      <c r="T15" s="12">
        <v>0</v>
      </c>
      <c r="U15" s="12">
        <v>0</v>
      </c>
      <c r="V15" s="12">
        <v>0</v>
      </c>
      <c r="W15" s="12">
        <v>0</v>
      </c>
      <c r="X15" s="12">
        <v>0</v>
      </c>
      <c r="Y15" s="12">
        <v>0</v>
      </c>
      <c r="Z15" s="14">
        <v>0</v>
      </c>
      <c r="AA15" s="14">
        <v>0</v>
      </c>
      <c r="AB15" s="4">
        <v>77</v>
      </c>
      <c r="AC15" s="4">
        <v>74.95</v>
      </c>
      <c r="AD15" s="20">
        <v>215383</v>
      </c>
      <c r="AE15" s="20">
        <v>3715</v>
      </c>
      <c r="AF15" s="20">
        <v>0</v>
      </c>
      <c r="AG15" s="20">
        <v>0</v>
      </c>
      <c r="AH15" s="20">
        <v>41074</v>
      </c>
      <c r="AI15" s="20">
        <v>17114</v>
      </c>
      <c r="AJ15" s="21">
        <v>277286</v>
      </c>
      <c r="AK15" s="19" t="s">
        <v>86</v>
      </c>
      <c r="AL15" s="19" t="s">
        <v>86</v>
      </c>
      <c r="AM15" s="22">
        <v>0</v>
      </c>
      <c r="AN15" s="22">
        <v>277286</v>
      </c>
      <c r="AO15" s="3"/>
    </row>
    <row r="16" spans="1:41" ht="105">
      <c r="A16" s="3" t="s">
        <v>68</v>
      </c>
      <c r="B16" s="3" t="s">
        <v>63</v>
      </c>
      <c r="C16" s="3" t="s">
        <v>48</v>
      </c>
      <c r="D16" s="12">
        <v>0</v>
      </c>
      <c r="E16" s="12">
        <v>0</v>
      </c>
      <c r="F16" s="12">
        <v>0</v>
      </c>
      <c r="G16" s="12">
        <v>0</v>
      </c>
      <c r="H16" s="12">
        <v>0</v>
      </c>
      <c r="I16" s="12">
        <v>0</v>
      </c>
      <c r="J16" s="12">
        <v>0</v>
      </c>
      <c r="K16" s="12">
        <v>0</v>
      </c>
      <c r="L16" s="12">
        <v>0</v>
      </c>
      <c r="M16" s="12">
        <v>0</v>
      </c>
      <c r="N16" s="12">
        <v>33</v>
      </c>
      <c r="O16" s="12">
        <v>32.7</v>
      </c>
      <c r="P16" s="13">
        <v>33</v>
      </c>
      <c r="Q16" s="13">
        <v>32.7</v>
      </c>
      <c r="R16" s="12">
        <v>0</v>
      </c>
      <c r="S16" s="12">
        <v>0</v>
      </c>
      <c r="T16" s="12">
        <v>0</v>
      </c>
      <c r="U16" s="12">
        <v>0</v>
      </c>
      <c r="V16" s="12">
        <v>0</v>
      </c>
      <c r="W16" s="12">
        <v>0</v>
      </c>
      <c r="X16" s="12">
        <v>0</v>
      </c>
      <c r="Y16" s="12">
        <v>0</v>
      </c>
      <c r="Z16" s="14">
        <v>0</v>
      </c>
      <c r="AA16" s="14">
        <v>0</v>
      </c>
      <c r="AB16" s="4">
        <v>33</v>
      </c>
      <c r="AC16" s="4">
        <v>32.7</v>
      </c>
      <c r="AD16" s="20">
        <v>153718</v>
      </c>
      <c r="AE16" s="20">
        <v>0</v>
      </c>
      <c r="AF16" s="20">
        <v>0</v>
      </c>
      <c r="AG16" s="20">
        <v>0</v>
      </c>
      <c r="AH16" s="20">
        <v>30455</v>
      </c>
      <c r="AI16" s="20">
        <v>18531</v>
      </c>
      <c r="AJ16" s="21">
        <v>202704</v>
      </c>
      <c r="AK16" s="19" t="s">
        <v>86</v>
      </c>
      <c r="AL16" s="19" t="s">
        <v>86</v>
      </c>
      <c r="AM16" s="22">
        <v>0</v>
      </c>
      <c r="AN16" s="22">
        <v>202704</v>
      </c>
      <c r="AO16" s="3" t="s">
        <v>69</v>
      </c>
    </row>
    <row r="17" spans="1:41" ht="45">
      <c r="A17" s="3" t="s">
        <v>70</v>
      </c>
      <c r="B17" s="3" t="s">
        <v>63</v>
      </c>
      <c r="C17" s="3" t="s">
        <v>48</v>
      </c>
      <c r="D17" s="12">
        <v>763</v>
      </c>
      <c r="E17" s="12">
        <v>718.1</v>
      </c>
      <c r="F17" s="12">
        <v>253</v>
      </c>
      <c r="G17" s="12">
        <v>243.6</v>
      </c>
      <c r="H17" s="12">
        <v>392</v>
      </c>
      <c r="I17" s="12">
        <v>376.8</v>
      </c>
      <c r="J17" s="12">
        <v>90</v>
      </c>
      <c r="K17" s="12">
        <v>88.8</v>
      </c>
      <c r="L17" s="12">
        <v>17</v>
      </c>
      <c r="M17" s="12">
        <v>11.2</v>
      </c>
      <c r="N17" s="12">
        <v>0</v>
      </c>
      <c r="O17" s="12">
        <v>0</v>
      </c>
      <c r="P17" s="13">
        <v>1515</v>
      </c>
      <c r="Q17" s="13">
        <v>1438.5</v>
      </c>
      <c r="R17" s="12">
        <v>77</v>
      </c>
      <c r="S17" s="12">
        <v>70.4</v>
      </c>
      <c r="T17" s="12">
        <v>0</v>
      </c>
      <c r="U17" s="12">
        <v>0</v>
      </c>
      <c r="V17" s="12">
        <v>11</v>
      </c>
      <c r="W17" s="12">
        <v>11</v>
      </c>
      <c r="X17" s="12">
        <v>0</v>
      </c>
      <c r="Y17" s="12">
        <v>0</v>
      </c>
      <c r="Z17" s="14">
        <v>88</v>
      </c>
      <c r="AA17" s="14">
        <v>81.4</v>
      </c>
      <c r="AB17" s="4">
        <v>1603</v>
      </c>
      <c r="AC17" s="4">
        <v>1519.9</v>
      </c>
      <c r="AD17" s="20">
        <v>3424602.61</v>
      </c>
      <c r="AE17" s="20">
        <v>0</v>
      </c>
      <c r="AF17" s="20">
        <v>0</v>
      </c>
      <c r="AG17" s="20">
        <v>84459.92</v>
      </c>
      <c r="AH17" s="20">
        <v>35288.95</v>
      </c>
      <c r="AI17" s="20">
        <v>292112.43</v>
      </c>
      <c r="AJ17" s="21">
        <v>3836463.91</v>
      </c>
      <c r="AK17" s="19">
        <v>279463.99</v>
      </c>
      <c r="AL17" s="19">
        <v>0</v>
      </c>
      <c r="AM17" s="22">
        <v>279463.99</v>
      </c>
      <c r="AN17" s="22">
        <v>4115927.9</v>
      </c>
      <c r="AO17" s="3"/>
    </row>
    <row r="18" spans="1:41" ht="45">
      <c r="A18" s="3" t="s">
        <v>71</v>
      </c>
      <c r="B18" s="3" t="s">
        <v>63</v>
      </c>
      <c r="C18" s="3" t="s">
        <v>48</v>
      </c>
      <c r="D18" s="12">
        <v>26</v>
      </c>
      <c r="E18" s="12">
        <v>25.6</v>
      </c>
      <c r="F18" s="12">
        <v>47</v>
      </c>
      <c r="G18" s="12">
        <v>46.4</v>
      </c>
      <c r="H18" s="12">
        <v>14</v>
      </c>
      <c r="I18" s="12">
        <v>13.6</v>
      </c>
      <c r="J18" s="12">
        <v>6</v>
      </c>
      <c r="K18" s="12">
        <v>6</v>
      </c>
      <c r="L18" s="12">
        <v>1</v>
      </c>
      <c r="M18" s="12">
        <v>1</v>
      </c>
      <c r="N18" s="12">
        <v>1</v>
      </c>
      <c r="O18" s="12">
        <v>0.4</v>
      </c>
      <c r="P18" s="13">
        <v>95</v>
      </c>
      <c r="Q18" s="13">
        <v>93</v>
      </c>
      <c r="R18" s="12">
        <v>0</v>
      </c>
      <c r="S18" s="12">
        <v>0</v>
      </c>
      <c r="T18" s="12">
        <v>0</v>
      </c>
      <c r="U18" s="12">
        <v>0</v>
      </c>
      <c r="V18" s="12">
        <v>0</v>
      </c>
      <c r="W18" s="12">
        <v>0</v>
      </c>
      <c r="X18" s="12">
        <v>0</v>
      </c>
      <c r="Y18" s="12">
        <v>0</v>
      </c>
      <c r="Z18" s="14">
        <v>0</v>
      </c>
      <c r="AA18" s="14">
        <v>0</v>
      </c>
      <c r="AB18" s="4">
        <v>95</v>
      </c>
      <c r="AC18" s="4">
        <v>93</v>
      </c>
      <c r="AD18" s="20">
        <v>185596.22</v>
      </c>
      <c r="AE18" s="20">
        <v>22269.42</v>
      </c>
      <c r="AF18" s="20">
        <v>1794.83</v>
      </c>
      <c r="AG18" s="20">
        <v>807.62</v>
      </c>
      <c r="AH18" s="20">
        <v>31990.4</v>
      </c>
      <c r="AI18" s="20">
        <v>17334.47</v>
      </c>
      <c r="AJ18" s="21">
        <v>259792.96</v>
      </c>
      <c r="AK18" s="19">
        <v>20828.34</v>
      </c>
      <c r="AL18" s="19">
        <v>0</v>
      </c>
      <c r="AM18" s="22">
        <v>20828.34</v>
      </c>
      <c r="AN18" s="22">
        <v>280621.3</v>
      </c>
      <c r="AO18" s="3"/>
    </row>
    <row r="19" spans="1:41" ht="210">
      <c r="A19" s="3" t="s">
        <v>72</v>
      </c>
      <c r="B19" s="3" t="s">
        <v>63</v>
      </c>
      <c r="C19" s="3" t="s">
        <v>48</v>
      </c>
      <c r="D19" s="12">
        <v>0</v>
      </c>
      <c r="E19" s="12">
        <v>0</v>
      </c>
      <c r="F19" s="12">
        <v>0</v>
      </c>
      <c r="G19" s="12">
        <v>0</v>
      </c>
      <c r="H19" s="12">
        <v>0</v>
      </c>
      <c r="I19" s="12">
        <v>0</v>
      </c>
      <c r="J19" s="12">
        <v>0</v>
      </c>
      <c r="K19" s="12">
        <v>0</v>
      </c>
      <c r="L19" s="12">
        <v>0</v>
      </c>
      <c r="M19" s="12">
        <v>0</v>
      </c>
      <c r="N19" s="12">
        <v>20024</v>
      </c>
      <c r="O19" s="12">
        <v>18139</v>
      </c>
      <c r="P19" s="13">
        <v>20024</v>
      </c>
      <c r="Q19" s="13">
        <v>18139</v>
      </c>
      <c r="R19" s="12">
        <v>1524</v>
      </c>
      <c r="S19" s="12">
        <v>1524</v>
      </c>
      <c r="T19" s="12">
        <v>3</v>
      </c>
      <c r="U19" s="12">
        <v>3</v>
      </c>
      <c r="V19" s="12">
        <v>0</v>
      </c>
      <c r="W19" s="12">
        <v>0</v>
      </c>
      <c r="X19" s="12">
        <v>0</v>
      </c>
      <c r="Y19" s="12">
        <v>0</v>
      </c>
      <c r="Z19" s="14">
        <v>1527</v>
      </c>
      <c r="AA19" s="14">
        <v>1527</v>
      </c>
      <c r="AB19" s="4">
        <v>21551</v>
      </c>
      <c r="AC19" s="4">
        <v>19666</v>
      </c>
      <c r="AD19" s="23" t="s">
        <v>90</v>
      </c>
      <c r="AE19" s="23" t="s">
        <v>90</v>
      </c>
      <c r="AF19" s="23" t="s">
        <v>90</v>
      </c>
      <c r="AG19" s="23" t="s">
        <v>90</v>
      </c>
      <c r="AH19" s="23" t="s">
        <v>90</v>
      </c>
      <c r="AI19" s="23" t="s">
        <v>90</v>
      </c>
      <c r="AJ19" s="23" t="s">
        <v>90</v>
      </c>
      <c r="AK19" s="23" t="s">
        <v>90</v>
      </c>
      <c r="AL19" s="23" t="s">
        <v>90</v>
      </c>
      <c r="AM19" s="23" t="s">
        <v>90</v>
      </c>
      <c r="AN19" s="23" t="s">
        <v>90</v>
      </c>
      <c r="AO19" s="3" t="s">
        <v>78</v>
      </c>
    </row>
    <row r="20" spans="1:41" ht="45">
      <c r="A20" s="3" t="s">
        <v>74</v>
      </c>
      <c r="B20" s="3" t="s">
        <v>63</v>
      </c>
      <c r="C20" s="3" t="s">
        <v>48</v>
      </c>
      <c r="D20" s="12">
        <v>19</v>
      </c>
      <c r="E20" s="12">
        <v>16.45</v>
      </c>
      <c r="F20" s="12">
        <v>41</v>
      </c>
      <c r="G20" s="12">
        <v>39.77</v>
      </c>
      <c r="H20" s="12">
        <v>112</v>
      </c>
      <c r="I20" s="12">
        <v>109.94</v>
      </c>
      <c r="J20" s="12">
        <v>38</v>
      </c>
      <c r="K20" s="12">
        <v>37.1</v>
      </c>
      <c r="L20" s="12">
        <v>4</v>
      </c>
      <c r="M20" s="12">
        <v>3.6</v>
      </c>
      <c r="N20" s="12">
        <v>9</v>
      </c>
      <c r="O20" s="12">
        <v>9</v>
      </c>
      <c r="P20" s="13">
        <v>223</v>
      </c>
      <c r="Q20" s="13">
        <v>215.86</v>
      </c>
      <c r="R20" s="12">
        <v>9</v>
      </c>
      <c r="S20" s="12">
        <v>9</v>
      </c>
      <c r="T20" s="12">
        <v>0</v>
      </c>
      <c r="U20" s="12">
        <v>0</v>
      </c>
      <c r="V20" s="12">
        <v>7</v>
      </c>
      <c r="W20" s="12">
        <v>6.8</v>
      </c>
      <c r="X20" s="12">
        <v>0</v>
      </c>
      <c r="Y20" s="12">
        <v>0</v>
      </c>
      <c r="Z20" s="14">
        <v>16</v>
      </c>
      <c r="AA20" s="14">
        <v>15.8</v>
      </c>
      <c r="AB20" s="4">
        <v>239</v>
      </c>
      <c r="AC20" s="4">
        <v>231.66</v>
      </c>
      <c r="AD20" s="20">
        <v>555959.23</v>
      </c>
      <c r="AE20" s="20">
        <v>62972.39</v>
      </c>
      <c r="AF20" s="20">
        <v>1410.08</v>
      </c>
      <c r="AG20" s="20">
        <v>6955.77</v>
      </c>
      <c r="AH20" s="20">
        <v>122287.86</v>
      </c>
      <c r="AI20" s="20">
        <v>55195.35</v>
      </c>
      <c r="AJ20" s="21">
        <v>804780.68</v>
      </c>
      <c r="AK20" s="19">
        <v>69205.93</v>
      </c>
      <c r="AL20" s="19">
        <v>0</v>
      </c>
      <c r="AM20" s="22">
        <v>69205.93</v>
      </c>
      <c r="AN20" s="22">
        <v>873986.61</v>
      </c>
      <c r="AO20" s="3"/>
    </row>
    <row r="21" spans="1:41" ht="15">
      <c r="A21" s="3"/>
      <c r="B21" s="3"/>
      <c r="C21" s="3"/>
      <c r="D21" s="12">
        <v>53045</v>
      </c>
      <c r="E21" s="12">
        <v>49505.24825158566</v>
      </c>
      <c r="F21" s="12">
        <v>12558</v>
      </c>
      <c r="G21" s="12">
        <v>11937.623006222488</v>
      </c>
      <c r="H21" s="12">
        <v>8824</v>
      </c>
      <c r="I21" s="12">
        <v>8320.030416331636</v>
      </c>
      <c r="J21" s="12">
        <v>2459</v>
      </c>
      <c r="K21" s="12">
        <v>2393.018780487804</v>
      </c>
      <c r="L21" s="12">
        <v>240</v>
      </c>
      <c r="M21" s="12">
        <v>230.83</v>
      </c>
      <c r="N21" s="12">
        <v>20491</v>
      </c>
      <c r="O21" s="12">
        <v>18572.81</v>
      </c>
      <c r="P21" s="13">
        <v>97617</v>
      </c>
      <c r="Q21" s="13">
        <v>90959.56045462759</v>
      </c>
      <c r="R21" s="12">
        <v>2398</v>
      </c>
      <c r="S21" s="12">
        <v>2534.13</v>
      </c>
      <c r="T21" s="12">
        <v>11</v>
      </c>
      <c r="U21" s="12">
        <v>11</v>
      </c>
      <c r="V21" s="12">
        <v>212</v>
      </c>
      <c r="W21" s="12">
        <v>210.3</v>
      </c>
      <c r="X21" s="12">
        <v>0</v>
      </c>
      <c r="Y21" s="12">
        <v>0</v>
      </c>
      <c r="Z21" s="14">
        <v>2621</v>
      </c>
      <c r="AA21" s="14">
        <v>2755.43</v>
      </c>
      <c r="AB21" s="4">
        <v>100238</v>
      </c>
      <c r="AC21" s="4">
        <v>93714.9904546276</v>
      </c>
      <c r="AD21" s="20">
        <v>159225297.6000001</v>
      </c>
      <c r="AE21" s="20">
        <v>1122658.66</v>
      </c>
      <c r="AF21" s="20">
        <v>386478.67</v>
      </c>
      <c r="AG21" s="20">
        <v>1672462.75</v>
      </c>
      <c r="AH21" s="20">
        <v>29138256.019999996</v>
      </c>
      <c r="AI21" s="20">
        <v>13255796.01000001</v>
      </c>
      <c r="AJ21" s="21">
        <f>SUM(AJ7:AJ20)</f>
        <v>205870795.26000014</v>
      </c>
      <c r="AK21" s="19">
        <v>5616359.62</v>
      </c>
      <c r="AL21" s="19">
        <v>497014.63</v>
      </c>
      <c r="AM21" s="22">
        <v>6113374.249999999</v>
      </c>
      <c r="AN21" s="22">
        <f>SUM(AN7:AN20)</f>
        <v>211984169.5100001</v>
      </c>
      <c r="AO21" s="3"/>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row r="101" spans="1:41" ht="15">
      <c r="A101" s="3"/>
      <c r="B101" s="3"/>
      <c r="C101" s="3"/>
      <c r="D101" s="12"/>
      <c r="E101" s="12"/>
      <c r="F101" s="12"/>
      <c r="G101" s="12"/>
      <c r="H101" s="12"/>
      <c r="I101" s="12"/>
      <c r="J101" s="12"/>
      <c r="K101" s="12"/>
      <c r="L101" s="12"/>
      <c r="M101" s="12"/>
      <c r="N101" s="12"/>
      <c r="O101" s="12"/>
      <c r="P101" s="13"/>
      <c r="Q101" s="13"/>
      <c r="R101" s="12"/>
      <c r="S101" s="12"/>
      <c r="T101" s="12"/>
      <c r="U101" s="12"/>
      <c r="V101" s="12"/>
      <c r="W101" s="12"/>
      <c r="X101" s="12"/>
      <c r="Y101" s="12"/>
      <c r="Z101" s="14"/>
      <c r="AA101" s="14"/>
      <c r="AB101" s="4"/>
      <c r="AC101" s="4"/>
      <c r="AD101" s="6"/>
      <c r="AE101" s="6"/>
      <c r="AF101" s="6"/>
      <c r="AG101" s="6"/>
      <c r="AH101" s="6"/>
      <c r="AI101" s="6"/>
      <c r="AJ101" s="7"/>
      <c r="AK101" s="5"/>
      <c r="AL101" s="5"/>
      <c r="AM101" s="8"/>
      <c r="AN101" s="8"/>
      <c r="AO101" s="9"/>
    </row>
    <row r="102" spans="1:41" ht="15">
      <c r="A102" s="3"/>
      <c r="B102" s="3"/>
      <c r="C102" s="3"/>
      <c r="D102" s="12"/>
      <c r="E102" s="12"/>
      <c r="F102" s="12"/>
      <c r="G102" s="12"/>
      <c r="H102" s="12"/>
      <c r="I102" s="12"/>
      <c r="J102" s="12"/>
      <c r="K102" s="12"/>
      <c r="L102" s="12"/>
      <c r="M102" s="12"/>
      <c r="N102" s="12"/>
      <c r="O102" s="12"/>
      <c r="P102" s="13"/>
      <c r="Q102" s="13"/>
      <c r="R102" s="12"/>
      <c r="S102" s="12"/>
      <c r="T102" s="12"/>
      <c r="U102" s="12"/>
      <c r="V102" s="12"/>
      <c r="W102" s="12"/>
      <c r="X102" s="12"/>
      <c r="Y102" s="12"/>
      <c r="Z102" s="14"/>
      <c r="AA102" s="14"/>
      <c r="AB102" s="4"/>
      <c r="AC102" s="4"/>
      <c r="AD102" s="6"/>
      <c r="AE102" s="6"/>
      <c r="AF102" s="6"/>
      <c r="AG102" s="6"/>
      <c r="AH102" s="6"/>
      <c r="AI102" s="6"/>
      <c r="AJ102" s="7"/>
      <c r="AK102" s="5"/>
      <c r="AL102" s="5"/>
      <c r="AM102" s="8"/>
      <c r="AN102" s="8"/>
      <c r="AO102" s="9"/>
    </row>
    <row r="103" spans="1:41" ht="15">
      <c r="A103" s="3"/>
      <c r="B103" s="3"/>
      <c r="C103" s="3"/>
      <c r="D103" s="12"/>
      <c r="E103" s="12"/>
      <c r="F103" s="12"/>
      <c r="G103" s="12"/>
      <c r="H103" s="12"/>
      <c r="I103" s="12"/>
      <c r="J103" s="12"/>
      <c r="K103" s="12"/>
      <c r="L103" s="12"/>
      <c r="M103" s="12"/>
      <c r="N103" s="12"/>
      <c r="O103" s="12"/>
      <c r="P103" s="13"/>
      <c r="Q103" s="13"/>
      <c r="R103" s="12"/>
      <c r="S103" s="12"/>
      <c r="T103" s="12"/>
      <c r="U103" s="12"/>
      <c r="V103" s="12"/>
      <c r="W103" s="12"/>
      <c r="X103" s="12"/>
      <c r="Y103" s="12"/>
      <c r="Z103" s="14"/>
      <c r="AA103" s="14"/>
      <c r="AB103" s="4"/>
      <c r="AC103" s="4"/>
      <c r="AD103" s="6"/>
      <c r="AE103" s="6"/>
      <c r="AF103" s="6"/>
      <c r="AG103" s="6"/>
      <c r="AH103" s="6"/>
      <c r="AI103" s="6"/>
      <c r="AJ103" s="7"/>
      <c r="AK103" s="5"/>
      <c r="AL103" s="5"/>
      <c r="AM103" s="8"/>
      <c r="AN103" s="8"/>
      <c r="AO103" s="9"/>
    </row>
  </sheetData>
  <mergeCells count="32">
    <mergeCell ref="AJ5:AJ6"/>
    <mergeCell ref="AK5:AK6"/>
    <mergeCell ref="AL5:AL6"/>
    <mergeCell ref="AM5:AM6"/>
    <mergeCell ref="AF5:AF6"/>
    <mergeCell ref="AG5:AG6"/>
    <mergeCell ref="AH5:AH6"/>
    <mergeCell ref="AI5:AI6"/>
    <mergeCell ref="AN4:AN6"/>
    <mergeCell ref="AO4:AO6"/>
    <mergeCell ref="D5:E5"/>
    <mergeCell ref="F5:G5"/>
    <mergeCell ref="H5:I5"/>
    <mergeCell ref="J5:K5"/>
    <mergeCell ref="L5:M5"/>
    <mergeCell ref="N5:O5"/>
    <mergeCell ref="P5:Q5"/>
    <mergeCell ref="R5:S5"/>
    <mergeCell ref="R4:AA4"/>
    <mergeCell ref="AB4:AC5"/>
    <mergeCell ref="AD4:AJ4"/>
    <mergeCell ref="AK4:AM4"/>
    <mergeCell ref="T5:U5"/>
    <mergeCell ref="V5:W5"/>
    <mergeCell ref="X5:Y5"/>
    <mergeCell ref="Z5:AA5"/>
    <mergeCell ref="AD5:AD6"/>
    <mergeCell ref="AE5:AE6"/>
    <mergeCell ref="A4:A6"/>
    <mergeCell ref="B4:B6"/>
    <mergeCell ref="C4:C6"/>
    <mergeCell ref="D4:Q4"/>
  </mergeCells>
  <conditionalFormatting sqref="B7:B103">
    <cfRule type="expression" priority="1" dxfId="22" stopIfTrue="1">
      <formula>AND(NOT(ISBLANK($A7)),ISBLANK(B7))</formula>
    </cfRule>
  </conditionalFormatting>
  <conditionalFormatting sqref="C7:C103">
    <cfRule type="expression" priority="2" dxfId="22" stopIfTrue="1">
      <formula>AND(NOT(ISBLANK(A7)),ISBLANK(C7))</formula>
    </cfRule>
  </conditionalFormatting>
  <conditionalFormatting sqref="D7:D103 F7:F103 H7:H103 J7:J103 L7:L103 N7:N103 X7:X103 T7:T103 V7:V103 R7:R103 AD19:AN19">
    <cfRule type="expression" priority="3" dxfId="22" stopIfTrue="1">
      <formula>AND(NOT(ISBLANK(E7)),ISBLANK(D7))</formula>
    </cfRule>
  </conditionalFormatting>
  <conditionalFormatting sqref="E7:E103 G7:G103 I7:I103 K7:K103 M7:M103 O7:O103 S7:S103 U7:U103 W7:W103 Y7:Y103">
    <cfRule type="expression" priority="4" dxfId="22" stopIfTrue="1">
      <formula>AND(NOT(ISBLANK(D7)),ISBLANK(E7))</formula>
    </cfRule>
  </conditionalFormatting>
  <dataValidations count="4">
    <dataValidation type="decimal" operator="greaterThan" allowBlank="1" showInputMessage="1" showErrorMessage="1" sqref="AK20:AL103 AK7:AL18 AD7:AI18 AD20:AI103">
      <formula1>0</formula1>
    </dataValidation>
    <dataValidation operator="lessThanOrEqual" allowBlank="1" showInputMessage="1" showErrorMessage="1" error="FTE cannot be greater than Headcount&#10;" sqref="AP1:IV65536 R104:AN65536 AO4 AO7:AO65536 R4 A4:C4 P5 A104:O65536 P7:Q65536 AB6:AC103 AB4"/>
    <dataValidation type="custom" allowBlank="1" showInputMessage="1" showErrorMessage="1" errorTitle="Headcount" error="The value entered in the headcount field must be greater than or equal to the value entered in the FTE field." sqref="F7:F103 H7:H103 J7:J103 L7:L103 N7:N103 T7:T103 V7:V103 X7:X103 D7:D103 R7:R103 AD19:AN19">
      <formula1>F7&gt;=G7</formula1>
    </dataValidation>
    <dataValidation type="custom" allowBlank="1" showInputMessage="1" showErrorMessage="1" errorTitle="FTE" error="The value entered in the FTE field must be less than or equal to the value entered in the headcount field." sqref="M7:M103 G7:G103 I7:I103 K7:K103 O7:O103 U7:U103 W7:W103 Y7:Y103 S7:S103 E7:E103">
      <formula1>M7&lt;=L7</formula1>
    </dataValidation>
  </dataValidation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AO103"/>
  <sheetViews>
    <sheetView zoomScale="70" zoomScaleNormal="70" workbookViewId="0" topLeftCell="A1">
      <selection activeCell="A1" sqref="A1"/>
    </sheetView>
  </sheetViews>
  <sheetFormatPr defaultColWidth="8.88671875" defaultRowHeight="15"/>
  <cols>
    <col min="1" max="1" width="23.5546875" style="2" customWidth="1"/>
    <col min="2" max="3" width="14.99609375" style="2" customWidth="1"/>
    <col min="4" max="4" width="10.5546875" style="15" customWidth="1"/>
    <col min="5" max="5" width="10.4453125" style="15" customWidth="1"/>
    <col min="6" max="6" width="10.88671875" style="15" customWidth="1"/>
    <col min="7" max="7" width="10.4453125" style="15" customWidth="1"/>
    <col min="8" max="8" width="10.88671875" style="15" customWidth="1"/>
    <col min="9" max="9" width="10.4453125" style="15" customWidth="1"/>
    <col min="10" max="10" width="10.99609375" style="15" customWidth="1"/>
    <col min="11" max="11" width="10.4453125" style="15" customWidth="1"/>
    <col min="12" max="12" width="11.10546875" style="15" customWidth="1"/>
    <col min="13" max="13" width="10.4453125" style="15" customWidth="1"/>
    <col min="14" max="14" width="10.6640625" style="15" customWidth="1"/>
    <col min="15" max="15" width="10.4453125" style="15" customWidth="1"/>
    <col min="16" max="16" width="10.6640625" style="15" customWidth="1"/>
    <col min="17"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ht="15">
      <c r="A1" s="2" t="s">
        <v>92</v>
      </c>
    </row>
    <row r="2" ht="15">
      <c r="A2" s="24" t="s">
        <v>93</v>
      </c>
    </row>
    <row r="3" ht="15">
      <c r="A3" s="24" t="s">
        <v>94</v>
      </c>
    </row>
    <row r="4" spans="1:41" s="1" customFormat="1" ht="15" customHeight="1">
      <c r="A4" s="387" t="s">
        <v>26</v>
      </c>
      <c r="B4" s="387" t="s">
        <v>15</v>
      </c>
      <c r="C4" s="387" t="s">
        <v>14</v>
      </c>
      <c r="D4" s="390" t="s">
        <v>22</v>
      </c>
      <c r="E4" s="391"/>
      <c r="F4" s="391"/>
      <c r="G4" s="391"/>
      <c r="H4" s="391"/>
      <c r="I4" s="391"/>
      <c r="J4" s="391"/>
      <c r="K4" s="391"/>
      <c r="L4" s="391"/>
      <c r="M4" s="391"/>
      <c r="N4" s="391"/>
      <c r="O4" s="391"/>
      <c r="P4" s="391"/>
      <c r="Q4" s="392"/>
      <c r="R4" s="393" t="s">
        <v>29</v>
      </c>
      <c r="S4" s="394"/>
      <c r="T4" s="394"/>
      <c r="U4" s="394"/>
      <c r="V4" s="394"/>
      <c r="W4" s="394"/>
      <c r="X4" s="394"/>
      <c r="Y4" s="394"/>
      <c r="Z4" s="394"/>
      <c r="AA4" s="395"/>
      <c r="AB4" s="396" t="s">
        <v>39</v>
      </c>
      <c r="AC4" s="397"/>
      <c r="AD4" s="400" t="s">
        <v>25</v>
      </c>
      <c r="AE4" s="401"/>
      <c r="AF4" s="401"/>
      <c r="AG4" s="401"/>
      <c r="AH4" s="401"/>
      <c r="AI4" s="401"/>
      <c r="AJ4" s="402"/>
      <c r="AK4" s="385" t="s">
        <v>46</v>
      </c>
      <c r="AL4" s="385"/>
      <c r="AM4" s="385"/>
      <c r="AN4" s="404" t="s">
        <v>38</v>
      </c>
      <c r="AO4" s="387" t="s">
        <v>47</v>
      </c>
    </row>
    <row r="5" spans="1:41" s="1" customFormat="1" ht="53.25" customHeight="1">
      <c r="A5" s="388"/>
      <c r="B5" s="388"/>
      <c r="C5" s="388"/>
      <c r="D5" s="408" t="s">
        <v>42</v>
      </c>
      <c r="E5" s="409"/>
      <c r="F5" s="408" t="s">
        <v>43</v>
      </c>
      <c r="G5" s="409"/>
      <c r="H5" s="408" t="s">
        <v>44</v>
      </c>
      <c r="I5" s="409"/>
      <c r="J5" s="408" t="s">
        <v>20</v>
      </c>
      <c r="K5" s="409"/>
      <c r="L5" s="408" t="s">
        <v>45</v>
      </c>
      <c r="M5" s="409"/>
      <c r="N5" s="408" t="s">
        <v>19</v>
      </c>
      <c r="O5" s="409"/>
      <c r="P5" s="390" t="s">
        <v>23</v>
      </c>
      <c r="Q5" s="392"/>
      <c r="R5" s="390" t="s">
        <v>27</v>
      </c>
      <c r="S5" s="395"/>
      <c r="T5" s="393" t="s">
        <v>17</v>
      </c>
      <c r="U5" s="395"/>
      <c r="V5" s="393" t="s">
        <v>18</v>
      </c>
      <c r="W5" s="395"/>
      <c r="X5" s="393" t="s">
        <v>28</v>
      </c>
      <c r="Y5" s="395"/>
      <c r="Z5" s="390" t="s">
        <v>24</v>
      </c>
      <c r="AA5" s="392"/>
      <c r="AB5" s="398"/>
      <c r="AC5" s="399"/>
      <c r="AD5" s="387" t="s">
        <v>31</v>
      </c>
      <c r="AE5" s="387" t="s">
        <v>30</v>
      </c>
      <c r="AF5" s="387" t="s">
        <v>32</v>
      </c>
      <c r="AG5" s="387" t="s">
        <v>33</v>
      </c>
      <c r="AH5" s="387" t="s">
        <v>34</v>
      </c>
      <c r="AI5" s="387" t="s">
        <v>35</v>
      </c>
      <c r="AJ5" s="383" t="s">
        <v>37</v>
      </c>
      <c r="AK5" s="387" t="s">
        <v>40</v>
      </c>
      <c r="AL5" s="387" t="s">
        <v>41</v>
      </c>
      <c r="AM5" s="387" t="s">
        <v>36</v>
      </c>
      <c r="AN5" s="405"/>
      <c r="AO5" s="407"/>
    </row>
    <row r="6" spans="1:41" ht="57.75" customHeight="1">
      <c r="A6" s="389"/>
      <c r="B6" s="389"/>
      <c r="C6" s="389"/>
      <c r="D6" s="10" t="s">
        <v>16</v>
      </c>
      <c r="E6" s="10" t="s">
        <v>21</v>
      </c>
      <c r="F6" s="10" t="s">
        <v>16</v>
      </c>
      <c r="G6" s="10" t="s">
        <v>21</v>
      </c>
      <c r="H6" s="10" t="s">
        <v>16</v>
      </c>
      <c r="I6" s="10" t="s">
        <v>21</v>
      </c>
      <c r="J6" s="10" t="s">
        <v>16</v>
      </c>
      <c r="K6" s="10" t="s">
        <v>21</v>
      </c>
      <c r="L6" s="10" t="s">
        <v>16</v>
      </c>
      <c r="M6" s="10" t="s">
        <v>21</v>
      </c>
      <c r="N6" s="10" t="s">
        <v>16</v>
      </c>
      <c r="O6" s="10" t="s">
        <v>21</v>
      </c>
      <c r="P6" s="10" t="s">
        <v>16</v>
      </c>
      <c r="Q6" s="10" t="s">
        <v>21</v>
      </c>
      <c r="R6" s="11" t="s">
        <v>16</v>
      </c>
      <c r="S6" s="11" t="s">
        <v>21</v>
      </c>
      <c r="T6" s="11" t="s">
        <v>16</v>
      </c>
      <c r="U6" s="11" t="s">
        <v>21</v>
      </c>
      <c r="V6" s="11" t="s">
        <v>16</v>
      </c>
      <c r="W6" s="11" t="s">
        <v>21</v>
      </c>
      <c r="X6" s="11" t="s">
        <v>16</v>
      </c>
      <c r="Y6" s="11" t="s">
        <v>21</v>
      </c>
      <c r="Z6" s="11" t="s">
        <v>16</v>
      </c>
      <c r="AA6" s="11" t="s">
        <v>21</v>
      </c>
      <c r="AB6" s="17" t="s">
        <v>16</v>
      </c>
      <c r="AC6" s="16" t="s">
        <v>21</v>
      </c>
      <c r="AD6" s="403"/>
      <c r="AE6" s="403"/>
      <c r="AF6" s="403"/>
      <c r="AG6" s="403"/>
      <c r="AH6" s="403"/>
      <c r="AI6" s="403"/>
      <c r="AJ6" s="383"/>
      <c r="AK6" s="403"/>
      <c r="AL6" s="403"/>
      <c r="AM6" s="403"/>
      <c r="AN6" s="406"/>
      <c r="AO6" s="403"/>
    </row>
    <row r="7" spans="1:41" ht="30">
      <c r="A7" s="3" t="s">
        <v>48</v>
      </c>
      <c r="B7" s="3" t="s">
        <v>49</v>
      </c>
      <c r="C7" s="3" t="s">
        <v>48</v>
      </c>
      <c r="D7" s="12">
        <v>1070</v>
      </c>
      <c r="E7" s="12">
        <v>1001.63</v>
      </c>
      <c r="F7" s="12">
        <v>809</v>
      </c>
      <c r="G7" s="12">
        <v>776.04</v>
      </c>
      <c r="H7" s="12">
        <v>1602</v>
      </c>
      <c r="I7" s="12">
        <v>1553.53</v>
      </c>
      <c r="J7" s="12">
        <v>810</v>
      </c>
      <c r="K7" s="12">
        <v>784.04</v>
      </c>
      <c r="L7" s="12">
        <v>125</v>
      </c>
      <c r="M7" s="12">
        <v>122.49</v>
      </c>
      <c r="N7" s="12">
        <v>0</v>
      </c>
      <c r="O7" s="12">
        <v>0</v>
      </c>
      <c r="P7" s="13">
        <v>4416</v>
      </c>
      <c r="Q7" s="13">
        <v>4237.73</v>
      </c>
      <c r="R7" s="12">
        <v>192</v>
      </c>
      <c r="S7" s="12">
        <v>191.9</v>
      </c>
      <c r="T7" s="12">
        <v>8</v>
      </c>
      <c r="U7" s="12">
        <v>8</v>
      </c>
      <c r="V7" s="12">
        <v>179</v>
      </c>
      <c r="W7" s="12">
        <v>178</v>
      </c>
      <c r="X7" s="12">
        <v>0</v>
      </c>
      <c r="Y7" s="12">
        <v>0</v>
      </c>
      <c r="Z7" s="14">
        <v>379</v>
      </c>
      <c r="AA7" s="14">
        <v>377.9</v>
      </c>
      <c r="AB7" s="4">
        <v>4795</v>
      </c>
      <c r="AC7" s="4">
        <v>4615.63</v>
      </c>
      <c r="AD7" s="19">
        <v>12365658.3</v>
      </c>
      <c r="AE7" s="20">
        <v>245961.86</v>
      </c>
      <c r="AF7" s="20">
        <v>604259.48</v>
      </c>
      <c r="AG7" s="20">
        <v>125816.14</v>
      </c>
      <c r="AH7" s="20">
        <v>2176542.02</v>
      </c>
      <c r="AI7" s="20">
        <v>1291007.84</v>
      </c>
      <c r="AJ7" s="21">
        <v>16809245.64</v>
      </c>
      <c r="AK7" s="19">
        <v>2310311.75</v>
      </c>
      <c r="AL7" s="19">
        <v>35754.35</v>
      </c>
      <c r="AM7" s="22">
        <v>2346066.1</v>
      </c>
      <c r="AN7" s="22">
        <f>SUM(AJ7,AM7)</f>
        <v>19155311.740000002</v>
      </c>
      <c r="AO7" s="18"/>
    </row>
    <row r="8" spans="1:41" ht="195">
      <c r="A8" s="3" t="s">
        <v>76</v>
      </c>
      <c r="B8" s="3" t="s">
        <v>51</v>
      </c>
      <c r="C8" s="3" t="s">
        <v>48</v>
      </c>
      <c r="D8" s="12">
        <v>14578</v>
      </c>
      <c r="E8" s="12">
        <v>12735.93</v>
      </c>
      <c r="F8" s="12">
        <v>3769</v>
      </c>
      <c r="G8" s="12">
        <v>3503.77</v>
      </c>
      <c r="H8" s="12">
        <v>3014</v>
      </c>
      <c r="I8" s="12">
        <v>2810.84</v>
      </c>
      <c r="J8" s="12">
        <v>727</v>
      </c>
      <c r="K8" s="12">
        <v>710.29</v>
      </c>
      <c r="L8" s="12">
        <v>38</v>
      </c>
      <c r="M8" s="12">
        <v>37.92</v>
      </c>
      <c r="N8" s="12">
        <v>0</v>
      </c>
      <c r="O8" s="12">
        <v>0</v>
      </c>
      <c r="P8" s="13">
        <v>22126</v>
      </c>
      <c r="Q8" s="13">
        <v>19798.75</v>
      </c>
      <c r="R8" s="23" t="s">
        <v>90</v>
      </c>
      <c r="S8" s="12">
        <v>184.59</v>
      </c>
      <c r="T8" s="12">
        <v>0</v>
      </c>
      <c r="U8" s="12">
        <v>0</v>
      </c>
      <c r="V8" s="12">
        <v>0</v>
      </c>
      <c r="W8" s="12">
        <v>0</v>
      </c>
      <c r="X8" s="12">
        <v>0</v>
      </c>
      <c r="Y8" s="12">
        <v>0</v>
      </c>
      <c r="Z8" s="14">
        <v>0</v>
      </c>
      <c r="AA8" s="14">
        <v>184.59</v>
      </c>
      <c r="AB8" s="4">
        <v>22126</v>
      </c>
      <c r="AC8" s="4">
        <v>19983.34</v>
      </c>
      <c r="AD8" s="20">
        <v>38580763.89000001</v>
      </c>
      <c r="AE8" s="20">
        <v>638821.28</v>
      </c>
      <c r="AF8" s="20">
        <v>388957.12</v>
      </c>
      <c r="AG8" s="20">
        <v>233675.06</v>
      </c>
      <c r="AH8" s="20">
        <v>6793153.16</v>
      </c>
      <c r="AI8" s="20">
        <v>2717710.53</v>
      </c>
      <c r="AJ8" s="21">
        <v>49353081.04000001</v>
      </c>
      <c r="AK8" s="19">
        <v>267047.23</v>
      </c>
      <c r="AL8" s="19">
        <v>0</v>
      </c>
      <c r="AM8" s="22">
        <v>267047.23</v>
      </c>
      <c r="AN8" s="22">
        <v>49620128.27</v>
      </c>
      <c r="AO8" s="3" t="s">
        <v>83</v>
      </c>
    </row>
    <row r="9" spans="1:41" ht="15">
      <c r="A9" s="3" t="s">
        <v>55</v>
      </c>
      <c r="B9" s="3" t="s">
        <v>51</v>
      </c>
      <c r="C9" s="3" t="s">
        <v>48</v>
      </c>
      <c r="D9" s="12">
        <v>185</v>
      </c>
      <c r="E9" s="12">
        <v>166.14</v>
      </c>
      <c r="F9" s="12">
        <v>122</v>
      </c>
      <c r="G9" s="12">
        <v>117.69</v>
      </c>
      <c r="H9" s="12">
        <v>245</v>
      </c>
      <c r="I9" s="12">
        <v>238.53</v>
      </c>
      <c r="J9" s="12">
        <v>62</v>
      </c>
      <c r="K9" s="12">
        <v>61.16</v>
      </c>
      <c r="L9" s="12">
        <v>6</v>
      </c>
      <c r="M9" s="12">
        <v>6</v>
      </c>
      <c r="N9" s="12">
        <v>0</v>
      </c>
      <c r="O9" s="12">
        <v>0</v>
      </c>
      <c r="P9" s="13">
        <v>620</v>
      </c>
      <c r="Q9" s="13">
        <v>589.52</v>
      </c>
      <c r="R9" s="12">
        <v>9</v>
      </c>
      <c r="S9" s="12">
        <v>7.4</v>
      </c>
      <c r="T9" s="12">
        <v>0</v>
      </c>
      <c r="U9" s="12">
        <v>0</v>
      </c>
      <c r="V9" s="12">
        <v>4</v>
      </c>
      <c r="W9" s="12">
        <v>4</v>
      </c>
      <c r="X9" s="12">
        <v>0</v>
      </c>
      <c r="Y9" s="12">
        <v>0</v>
      </c>
      <c r="Z9" s="14">
        <v>13</v>
      </c>
      <c r="AA9" s="14">
        <v>11.4</v>
      </c>
      <c r="AB9" s="4">
        <v>633</v>
      </c>
      <c r="AC9" s="4">
        <v>600.92</v>
      </c>
      <c r="AD9" s="20">
        <v>1467737.7099999995</v>
      </c>
      <c r="AE9" s="20">
        <v>6599.549999999999</v>
      </c>
      <c r="AF9" s="20">
        <v>1860</v>
      </c>
      <c r="AG9" s="20">
        <v>6900.800000000002</v>
      </c>
      <c r="AH9" s="20">
        <v>266272.68000000005</v>
      </c>
      <c r="AI9" s="20">
        <v>121139.63000000002</v>
      </c>
      <c r="AJ9" s="21">
        <v>1870510.37</v>
      </c>
      <c r="AK9" s="19">
        <v>38297.46</v>
      </c>
      <c r="AL9" s="19">
        <v>4750</v>
      </c>
      <c r="AM9" s="22">
        <v>43047.46</v>
      </c>
      <c r="AN9" s="22">
        <v>1913557.83</v>
      </c>
      <c r="AO9" s="3"/>
    </row>
    <row r="10" spans="1:41" ht="30">
      <c r="A10" s="3" t="s">
        <v>56</v>
      </c>
      <c r="B10" s="3" t="s">
        <v>51</v>
      </c>
      <c r="C10" s="3" t="s">
        <v>48</v>
      </c>
      <c r="D10" s="12">
        <v>36337</v>
      </c>
      <c r="E10" s="12">
        <v>34800.86473688898</v>
      </c>
      <c r="F10" s="12">
        <v>7367</v>
      </c>
      <c r="G10" s="12">
        <v>7064.304975938116</v>
      </c>
      <c r="H10" s="12">
        <v>3360</v>
      </c>
      <c r="I10" s="12">
        <v>3136.14687751273</v>
      </c>
      <c r="J10" s="12">
        <v>692</v>
      </c>
      <c r="K10" s="12">
        <v>673.2084785133566</v>
      </c>
      <c r="L10" s="12">
        <v>45</v>
      </c>
      <c r="M10" s="12">
        <v>45</v>
      </c>
      <c r="N10" s="12">
        <v>0</v>
      </c>
      <c r="O10" s="12">
        <v>0</v>
      </c>
      <c r="P10" s="13">
        <v>47801</v>
      </c>
      <c r="Q10" s="13">
        <v>45719.52506885318</v>
      </c>
      <c r="R10" s="12">
        <v>345</v>
      </c>
      <c r="S10" s="12">
        <v>345</v>
      </c>
      <c r="T10" s="12">
        <v>0</v>
      </c>
      <c r="U10" s="12">
        <v>0</v>
      </c>
      <c r="V10" s="12">
        <v>0</v>
      </c>
      <c r="W10" s="12">
        <v>0</v>
      </c>
      <c r="X10" s="12">
        <v>0</v>
      </c>
      <c r="Y10" s="12">
        <v>0</v>
      </c>
      <c r="Z10" s="14">
        <v>345</v>
      </c>
      <c r="AA10" s="14">
        <v>345</v>
      </c>
      <c r="AB10" s="4">
        <v>48146</v>
      </c>
      <c r="AC10" s="4">
        <v>46064.52506885318</v>
      </c>
      <c r="AD10" s="20">
        <v>103701473.2600001</v>
      </c>
      <c r="AE10" s="20">
        <v>0</v>
      </c>
      <c r="AF10" s="20">
        <v>0</v>
      </c>
      <c r="AG10" s="20">
        <v>773224.23</v>
      </c>
      <c r="AH10" s="20">
        <v>19315799.98000001</v>
      </c>
      <c r="AI10" s="20">
        <v>7287006.960000005</v>
      </c>
      <c r="AJ10" s="21">
        <v>131077504.43000013</v>
      </c>
      <c r="AK10" s="19">
        <v>2182152.43</v>
      </c>
      <c r="AL10" s="19">
        <v>0</v>
      </c>
      <c r="AM10" s="22">
        <v>2182152.43</v>
      </c>
      <c r="AN10" s="22">
        <v>133259656.86000013</v>
      </c>
      <c r="AO10" s="3"/>
    </row>
    <row r="11" spans="1:41" ht="75">
      <c r="A11" s="3" t="s">
        <v>58</v>
      </c>
      <c r="B11" s="3" t="s">
        <v>51</v>
      </c>
      <c r="C11" s="3" t="s">
        <v>48</v>
      </c>
      <c r="D11" s="12">
        <v>252</v>
      </c>
      <c r="E11" s="12">
        <v>234.85</v>
      </c>
      <c r="F11" s="12">
        <v>132</v>
      </c>
      <c r="G11" s="12">
        <v>125.62</v>
      </c>
      <c r="H11" s="12">
        <v>64</v>
      </c>
      <c r="I11" s="12">
        <v>63.06</v>
      </c>
      <c r="J11" s="12">
        <v>11</v>
      </c>
      <c r="K11" s="12">
        <v>10.74</v>
      </c>
      <c r="L11" s="12">
        <v>2</v>
      </c>
      <c r="M11" s="12">
        <v>1.8</v>
      </c>
      <c r="N11" s="12">
        <v>0</v>
      </c>
      <c r="O11" s="12">
        <v>0</v>
      </c>
      <c r="P11" s="13">
        <v>461</v>
      </c>
      <c r="Q11" s="13">
        <v>436.07</v>
      </c>
      <c r="R11" s="12">
        <v>250</v>
      </c>
      <c r="S11" s="12">
        <v>196.99</v>
      </c>
      <c r="T11" s="12">
        <v>0</v>
      </c>
      <c r="U11" s="12">
        <v>0</v>
      </c>
      <c r="V11" s="12">
        <v>0</v>
      </c>
      <c r="W11" s="12">
        <v>0</v>
      </c>
      <c r="X11" s="12">
        <v>0</v>
      </c>
      <c r="Y11" s="12">
        <v>0</v>
      </c>
      <c r="Z11" s="14">
        <v>250</v>
      </c>
      <c r="AA11" s="14">
        <v>196.99</v>
      </c>
      <c r="AB11" s="4">
        <v>711</v>
      </c>
      <c r="AC11" s="4">
        <v>633.06</v>
      </c>
      <c r="AD11" s="20">
        <v>779851.49</v>
      </c>
      <c r="AE11" s="20">
        <v>23671.78</v>
      </c>
      <c r="AF11" s="20">
        <v>39600</v>
      </c>
      <c r="AG11" s="20">
        <v>47712.42</v>
      </c>
      <c r="AH11" s="20">
        <v>127411.89</v>
      </c>
      <c r="AI11" s="20">
        <v>63188.09</v>
      </c>
      <c r="AJ11" s="21">
        <v>1081435.67</v>
      </c>
      <c r="AK11" s="19">
        <v>384348.74</v>
      </c>
      <c r="AL11" s="19">
        <v>0</v>
      </c>
      <c r="AM11" s="22">
        <v>384348.74</v>
      </c>
      <c r="AN11" s="22">
        <v>1465784.41</v>
      </c>
      <c r="AO11" s="18" t="s">
        <v>84</v>
      </c>
    </row>
    <row r="12" spans="1:41" ht="135">
      <c r="A12" s="3" t="s">
        <v>60</v>
      </c>
      <c r="B12" s="3" t="s">
        <v>53</v>
      </c>
      <c r="C12" s="3" t="s">
        <v>48</v>
      </c>
      <c r="D12" s="12">
        <v>5</v>
      </c>
      <c r="E12" s="12">
        <v>5</v>
      </c>
      <c r="F12" s="12">
        <v>16</v>
      </c>
      <c r="G12" s="12">
        <v>16</v>
      </c>
      <c r="H12" s="12">
        <v>11</v>
      </c>
      <c r="I12" s="12">
        <v>10.8</v>
      </c>
      <c r="J12" s="12">
        <v>7</v>
      </c>
      <c r="K12" s="12">
        <v>6.47</v>
      </c>
      <c r="L12" s="12">
        <v>2</v>
      </c>
      <c r="M12" s="12">
        <v>2</v>
      </c>
      <c r="N12" s="12">
        <v>0</v>
      </c>
      <c r="O12" s="12">
        <v>0</v>
      </c>
      <c r="P12" s="13">
        <v>41</v>
      </c>
      <c r="Q12" s="13">
        <v>40.27</v>
      </c>
      <c r="R12" s="12">
        <v>0</v>
      </c>
      <c r="S12" s="12">
        <v>0</v>
      </c>
      <c r="T12" s="12">
        <v>0</v>
      </c>
      <c r="U12" s="12">
        <v>0</v>
      </c>
      <c r="V12" s="12">
        <v>0</v>
      </c>
      <c r="W12" s="12">
        <v>0</v>
      </c>
      <c r="X12" s="12">
        <v>0</v>
      </c>
      <c r="Y12" s="12">
        <v>0</v>
      </c>
      <c r="Z12" s="14">
        <v>0</v>
      </c>
      <c r="AA12" s="14">
        <v>0</v>
      </c>
      <c r="AB12" s="4">
        <v>41</v>
      </c>
      <c r="AC12" s="4">
        <v>40.27</v>
      </c>
      <c r="AD12" s="20">
        <v>129055.21</v>
      </c>
      <c r="AE12" s="20">
        <v>206.43</v>
      </c>
      <c r="AF12" s="20">
        <v>12000</v>
      </c>
      <c r="AG12" s="20">
        <v>330.19</v>
      </c>
      <c r="AH12" s="20">
        <v>25152.37</v>
      </c>
      <c r="AI12" s="20">
        <v>12681.99</v>
      </c>
      <c r="AJ12" s="21">
        <v>179426.19</v>
      </c>
      <c r="AK12" s="19">
        <v>0</v>
      </c>
      <c r="AL12" s="19">
        <v>0</v>
      </c>
      <c r="AM12" s="22">
        <v>0</v>
      </c>
      <c r="AN12" s="22">
        <v>179426.19</v>
      </c>
      <c r="AO12" s="3" t="s">
        <v>85</v>
      </c>
    </row>
    <row r="13" spans="1:41" ht="210">
      <c r="A13" s="3" t="s">
        <v>62</v>
      </c>
      <c r="B13" s="3" t="s">
        <v>63</v>
      </c>
      <c r="C13" s="3" t="s">
        <v>48</v>
      </c>
      <c r="D13" s="12">
        <v>0</v>
      </c>
      <c r="E13" s="12">
        <v>0</v>
      </c>
      <c r="F13" s="12">
        <v>0</v>
      </c>
      <c r="G13" s="12">
        <v>0</v>
      </c>
      <c r="H13" s="12">
        <v>0</v>
      </c>
      <c r="I13" s="12">
        <v>0</v>
      </c>
      <c r="J13" s="12">
        <v>0</v>
      </c>
      <c r="K13" s="12">
        <v>0</v>
      </c>
      <c r="L13" s="12">
        <v>0</v>
      </c>
      <c r="M13" s="12">
        <v>0</v>
      </c>
      <c r="N13" s="12">
        <v>72</v>
      </c>
      <c r="O13" s="12">
        <v>66.24</v>
      </c>
      <c r="P13" s="13">
        <v>72</v>
      </c>
      <c r="Q13" s="13">
        <v>66.24</v>
      </c>
      <c r="R13" s="12">
        <v>2</v>
      </c>
      <c r="S13" s="12">
        <v>2</v>
      </c>
      <c r="T13" s="12">
        <v>0</v>
      </c>
      <c r="U13" s="12">
        <v>0</v>
      </c>
      <c r="V13" s="12">
        <v>0</v>
      </c>
      <c r="W13" s="12">
        <v>0</v>
      </c>
      <c r="X13" s="12">
        <v>0</v>
      </c>
      <c r="Y13" s="12">
        <v>0</v>
      </c>
      <c r="Z13" s="14">
        <v>2</v>
      </c>
      <c r="AA13" s="14">
        <v>2</v>
      </c>
      <c r="AB13" s="4">
        <v>74</v>
      </c>
      <c r="AC13" s="4">
        <v>68.24</v>
      </c>
      <c r="AD13" s="20">
        <v>190590</v>
      </c>
      <c r="AE13" s="20">
        <v>33</v>
      </c>
      <c r="AF13" s="20">
        <v>0</v>
      </c>
      <c r="AG13" s="20">
        <v>536</v>
      </c>
      <c r="AH13" s="20">
        <v>35632</v>
      </c>
      <c r="AI13" s="20">
        <v>15577</v>
      </c>
      <c r="AJ13" s="21">
        <v>242368</v>
      </c>
      <c r="AK13" s="19">
        <v>3945</v>
      </c>
      <c r="AL13" s="19">
        <v>0</v>
      </c>
      <c r="AM13" s="22">
        <v>3945</v>
      </c>
      <c r="AN13" s="22">
        <v>246313</v>
      </c>
      <c r="AO13" s="3" t="s">
        <v>64</v>
      </c>
    </row>
    <row r="14" spans="1:41" ht="45">
      <c r="A14" s="3" t="s">
        <v>66</v>
      </c>
      <c r="B14" s="3" t="s">
        <v>63</v>
      </c>
      <c r="C14" s="3" t="s">
        <v>48</v>
      </c>
      <c r="D14" s="12">
        <v>0</v>
      </c>
      <c r="E14" s="12">
        <v>0</v>
      </c>
      <c r="F14" s="12">
        <v>0</v>
      </c>
      <c r="G14" s="12">
        <v>0</v>
      </c>
      <c r="H14" s="12">
        <v>0</v>
      </c>
      <c r="I14" s="12">
        <v>0</v>
      </c>
      <c r="J14" s="12">
        <v>0</v>
      </c>
      <c r="K14" s="12">
        <v>0</v>
      </c>
      <c r="L14" s="12">
        <v>0</v>
      </c>
      <c r="M14" s="12">
        <v>0</v>
      </c>
      <c r="N14" s="12">
        <v>349</v>
      </c>
      <c r="O14" s="12">
        <v>322.79</v>
      </c>
      <c r="P14" s="13">
        <v>349</v>
      </c>
      <c r="Q14" s="13">
        <v>322.79</v>
      </c>
      <c r="R14" s="12">
        <v>4</v>
      </c>
      <c r="S14" s="12">
        <v>4</v>
      </c>
      <c r="T14" s="12">
        <v>0</v>
      </c>
      <c r="U14" s="12">
        <v>0</v>
      </c>
      <c r="V14" s="12">
        <v>0</v>
      </c>
      <c r="W14" s="12">
        <v>0</v>
      </c>
      <c r="X14" s="12">
        <v>0</v>
      </c>
      <c r="Y14" s="12">
        <v>0</v>
      </c>
      <c r="Z14" s="14">
        <v>4</v>
      </c>
      <c r="AA14" s="14">
        <v>4</v>
      </c>
      <c r="AB14" s="4">
        <v>353</v>
      </c>
      <c r="AC14" s="4">
        <v>326.79</v>
      </c>
      <c r="AD14" s="20">
        <v>708729.92</v>
      </c>
      <c r="AE14" s="20">
        <v>1009.32</v>
      </c>
      <c r="AF14" s="20">
        <v>0</v>
      </c>
      <c r="AG14" s="20">
        <v>4117.98</v>
      </c>
      <c r="AH14" s="20">
        <v>129725.57</v>
      </c>
      <c r="AI14" s="20">
        <v>48153.39</v>
      </c>
      <c r="AJ14" s="21">
        <v>891736.18</v>
      </c>
      <c r="AK14" s="19">
        <v>12067</v>
      </c>
      <c r="AL14" s="19">
        <v>0</v>
      </c>
      <c r="AM14" s="22">
        <v>12067</v>
      </c>
      <c r="AN14" s="22">
        <v>903803.18</v>
      </c>
      <c r="AO14" s="3"/>
    </row>
    <row r="15" spans="1:41" ht="45">
      <c r="A15" s="3" t="s">
        <v>67</v>
      </c>
      <c r="B15" s="3" t="s">
        <v>63</v>
      </c>
      <c r="C15" s="3" t="s">
        <v>48</v>
      </c>
      <c r="D15" s="12">
        <v>11</v>
      </c>
      <c r="E15" s="12">
        <v>11</v>
      </c>
      <c r="F15" s="12">
        <v>20</v>
      </c>
      <c r="G15" s="12">
        <v>19.2</v>
      </c>
      <c r="H15" s="12">
        <v>27</v>
      </c>
      <c r="I15" s="12">
        <v>27</v>
      </c>
      <c r="J15" s="12">
        <v>15</v>
      </c>
      <c r="K15" s="12">
        <v>14.2</v>
      </c>
      <c r="L15" s="12">
        <v>3</v>
      </c>
      <c r="M15" s="12">
        <v>3</v>
      </c>
      <c r="N15" s="12">
        <v>1</v>
      </c>
      <c r="O15" s="12">
        <v>0.6</v>
      </c>
      <c r="P15" s="13">
        <v>77</v>
      </c>
      <c r="Q15" s="13">
        <v>75</v>
      </c>
      <c r="R15" s="12">
        <v>0</v>
      </c>
      <c r="S15" s="12">
        <v>0</v>
      </c>
      <c r="T15" s="12">
        <v>0</v>
      </c>
      <c r="U15" s="12">
        <v>0</v>
      </c>
      <c r="V15" s="12">
        <v>0</v>
      </c>
      <c r="W15" s="12">
        <v>0</v>
      </c>
      <c r="X15" s="12">
        <v>0</v>
      </c>
      <c r="Y15" s="12">
        <v>0</v>
      </c>
      <c r="Z15" s="14">
        <v>0</v>
      </c>
      <c r="AA15" s="14">
        <v>0</v>
      </c>
      <c r="AB15" s="4">
        <v>77</v>
      </c>
      <c r="AC15" s="4">
        <v>75</v>
      </c>
      <c r="AD15" s="20">
        <v>216364</v>
      </c>
      <c r="AE15" s="20">
        <v>2272</v>
      </c>
      <c r="AF15" s="20">
        <v>15600</v>
      </c>
      <c r="AG15" s="20">
        <v>0</v>
      </c>
      <c r="AH15" s="20">
        <v>41055</v>
      </c>
      <c r="AI15" s="20">
        <v>20068</v>
      </c>
      <c r="AJ15" s="21">
        <v>295359</v>
      </c>
      <c r="AK15" s="19">
        <v>0</v>
      </c>
      <c r="AL15" s="19">
        <v>0</v>
      </c>
      <c r="AM15" s="22">
        <v>0</v>
      </c>
      <c r="AN15" s="22">
        <v>295359</v>
      </c>
      <c r="AO15" s="3"/>
    </row>
    <row r="16" spans="1:41" ht="105">
      <c r="A16" s="3" t="s">
        <v>68</v>
      </c>
      <c r="B16" s="3" t="s">
        <v>63</v>
      </c>
      <c r="C16" s="3" t="s">
        <v>48</v>
      </c>
      <c r="D16" s="12">
        <v>0</v>
      </c>
      <c r="E16" s="12">
        <v>0</v>
      </c>
      <c r="F16" s="12">
        <v>0</v>
      </c>
      <c r="G16" s="12">
        <v>0</v>
      </c>
      <c r="H16" s="12">
        <v>0</v>
      </c>
      <c r="I16" s="12">
        <v>0</v>
      </c>
      <c r="J16" s="12">
        <v>0</v>
      </c>
      <c r="K16" s="12">
        <v>0</v>
      </c>
      <c r="L16" s="12">
        <v>0</v>
      </c>
      <c r="M16" s="12">
        <v>0</v>
      </c>
      <c r="N16" s="12">
        <v>33</v>
      </c>
      <c r="O16" s="12">
        <v>32.7</v>
      </c>
      <c r="P16" s="13">
        <v>33</v>
      </c>
      <c r="Q16" s="13">
        <v>32.7</v>
      </c>
      <c r="R16" s="12">
        <v>0</v>
      </c>
      <c r="S16" s="12">
        <v>0</v>
      </c>
      <c r="T16" s="12">
        <v>0</v>
      </c>
      <c r="U16" s="12">
        <v>0</v>
      </c>
      <c r="V16" s="12">
        <v>0</v>
      </c>
      <c r="W16" s="12">
        <v>0</v>
      </c>
      <c r="X16" s="12">
        <v>0</v>
      </c>
      <c r="Y16" s="12">
        <v>0</v>
      </c>
      <c r="Z16" s="14">
        <v>0</v>
      </c>
      <c r="AA16" s="14">
        <v>0</v>
      </c>
      <c r="AB16" s="4">
        <v>33</v>
      </c>
      <c r="AC16" s="4">
        <v>32.7</v>
      </c>
      <c r="AD16" s="20">
        <v>155152.55</v>
      </c>
      <c r="AE16" s="20">
        <v>0</v>
      </c>
      <c r="AF16" s="20">
        <v>0</v>
      </c>
      <c r="AG16" s="20">
        <v>0</v>
      </c>
      <c r="AH16" s="20">
        <v>32009.12</v>
      </c>
      <c r="AI16" s="20">
        <v>18728.67</v>
      </c>
      <c r="AJ16" s="21">
        <v>205890.34</v>
      </c>
      <c r="AK16" s="19">
        <v>0</v>
      </c>
      <c r="AL16" s="19">
        <v>0</v>
      </c>
      <c r="AM16" s="22">
        <v>0</v>
      </c>
      <c r="AN16" s="22">
        <v>205890.34</v>
      </c>
      <c r="AO16" s="3" t="s">
        <v>69</v>
      </c>
    </row>
    <row r="17" spans="1:41" ht="45">
      <c r="A17" s="3" t="s">
        <v>70</v>
      </c>
      <c r="B17" s="3" t="s">
        <v>63</v>
      </c>
      <c r="C17" s="3" t="s">
        <v>48</v>
      </c>
      <c r="D17" s="12">
        <v>749</v>
      </c>
      <c r="E17" s="12">
        <v>706</v>
      </c>
      <c r="F17" s="12">
        <v>247</v>
      </c>
      <c r="G17" s="12">
        <v>236.7</v>
      </c>
      <c r="H17" s="12">
        <v>388</v>
      </c>
      <c r="I17" s="12">
        <v>372.9</v>
      </c>
      <c r="J17" s="12">
        <v>89</v>
      </c>
      <c r="K17" s="12">
        <v>87.8</v>
      </c>
      <c r="L17" s="12">
        <v>17</v>
      </c>
      <c r="M17" s="12">
        <v>11.2</v>
      </c>
      <c r="N17" s="12">
        <v>0</v>
      </c>
      <c r="O17" s="12">
        <v>0</v>
      </c>
      <c r="P17" s="13">
        <v>1490</v>
      </c>
      <c r="Q17" s="13">
        <v>1414.6</v>
      </c>
      <c r="R17" s="12">
        <v>75</v>
      </c>
      <c r="S17" s="12">
        <v>72.66</v>
      </c>
      <c r="T17" s="12">
        <v>0</v>
      </c>
      <c r="U17" s="12">
        <v>0</v>
      </c>
      <c r="V17" s="12">
        <v>11</v>
      </c>
      <c r="W17" s="12">
        <v>11</v>
      </c>
      <c r="X17" s="12">
        <v>0</v>
      </c>
      <c r="Y17" s="12">
        <v>0</v>
      </c>
      <c r="Z17" s="14">
        <v>86</v>
      </c>
      <c r="AA17" s="14">
        <v>83.66</v>
      </c>
      <c r="AB17" s="4">
        <v>1576</v>
      </c>
      <c r="AC17" s="4">
        <v>1498.26</v>
      </c>
      <c r="AD17" s="20">
        <v>3267088.49</v>
      </c>
      <c r="AE17" s="20">
        <v>0</v>
      </c>
      <c r="AF17" s="20">
        <v>0</v>
      </c>
      <c r="AG17" s="20">
        <v>87091.25</v>
      </c>
      <c r="AH17" s="20">
        <v>34686.62</v>
      </c>
      <c r="AI17" s="20">
        <v>271795.33</v>
      </c>
      <c r="AJ17" s="21">
        <v>3660661.69</v>
      </c>
      <c r="AK17" s="19">
        <v>84406</v>
      </c>
      <c r="AL17" s="19">
        <v>0</v>
      </c>
      <c r="AM17" s="22">
        <v>84406</v>
      </c>
      <c r="AN17" s="22">
        <v>3745067.69</v>
      </c>
      <c r="AO17" s="3"/>
    </row>
    <row r="18" spans="1:41" ht="45">
      <c r="A18" s="3" t="s">
        <v>71</v>
      </c>
      <c r="B18" s="3" t="s">
        <v>63</v>
      </c>
      <c r="C18" s="3" t="s">
        <v>48</v>
      </c>
      <c r="D18" s="12">
        <v>26</v>
      </c>
      <c r="E18" s="12">
        <v>25.6</v>
      </c>
      <c r="F18" s="12">
        <v>47</v>
      </c>
      <c r="G18" s="12">
        <v>46.4</v>
      </c>
      <c r="H18" s="12">
        <v>14</v>
      </c>
      <c r="I18" s="12">
        <v>13.6</v>
      </c>
      <c r="J18" s="12">
        <v>6</v>
      </c>
      <c r="K18" s="12">
        <v>6</v>
      </c>
      <c r="L18" s="12">
        <v>1</v>
      </c>
      <c r="M18" s="12">
        <v>1</v>
      </c>
      <c r="N18" s="12">
        <v>1</v>
      </c>
      <c r="O18" s="12">
        <v>0.4</v>
      </c>
      <c r="P18" s="13">
        <v>95</v>
      </c>
      <c r="Q18" s="13">
        <v>93</v>
      </c>
      <c r="R18" s="12">
        <v>2</v>
      </c>
      <c r="S18" s="12">
        <v>2</v>
      </c>
      <c r="T18" s="12">
        <v>0</v>
      </c>
      <c r="U18" s="12">
        <v>0</v>
      </c>
      <c r="V18" s="12">
        <v>0</v>
      </c>
      <c r="W18" s="12">
        <v>0</v>
      </c>
      <c r="X18" s="12">
        <v>0</v>
      </c>
      <c r="Y18" s="12">
        <v>0</v>
      </c>
      <c r="Z18" s="14">
        <v>2</v>
      </c>
      <c r="AA18" s="14">
        <v>2</v>
      </c>
      <c r="AB18" s="4">
        <v>97</v>
      </c>
      <c r="AC18" s="4">
        <v>95</v>
      </c>
      <c r="AD18" s="20">
        <v>196758.96</v>
      </c>
      <c r="AE18" s="20">
        <v>21954.17</v>
      </c>
      <c r="AF18" s="20">
        <v>1950</v>
      </c>
      <c r="AG18" s="20">
        <v>3015.11</v>
      </c>
      <c r="AH18" s="20">
        <v>37348.8</v>
      </c>
      <c r="AI18" s="20">
        <v>18382.29</v>
      </c>
      <c r="AJ18" s="21">
        <v>279409.33</v>
      </c>
      <c r="AK18" s="19">
        <v>25019.11</v>
      </c>
      <c r="AL18" s="19">
        <v>0</v>
      </c>
      <c r="AM18" s="22">
        <v>25019.11</v>
      </c>
      <c r="AN18" s="22">
        <v>304428.44</v>
      </c>
      <c r="AO18" s="3"/>
    </row>
    <row r="19" spans="1:41" ht="210">
      <c r="A19" s="3" t="s">
        <v>72</v>
      </c>
      <c r="B19" s="3" t="s">
        <v>63</v>
      </c>
      <c r="C19" s="3" t="s">
        <v>48</v>
      </c>
      <c r="D19" s="12">
        <v>0</v>
      </c>
      <c r="E19" s="12">
        <v>0</v>
      </c>
      <c r="F19" s="12">
        <v>0</v>
      </c>
      <c r="G19" s="12">
        <v>0</v>
      </c>
      <c r="H19" s="12">
        <v>0</v>
      </c>
      <c r="I19" s="12">
        <v>0</v>
      </c>
      <c r="J19" s="12">
        <v>0</v>
      </c>
      <c r="K19" s="12">
        <v>0</v>
      </c>
      <c r="L19" s="12">
        <v>0</v>
      </c>
      <c r="M19" s="12">
        <v>0</v>
      </c>
      <c r="N19" s="12">
        <v>20064</v>
      </c>
      <c r="O19" s="12">
        <v>18156</v>
      </c>
      <c r="P19" s="13">
        <v>20064</v>
      </c>
      <c r="Q19" s="13">
        <v>18156</v>
      </c>
      <c r="R19" s="12">
        <v>1539</v>
      </c>
      <c r="S19" s="12">
        <v>1539</v>
      </c>
      <c r="T19" s="12">
        <v>9</v>
      </c>
      <c r="U19" s="12">
        <v>9</v>
      </c>
      <c r="V19" s="12">
        <v>0</v>
      </c>
      <c r="W19" s="12">
        <v>0</v>
      </c>
      <c r="X19" s="12">
        <v>0</v>
      </c>
      <c r="Y19" s="12">
        <v>0</v>
      </c>
      <c r="Z19" s="14">
        <v>1548</v>
      </c>
      <c r="AA19" s="14">
        <v>1548</v>
      </c>
      <c r="AB19" s="4">
        <v>21612</v>
      </c>
      <c r="AC19" s="4">
        <v>19704</v>
      </c>
      <c r="AD19" s="23" t="s">
        <v>90</v>
      </c>
      <c r="AE19" s="23" t="s">
        <v>90</v>
      </c>
      <c r="AF19" s="23" t="s">
        <v>90</v>
      </c>
      <c r="AG19" s="23" t="s">
        <v>90</v>
      </c>
      <c r="AH19" s="23" t="s">
        <v>90</v>
      </c>
      <c r="AI19" s="23" t="s">
        <v>90</v>
      </c>
      <c r="AJ19" s="23" t="s">
        <v>90</v>
      </c>
      <c r="AK19" s="23" t="s">
        <v>90</v>
      </c>
      <c r="AL19" s="23" t="s">
        <v>90</v>
      </c>
      <c r="AM19" s="23" t="s">
        <v>90</v>
      </c>
      <c r="AN19" s="23" t="s">
        <v>90</v>
      </c>
      <c r="AO19" s="3" t="s">
        <v>78</v>
      </c>
    </row>
    <row r="20" spans="1:41" ht="45">
      <c r="A20" s="3" t="s">
        <v>74</v>
      </c>
      <c r="B20" s="3" t="s">
        <v>63</v>
      </c>
      <c r="C20" s="3" t="s">
        <v>48</v>
      </c>
      <c r="D20" s="12">
        <v>19</v>
      </c>
      <c r="E20" s="12">
        <v>16.45</v>
      </c>
      <c r="F20" s="12">
        <v>41</v>
      </c>
      <c r="G20" s="12">
        <v>39.77</v>
      </c>
      <c r="H20" s="12">
        <v>112</v>
      </c>
      <c r="I20" s="12">
        <v>109.94</v>
      </c>
      <c r="J20" s="12">
        <v>39</v>
      </c>
      <c r="K20" s="12">
        <v>38.1</v>
      </c>
      <c r="L20" s="12">
        <v>4</v>
      </c>
      <c r="M20" s="12">
        <v>3.6</v>
      </c>
      <c r="N20" s="12">
        <v>9</v>
      </c>
      <c r="O20" s="12">
        <v>9</v>
      </c>
      <c r="P20" s="13">
        <v>224</v>
      </c>
      <c r="Q20" s="13">
        <v>216.86</v>
      </c>
      <c r="R20" s="12">
        <v>9</v>
      </c>
      <c r="S20" s="12">
        <v>9</v>
      </c>
      <c r="T20" s="12">
        <v>0</v>
      </c>
      <c r="U20" s="12">
        <v>0</v>
      </c>
      <c r="V20" s="12">
        <v>6</v>
      </c>
      <c r="W20" s="12">
        <v>5.8</v>
      </c>
      <c r="X20" s="12">
        <v>0</v>
      </c>
      <c r="Y20" s="12">
        <v>0</v>
      </c>
      <c r="Z20" s="14">
        <v>15</v>
      </c>
      <c r="AA20" s="14">
        <v>14.8</v>
      </c>
      <c r="AB20" s="4">
        <v>239</v>
      </c>
      <c r="AC20" s="4">
        <v>231.66</v>
      </c>
      <c r="AD20" s="20">
        <v>530941.3</v>
      </c>
      <c r="AE20" s="20">
        <v>72457</v>
      </c>
      <c r="AF20" s="20">
        <v>0</v>
      </c>
      <c r="AG20" s="20">
        <v>4983.95</v>
      </c>
      <c r="AH20" s="20">
        <v>114556.84</v>
      </c>
      <c r="AI20" s="20">
        <v>53704.64</v>
      </c>
      <c r="AJ20" s="21">
        <v>776643.73</v>
      </c>
      <c r="AK20" s="19">
        <v>97172.67</v>
      </c>
      <c r="AL20" s="19">
        <v>0</v>
      </c>
      <c r="AM20" s="22">
        <v>97172.67</v>
      </c>
      <c r="AN20" s="22">
        <v>873816.4</v>
      </c>
      <c r="AO20" s="3"/>
    </row>
    <row r="21" spans="1:41" ht="15">
      <c r="A21" s="3"/>
      <c r="B21" s="3"/>
      <c r="C21" s="3"/>
      <c r="D21" s="12">
        <v>53232</v>
      </c>
      <c r="E21" s="12">
        <v>49703.46473688897</v>
      </c>
      <c r="F21" s="12">
        <v>12570</v>
      </c>
      <c r="G21" s="12">
        <v>11945.494975938116</v>
      </c>
      <c r="H21" s="12">
        <v>8837</v>
      </c>
      <c r="I21" s="12">
        <v>8336.346877512731</v>
      </c>
      <c r="J21" s="12">
        <v>2458</v>
      </c>
      <c r="K21" s="12">
        <v>2392.008478513356</v>
      </c>
      <c r="L21" s="12">
        <v>243</v>
      </c>
      <c r="M21" s="12">
        <v>234.01</v>
      </c>
      <c r="N21" s="12">
        <v>20529</v>
      </c>
      <c r="O21" s="12">
        <v>18587.73</v>
      </c>
      <c r="P21" s="13">
        <v>97869</v>
      </c>
      <c r="Q21" s="13">
        <v>91199.0550688532</v>
      </c>
      <c r="R21" s="12">
        <v>2427</v>
      </c>
      <c r="S21" s="12">
        <v>2554.54</v>
      </c>
      <c r="T21" s="12">
        <v>17</v>
      </c>
      <c r="U21" s="12">
        <v>17</v>
      </c>
      <c r="V21" s="12">
        <v>200</v>
      </c>
      <c r="W21" s="12">
        <v>198.8</v>
      </c>
      <c r="X21" s="12">
        <v>0</v>
      </c>
      <c r="Y21" s="12">
        <v>0</v>
      </c>
      <c r="Z21" s="14">
        <v>2644</v>
      </c>
      <c r="AA21" s="14">
        <v>2770.34</v>
      </c>
      <c r="AB21" s="4">
        <v>100513</v>
      </c>
      <c r="AC21" s="4">
        <v>93969.39506885318</v>
      </c>
      <c r="AD21" s="20">
        <v>159629641.85000014</v>
      </c>
      <c r="AE21" s="20">
        <v>984651.63</v>
      </c>
      <c r="AF21" s="20">
        <v>833975.94</v>
      </c>
      <c r="AG21" s="20">
        <v>1276324.11</v>
      </c>
      <c r="AH21" s="20">
        <v>28607780.190000016</v>
      </c>
      <c r="AI21" s="20">
        <v>11675352.470000004</v>
      </c>
      <c r="AJ21" s="21">
        <f>SUM(AJ7:AJ20)</f>
        <v>206723271.61000013</v>
      </c>
      <c r="AK21" s="19">
        <v>5404767.390000001</v>
      </c>
      <c r="AL21" s="19">
        <v>40504.35</v>
      </c>
      <c r="AM21" s="22">
        <v>5445271.740000001</v>
      </c>
      <c r="AN21" s="22">
        <f>SUM(AN7:AN20)</f>
        <v>212168543.35000014</v>
      </c>
      <c r="AO21" s="3"/>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row r="101" spans="1:41" ht="15">
      <c r="A101" s="3"/>
      <c r="B101" s="3"/>
      <c r="C101" s="3"/>
      <c r="D101" s="12"/>
      <c r="E101" s="12"/>
      <c r="F101" s="12"/>
      <c r="G101" s="12"/>
      <c r="H101" s="12"/>
      <c r="I101" s="12"/>
      <c r="J101" s="12"/>
      <c r="K101" s="12"/>
      <c r="L101" s="12"/>
      <c r="M101" s="12"/>
      <c r="N101" s="12"/>
      <c r="O101" s="12"/>
      <c r="P101" s="13"/>
      <c r="Q101" s="13"/>
      <c r="R101" s="12"/>
      <c r="S101" s="12"/>
      <c r="T101" s="12"/>
      <c r="U101" s="12"/>
      <c r="V101" s="12"/>
      <c r="W101" s="12"/>
      <c r="X101" s="12"/>
      <c r="Y101" s="12"/>
      <c r="Z101" s="14"/>
      <c r="AA101" s="14"/>
      <c r="AB101" s="4"/>
      <c r="AC101" s="4"/>
      <c r="AD101" s="6"/>
      <c r="AE101" s="6"/>
      <c r="AF101" s="6"/>
      <c r="AG101" s="6"/>
      <c r="AH101" s="6"/>
      <c r="AI101" s="6"/>
      <c r="AJ101" s="7"/>
      <c r="AK101" s="5"/>
      <c r="AL101" s="5"/>
      <c r="AM101" s="8"/>
      <c r="AN101" s="8"/>
      <c r="AO101" s="9"/>
    </row>
    <row r="102" spans="1:41" ht="15">
      <c r="A102" s="3"/>
      <c r="B102" s="3"/>
      <c r="C102" s="3"/>
      <c r="D102" s="12"/>
      <c r="E102" s="12"/>
      <c r="F102" s="12"/>
      <c r="G102" s="12"/>
      <c r="H102" s="12"/>
      <c r="I102" s="12"/>
      <c r="J102" s="12"/>
      <c r="K102" s="12"/>
      <c r="L102" s="12"/>
      <c r="M102" s="12"/>
      <c r="N102" s="12"/>
      <c r="O102" s="12"/>
      <c r="P102" s="13"/>
      <c r="Q102" s="13"/>
      <c r="R102" s="12"/>
      <c r="S102" s="12"/>
      <c r="T102" s="12"/>
      <c r="U102" s="12"/>
      <c r="V102" s="12"/>
      <c r="W102" s="12"/>
      <c r="X102" s="12"/>
      <c r="Y102" s="12"/>
      <c r="Z102" s="14"/>
      <c r="AA102" s="14"/>
      <c r="AB102" s="4"/>
      <c r="AC102" s="4"/>
      <c r="AD102" s="6"/>
      <c r="AE102" s="6"/>
      <c r="AF102" s="6"/>
      <c r="AG102" s="6"/>
      <c r="AH102" s="6"/>
      <c r="AI102" s="6"/>
      <c r="AJ102" s="7"/>
      <c r="AK102" s="5"/>
      <c r="AL102" s="5"/>
      <c r="AM102" s="8"/>
      <c r="AN102" s="8"/>
      <c r="AO102" s="9"/>
    </row>
    <row r="103" spans="1:41" ht="15">
      <c r="A103" s="3"/>
      <c r="B103" s="3"/>
      <c r="C103" s="3"/>
      <c r="D103" s="12"/>
      <c r="E103" s="12"/>
      <c r="F103" s="12"/>
      <c r="G103" s="12"/>
      <c r="H103" s="12"/>
      <c r="I103" s="12"/>
      <c r="J103" s="12"/>
      <c r="K103" s="12"/>
      <c r="L103" s="12"/>
      <c r="M103" s="12"/>
      <c r="N103" s="12"/>
      <c r="O103" s="12"/>
      <c r="P103" s="13"/>
      <c r="Q103" s="13"/>
      <c r="R103" s="12"/>
      <c r="S103" s="12"/>
      <c r="T103" s="12"/>
      <c r="U103" s="12"/>
      <c r="V103" s="12"/>
      <c r="W103" s="12"/>
      <c r="X103" s="12"/>
      <c r="Y103" s="12"/>
      <c r="Z103" s="14"/>
      <c r="AA103" s="14"/>
      <c r="AB103" s="4"/>
      <c r="AC103" s="4"/>
      <c r="AD103" s="6"/>
      <c r="AE103" s="6"/>
      <c r="AF103" s="6"/>
      <c r="AG103" s="6"/>
      <c r="AH103" s="6"/>
      <c r="AI103" s="6"/>
      <c r="AJ103" s="7"/>
      <c r="AK103" s="5"/>
      <c r="AL103" s="5"/>
      <c r="AM103" s="8"/>
      <c r="AN103" s="8"/>
      <c r="AO103" s="9"/>
    </row>
  </sheetData>
  <mergeCells count="32">
    <mergeCell ref="AJ5:AJ6"/>
    <mergeCell ref="AK5:AK6"/>
    <mergeCell ref="AL5:AL6"/>
    <mergeCell ref="AM5:AM6"/>
    <mergeCell ref="AF5:AF6"/>
    <mergeCell ref="AG5:AG6"/>
    <mergeCell ref="AH5:AH6"/>
    <mergeCell ref="AI5:AI6"/>
    <mergeCell ref="AN4:AN6"/>
    <mergeCell ref="AO4:AO6"/>
    <mergeCell ref="D5:E5"/>
    <mergeCell ref="F5:G5"/>
    <mergeCell ref="H5:I5"/>
    <mergeCell ref="J5:K5"/>
    <mergeCell ref="L5:M5"/>
    <mergeCell ref="N5:O5"/>
    <mergeCell ref="P5:Q5"/>
    <mergeCell ref="R5:S5"/>
    <mergeCell ref="R4:AA4"/>
    <mergeCell ref="AB4:AC5"/>
    <mergeCell ref="AD4:AJ4"/>
    <mergeCell ref="AK4:AM4"/>
    <mergeCell ref="T5:U5"/>
    <mergeCell ref="V5:W5"/>
    <mergeCell ref="X5:Y5"/>
    <mergeCell ref="Z5:AA5"/>
    <mergeCell ref="AD5:AD6"/>
    <mergeCell ref="AE5:AE6"/>
    <mergeCell ref="A4:A6"/>
    <mergeCell ref="B4:B6"/>
    <mergeCell ref="C4:C6"/>
    <mergeCell ref="D4:Q4"/>
  </mergeCells>
  <conditionalFormatting sqref="B7:B103">
    <cfRule type="expression" priority="1" dxfId="22" stopIfTrue="1">
      <formula>AND(NOT(ISBLANK($A7)),ISBLANK(B7))</formula>
    </cfRule>
  </conditionalFormatting>
  <conditionalFormatting sqref="C7:C103">
    <cfRule type="expression" priority="2" dxfId="22" stopIfTrue="1">
      <formula>AND(NOT(ISBLANK(A7)),ISBLANK(C7))</formula>
    </cfRule>
  </conditionalFormatting>
  <conditionalFormatting sqref="D7:D103 F7:F103 H7:H103 J7:J103 L7:L103 N7:N103 X7:X103 T7:T103 V7:V103 R7:R103 AD19:AN19">
    <cfRule type="expression" priority="3" dxfId="22" stopIfTrue="1">
      <formula>AND(NOT(ISBLANK(E7)),ISBLANK(D7))</formula>
    </cfRule>
  </conditionalFormatting>
  <conditionalFormatting sqref="E7:E103 G7:G103 I7:I103 K7:K103 M7:M103 O7:O103 S7:S103 U7:U103 W7:W103 Y7:Y103">
    <cfRule type="expression" priority="4" dxfId="22" stopIfTrue="1">
      <formula>AND(NOT(ISBLANK(D7)),ISBLANK(E7))</formula>
    </cfRule>
  </conditionalFormatting>
  <dataValidations count="4">
    <dataValidation type="decimal" operator="greaterThan" allowBlank="1" showInputMessage="1" showErrorMessage="1" sqref="AK20:AL103 AK7:AL18 AD7:AI18 AD20:AI103">
      <formula1>0</formula1>
    </dataValidation>
    <dataValidation operator="lessThanOrEqual" allowBlank="1" showInputMessage="1" showErrorMessage="1" error="FTE cannot be greater than Headcount&#10;" sqref="AP1:IV65536 R104:AN65536 AO4 AO7:AO65536 R4 A4:C4 P5 A104:O65536 P7:Q65536 AB6:AC103 AB4"/>
    <dataValidation type="custom" allowBlank="1" showInputMessage="1" showErrorMessage="1" errorTitle="Headcount" error="The value entered in the headcount field must be greater than or equal to the value entered in the FTE field." sqref="F7:F103 H7:H103 J7:J103 L7:L103 N7:N103 T7:T103 V7:V103 X7:X103 D7:D103 R7:R103 AD19:AN19">
      <formula1>F7&gt;=G7</formula1>
    </dataValidation>
    <dataValidation type="custom" allowBlank="1" showInputMessage="1" showErrorMessage="1" errorTitle="FTE" error="The value entered in the FTE field must be less than or equal to the value entered in the headcount field." sqref="M7:M103 G7:G103 I7:I103 K7:K103 O7:O103 U7:U103 W7:W103 Y7:Y103 S7:S103 E7:E103">
      <formula1>M7&lt;=L7</formula1>
    </dataValidation>
  </dataValidation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AO103"/>
  <sheetViews>
    <sheetView zoomScale="70" zoomScaleNormal="70" workbookViewId="0" topLeftCell="A1">
      <selection activeCell="A1" sqref="A1"/>
    </sheetView>
  </sheetViews>
  <sheetFormatPr defaultColWidth="8.88671875" defaultRowHeight="15"/>
  <cols>
    <col min="1" max="1" width="23.5546875" style="2" customWidth="1"/>
    <col min="2" max="3" width="14.99609375" style="2" customWidth="1"/>
    <col min="4" max="4" width="10.6640625" style="15" customWidth="1"/>
    <col min="5" max="5" width="10.4453125" style="15" customWidth="1"/>
    <col min="6" max="6" width="10.6640625" style="15" customWidth="1"/>
    <col min="7" max="7" width="10.4453125" style="15" customWidth="1"/>
    <col min="8" max="8" width="10.6640625" style="15" customWidth="1"/>
    <col min="9" max="9" width="10.4453125" style="15" customWidth="1"/>
    <col min="10" max="10" width="11.3359375" style="15" customWidth="1"/>
    <col min="11" max="11" width="10.4453125" style="15" customWidth="1"/>
    <col min="12" max="12" width="10.6640625" style="15" customWidth="1"/>
    <col min="13" max="13" width="10.4453125" style="15" customWidth="1"/>
    <col min="14" max="14" width="10.88671875" style="15" customWidth="1"/>
    <col min="15" max="15" width="10.4453125" style="15" customWidth="1"/>
    <col min="16" max="16" width="10.99609375" style="15" customWidth="1"/>
    <col min="17"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ht="15">
      <c r="A1" s="2" t="s">
        <v>92</v>
      </c>
    </row>
    <row r="2" ht="15">
      <c r="A2" s="24" t="s">
        <v>93</v>
      </c>
    </row>
    <row r="3" ht="15">
      <c r="A3" s="24" t="s">
        <v>94</v>
      </c>
    </row>
    <row r="4" spans="1:41" s="1" customFormat="1" ht="15" customHeight="1">
      <c r="A4" s="387" t="s">
        <v>26</v>
      </c>
      <c r="B4" s="387" t="s">
        <v>15</v>
      </c>
      <c r="C4" s="387" t="s">
        <v>14</v>
      </c>
      <c r="D4" s="390" t="s">
        <v>22</v>
      </c>
      <c r="E4" s="391"/>
      <c r="F4" s="391"/>
      <c r="G4" s="391"/>
      <c r="H4" s="391"/>
      <c r="I4" s="391"/>
      <c r="J4" s="391"/>
      <c r="K4" s="391"/>
      <c r="L4" s="391"/>
      <c r="M4" s="391"/>
      <c r="N4" s="391"/>
      <c r="O4" s="391"/>
      <c r="P4" s="391"/>
      <c r="Q4" s="392"/>
      <c r="R4" s="393" t="s">
        <v>29</v>
      </c>
      <c r="S4" s="394"/>
      <c r="T4" s="394"/>
      <c r="U4" s="394"/>
      <c r="V4" s="394"/>
      <c r="W4" s="394"/>
      <c r="X4" s="394"/>
      <c r="Y4" s="394"/>
      <c r="Z4" s="394"/>
      <c r="AA4" s="395"/>
      <c r="AB4" s="396" t="s">
        <v>39</v>
      </c>
      <c r="AC4" s="397"/>
      <c r="AD4" s="400" t="s">
        <v>25</v>
      </c>
      <c r="AE4" s="401"/>
      <c r="AF4" s="401"/>
      <c r="AG4" s="401"/>
      <c r="AH4" s="401"/>
      <c r="AI4" s="401"/>
      <c r="AJ4" s="402"/>
      <c r="AK4" s="385" t="s">
        <v>46</v>
      </c>
      <c r="AL4" s="385"/>
      <c r="AM4" s="385"/>
      <c r="AN4" s="404" t="s">
        <v>38</v>
      </c>
      <c r="AO4" s="387" t="s">
        <v>47</v>
      </c>
    </row>
    <row r="5" spans="1:41" s="1" customFormat="1" ht="53.25" customHeight="1">
      <c r="A5" s="388"/>
      <c r="B5" s="388"/>
      <c r="C5" s="388"/>
      <c r="D5" s="408" t="s">
        <v>42</v>
      </c>
      <c r="E5" s="409"/>
      <c r="F5" s="408" t="s">
        <v>43</v>
      </c>
      <c r="G5" s="409"/>
      <c r="H5" s="408" t="s">
        <v>44</v>
      </c>
      <c r="I5" s="409"/>
      <c r="J5" s="408" t="s">
        <v>20</v>
      </c>
      <c r="K5" s="409"/>
      <c r="L5" s="408" t="s">
        <v>45</v>
      </c>
      <c r="M5" s="409"/>
      <c r="N5" s="408" t="s">
        <v>19</v>
      </c>
      <c r="O5" s="409"/>
      <c r="P5" s="390" t="s">
        <v>23</v>
      </c>
      <c r="Q5" s="392"/>
      <c r="R5" s="390" t="s">
        <v>27</v>
      </c>
      <c r="S5" s="395"/>
      <c r="T5" s="393" t="s">
        <v>17</v>
      </c>
      <c r="U5" s="395"/>
      <c r="V5" s="393" t="s">
        <v>18</v>
      </c>
      <c r="W5" s="395"/>
      <c r="X5" s="393" t="s">
        <v>28</v>
      </c>
      <c r="Y5" s="395"/>
      <c r="Z5" s="390" t="s">
        <v>24</v>
      </c>
      <c r="AA5" s="392"/>
      <c r="AB5" s="398"/>
      <c r="AC5" s="399"/>
      <c r="AD5" s="387" t="s">
        <v>31</v>
      </c>
      <c r="AE5" s="387" t="s">
        <v>30</v>
      </c>
      <c r="AF5" s="387" t="s">
        <v>32</v>
      </c>
      <c r="AG5" s="387" t="s">
        <v>33</v>
      </c>
      <c r="AH5" s="387" t="s">
        <v>34</v>
      </c>
      <c r="AI5" s="387" t="s">
        <v>35</v>
      </c>
      <c r="AJ5" s="383" t="s">
        <v>37</v>
      </c>
      <c r="AK5" s="387" t="s">
        <v>40</v>
      </c>
      <c r="AL5" s="387" t="s">
        <v>41</v>
      </c>
      <c r="AM5" s="387" t="s">
        <v>36</v>
      </c>
      <c r="AN5" s="405"/>
      <c r="AO5" s="407"/>
    </row>
    <row r="6" spans="1:41" ht="57.75" customHeight="1">
      <c r="A6" s="389"/>
      <c r="B6" s="389"/>
      <c r="C6" s="389"/>
      <c r="D6" s="10" t="s">
        <v>16</v>
      </c>
      <c r="E6" s="10" t="s">
        <v>21</v>
      </c>
      <c r="F6" s="10" t="s">
        <v>16</v>
      </c>
      <c r="G6" s="10" t="s">
        <v>21</v>
      </c>
      <c r="H6" s="10" t="s">
        <v>16</v>
      </c>
      <c r="I6" s="10" t="s">
        <v>21</v>
      </c>
      <c r="J6" s="10" t="s">
        <v>16</v>
      </c>
      <c r="K6" s="10" t="s">
        <v>21</v>
      </c>
      <c r="L6" s="10" t="s">
        <v>16</v>
      </c>
      <c r="M6" s="10" t="s">
        <v>21</v>
      </c>
      <c r="N6" s="10" t="s">
        <v>16</v>
      </c>
      <c r="O6" s="10" t="s">
        <v>21</v>
      </c>
      <c r="P6" s="10" t="s">
        <v>16</v>
      </c>
      <c r="Q6" s="10" t="s">
        <v>21</v>
      </c>
      <c r="R6" s="11" t="s">
        <v>16</v>
      </c>
      <c r="S6" s="11" t="s">
        <v>21</v>
      </c>
      <c r="T6" s="11" t="s">
        <v>16</v>
      </c>
      <c r="U6" s="11" t="s">
        <v>21</v>
      </c>
      <c r="V6" s="11" t="s">
        <v>16</v>
      </c>
      <c r="W6" s="11" t="s">
        <v>21</v>
      </c>
      <c r="X6" s="11" t="s">
        <v>16</v>
      </c>
      <c r="Y6" s="11" t="s">
        <v>21</v>
      </c>
      <c r="Z6" s="11" t="s">
        <v>16</v>
      </c>
      <c r="AA6" s="11" t="s">
        <v>21</v>
      </c>
      <c r="AB6" s="17" t="s">
        <v>16</v>
      </c>
      <c r="AC6" s="16" t="s">
        <v>21</v>
      </c>
      <c r="AD6" s="403"/>
      <c r="AE6" s="403"/>
      <c r="AF6" s="403"/>
      <c r="AG6" s="403"/>
      <c r="AH6" s="403"/>
      <c r="AI6" s="403"/>
      <c r="AJ6" s="383"/>
      <c r="AK6" s="403"/>
      <c r="AL6" s="403"/>
      <c r="AM6" s="403"/>
      <c r="AN6" s="406"/>
      <c r="AO6" s="403"/>
    </row>
    <row r="7" spans="1:41" ht="30">
      <c r="A7" s="3" t="s">
        <v>48</v>
      </c>
      <c r="B7" s="3" t="s">
        <v>49</v>
      </c>
      <c r="C7" s="3" t="s">
        <v>48</v>
      </c>
      <c r="D7" s="12">
        <v>1071</v>
      </c>
      <c r="E7" s="12">
        <v>1001.74</v>
      </c>
      <c r="F7" s="12">
        <v>816</v>
      </c>
      <c r="G7" s="12">
        <v>784.74</v>
      </c>
      <c r="H7" s="12">
        <v>1598</v>
      </c>
      <c r="I7" s="12">
        <v>1549.51</v>
      </c>
      <c r="J7" s="12">
        <v>799</v>
      </c>
      <c r="K7" s="12">
        <v>772.02</v>
      </c>
      <c r="L7" s="12">
        <v>122</v>
      </c>
      <c r="M7" s="12">
        <v>119.33</v>
      </c>
      <c r="N7" s="12">
        <v>0</v>
      </c>
      <c r="O7" s="12">
        <v>0</v>
      </c>
      <c r="P7" s="13">
        <v>4406</v>
      </c>
      <c r="Q7" s="13">
        <v>4227.34</v>
      </c>
      <c r="R7" s="12">
        <v>182</v>
      </c>
      <c r="S7" s="12">
        <v>181.1</v>
      </c>
      <c r="T7" s="12">
        <v>19</v>
      </c>
      <c r="U7" s="12">
        <v>19</v>
      </c>
      <c r="V7" s="12">
        <v>161.5</v>
      </c>
      <c r="W7" s="12">
        <v>150</v>
      </c>
      <c r="X7" s="12">
        <v>0</v>
      </c>
      <c r="Y7" s="12">
        <v>0</v>
      </c>
      <c r="Z7" s="14">
        <v>362.5</v>
      </c>
      <c r="AA7" s="14">
        <v>350.1</v>
      </c>
      <c r="AB7" s="4">
        <v>4768.5</v>
      </c>
      <c r="AC7" s="4">
        <v>4577.44</v>
      </c>
      <c r="AD7" s="19">
        <v>13367118.18</v>
      </c>
      <c r="AE7" s="20">
        <v>248647.35</v>
      </c>
      <c r="AF7" s="20">
        <v>18693.06</v>
      </c>
      <c r="AG7" s="20">
        <v>112650.24</v>
      </c>
      <c r="AH7" s="20">
        <v>1478193.2</v>
      </c>
      <c r="AI7" s="20">
        <v>1129227.17</v>
      </c>
      <c r="AJ7" s="21">
        <v>16354529.2</v>
      </c>
      <c r="AK7" s="19">
        <v>3945</v>
      </c>
      <c r="AL7" s="19">
        <v>3945</v>
      </c>
      <c r="AM7" s="22">
        <v>7890</v>
      </c>
      <c r="AN7" s="22">
        <f>SUM(AJ7,AM7)</f>
        <v>16362419.2</v>
      </c>
      <c r="AO7" s="18"/>
    </row>
    <row r="8" spans="1:41" ht="210">
      <c r="A8" s="3" t="s">
        <v>76</v>
      </c>
      <c r="B8" s="3" t="s">
        <v>51</v>
      </c>
      <c r="C8" s="3" t="s">
        <v>48</v>
      </c>
      <c r="D8" s="12">
        <v>14588</v>
      </c>
      <c r="E8" s="12">
        <v>12744.13</v>
      </c>
      <c r="F8" s="12">
        <v>3848</v>
      </c>
      <c r="G8" s="12">
        <v>3581.22</v>
      </c>
      <c r="H8" s="12">
        <v>3026</v>
      </c>
      <c r="I8" s="12">
        <v>2820.36</v>
      </c>
      <c r="J8" s="12">
        <v>739</v>
      </c>
      <c r="K8" s="12">
        <v>721.73</v>
      </c>
      <c r="L8" s="12">
        <v>39</v>
      </c>
      <c r="M8" s="12">
        <v>38.92</v>
      </c>
      <c r="N8" s="12">
        <v>0</v>
      </c>
      <c r="O8" s="12">
        <v>0</v>
      </c>
      <c r="P8" s="13">
        <v>22240</v>
      </c>
      <c r="Q8" s="13">
        <v>19906.36</v>
      </c>
      <c r="R8" s="23" t="s">
        <v>90</v>
      </c>
      <c r="S8" s="12">
        <v>200.31</v>
      </c>
      <c r="T8" s="12">
        <v>0</v>
      </c>
      <c r="U8" s="12">
        <v>0</v>
      </c>
      <c r="V8" s="12">
        <v>0</v>
      </c>
      <c r="W8" s="12">
        <v>0</v>
      </c>
      <c r="X8" s="12">
        <v>0</v>
      </c>
      <c r="Y8" s="12">
        <v>0</v>
      </c>
      <c r="Z8" s="14">
        <v>0</v>
      </c>
      <c r="AA8" s="14">
        <v>200.31</v>
      </c>
      <c r="AB8" s="4">
        <v>22240</v>
      </c>
      <c r="AC8" s="4">
        <v>20106.67</v>
      </c>
      <c r="AD8" s="20">
        <v>37312444.830000006</v>
      </c>
      <c r="AE8" s="20">
        <v>571310.85</v>
      </c>
      <c r="AF8" s="20">
        <v>135704.16</v>
      </c>
      <c r="AG8" s="20">
        <v>246912.36</v>
      </c>
      <c r="AH8" s="20">
        <v>6630663.6899999995</v>
      </c>
      <c r="AI8" s="20">
        <v>2508083.92</v>
      </c>
      <c r="AJ8" s="21">
        <v>47405119.81</v>
      </c>
      <c r="AK8" s="19">
        <v>589346</v>
      </c>
      <c r="AL8" s="19">
        <v>0</v>
      </c>
      <c r="AM8" s="22">
        <v>589346</v>
      </c>
      <c r="AN8" s="22">
        <v>47994465.81</v>
      </c>
      <c r="AO8" s="3" t="s">
        <v>80</v>
      </c>
    </row>
    <row r="9" spans="1:41" ht="30">
      <c r="A9" s="3" t="s">
        <v>52</v>
      </c>
      <c r="B9" s="3" t="s">
        <v>53</v>
      </c>
      <c r="C9" s="3" t="s">
        <v>48</v>
      </c>
      <c r="D9" s="12">
        <v>0</v>
      </c>
      <c r="E9" s="12">
        <v>0</v>
      </c>
      <c r="F9" s="12">
        <v>0</v>
      </c>
      <c r="G9" s="12">
        <v>0</v>
      </c>
      <c r="H9" s="12">
        <v>0</v>
      </c>
      <c r="I9" s="12">
        <v>0</v>
      </c>
      <c r="J9" s="12">
        <v>0</v>
      </c>
      <c r="K9" s="12">
        <v>0</v>
      </c>
      <c r="L9" s="12">
        <v>0</v>
      </c>
      <c r="M9" s="12">
        <v>0</v>
      </c>
      <c r="N9" s="12">
        <v>0</v>
      </c>
      <c r="O9" s="12">
        <v>0</v>
      </c>
      <c r="P9" s="13">
        <v>0</v>
      </c>
      <c r="Q9" s="13">
        <v>0</v>
      </c>
      <c r="R9" s="12">
        <v>0</v>
      </c>
      <c r="S9" s="12">
        <v>0</v>
      </c>
      <c r="T9" s="12">
        <v>0</v>
      </c>
      <c r="U9" s="12">
        <v>0</v>
      </c>
      <c r="V9" s="12">
        <v>0</v>
      </c>
      <c r="W9" s="12">
        <v>0</v>
      </c>
      <c r="X9" s="12">
        <v>0</v>
      </c>
      <c r="Y9" s="12">
        <v>0</v>
      </c>
      <c r="Z9" s="14">
        <v>0</v>
      </c>
      <c r="AA9" s="14">
        <v>0</v>
      </c>
      <c r="AB9" s="4">
        <v>0</v>
      </c>
      <c r="AC9" s="4">
        <v>0</v>
      </c>
      <c r="AD9" s="20">
        <v>0</v>
      </c>
      <c r="AE9" s="20">
        <v>0</v>
      </c>
      <c r="AF9" s="20">
        <v>0</v>
      </c>
      <c r="AG9" s="20">
        <v>0</v>
      </c>
      <c r="AH9" s="20">
        <v>0</v>
      </c>
      <c r="AI9" s="20">
        <v>0</v>
      </c>
      <c r="AJ9" s="21">
        <v>0</v>
      </c>
      <c r="AK9" s="19">
        <v>0</v>
      </c>
      <c r="AL9" s="19">
        <v>0</v>
      </c>
      <c r="AM9" s="22">
        <v>0</v>
      </c>
      <c r="AN9" s="22">
        <v>0</v>
      </c>
      <c r="AO9" s="3" t="s">
        <v>81</v>
      </c>
    </row>
    <row r="10" spans="1:41" ht="15">
      <c r="A10" s="3" t="s">
        <v>55</v>
      </c>
      <c r="B10" s="3" t="s">
        <v>51</v>
      </c>
      <c r="C10" s="3" t="s">
        <v>48</v>
      </c>
      <c r="D10" s="12">
        <v>186</v>
      </c>
      <c r="E10" s="12">
        <v>165.86</v>
      </c>
      <c r="F10" s="12">
        <v>122</v>
      </c>
      <c r="G10" s="12">
        <v>117.3</v>
      </c>
      <c r="H10" s="12">
        <v>246</v>
      </c>
      <c r="I10" s="12">
        <v>238.73</v>
      </c>
      <c r="J10" s="12">
        <v>60</v>
      </c>
      <c r="K10" s="12">
        <v>59.11</v>
      </c>
      <c r="L10" s="12">
        <v>6</v>
      </c>
      <c r="M10" s="12">
        <v>6</v>
      </c>
      <c r="N10" s="12">
        <v>0</v>
      </c>
      <c r="O10" s="12">
        <v>0</v>
      </c>
      <c r="P10" s="13">
        <v>620</v>
      </c>
      <c r="Q10" s="13">
        <v>587</v>
      </c>
      <c r="R10" s="12">
        <v>9</v>
      </c>
      <c r="S10" s="12">
        <v>7.4</v>
      </c>
      <c r="T10" s="12">
        <v>0</v>
      </c>
      <c r="U10" s="12">
        <v>0</v>
      </c>
      <c r="V10" s="12">
        <v>4</v>
      </c>
      <c r="W10" s="12">
        <v>4</v>
      </c>
      <c r="X10" s="12">
        <v>0</v>
      </c>
      <c r="Y10" s="12">
        <v>0</v>
      </c>
      <c r="Z10" s="14">
        <v>13</v>
      </c>
      <c r="AA10" s="14">
        <v>11.4</v>
      </c>
      <c r="AB10" s="4">
        <v>633</v>
      </c>
      <c r="AC10" s="4">
        <v>598.4</v>
      </c>
      <c r="AD10" s="20">
        <v>1436037.21</v>
      </c>
      <c r="AE10" s="20">
        <v>6366.84</v>
      </c>
      <c r="AF10" s="20">
        <v>56140</v>
      </c>
      <c r="AG10" s="20">
        <v>10531.3</v>
      </c>
      <c r="AH10" s="20">
        <v>246933.32</v>
      </c>
      <c r="AI10" s="20">
        <v>136938.43</v>
      </c>
      <c r="AJ10" s="21">
        <v>1892947.1</v>
      </c>
      <c r="AK10" s="19">
        <v>17211.34</v>
      </c>
      <c r="AL10" s="19">
        <v>0</v>
      </c>
      <c r="AM10" s="22">
        <v>17211.34</v>
      </c>
      <c r="AN10" s="22">
        <v>1910158.44</v>
      </c>
      <c r="AO10" s="3"/>
    </row>
    <row r="11" spans="1:41" ht="30">
      <c r="A11" s="3" t="s">
        <v>56</v>
      </c>
      <c r="B11" s="3" t="s">
        <v>51</v>
      </c>
      <c r="C11" s="3" t="s">
        <v>48</v>
      </c>
      <c r="D11" s="12">
        <v>36315</v>
      </c>
      <c r="E11" s="12">
        <v>34781.644822656875</v>
      </c>
      <c r="F11" s="12">
        <v>7366</v>
      </c>
      <c r="G11" s="12">
        <v>7067.021343069118</v>
      </c>
      <c r="H11" s="12">
        <v>3347</v>
      </c>
      <c r="I11" s="12">
        <v>3124.8152863396763</v>
      </c>
      <c r="J11" s="12">
        <v>684</v>
      </c>
      <c r="K11" s="12">
        <v>665.4036004645761</v>
      </c>
      <c r="L11" s="12">
        <v>45</v>
      </c>
      <c r="M11" s="12">
        <v>45</v>
      </c>
      <c r="N11" s="12">
        <v>0</v>
      </c>
      <c r="O11" s="12">
        <v>0</v>
      </c>
      <c r="P11" s="13">
        <v>47757</v>
      </c>
      <c r="Q11" s="13">
        <v>45683.88505253025</v>
      </c>
      <c r="R11" s="12">
        <v>345</v>
      </c>
      <c r="S11" s="12">
        <v>345</v>
      </c>
      <c r="T11" s="12">
        <v>0</v>
      </c>
      <c r="U11" s="12">
        <v>0</v>
      </c>
      <c r="V11" s="12">
        <v>0</v>
      </c>
      <c r="W11" s="12">
        <v>0</v>
      </c>
      <c r="X11" s="12">
        <v>0</v>
      </c>
      <c r="Y11" s="12">
        <v>0</v>
      </c>
      <c r="Z11" s="14">
        <v>345</v>
      </c>
      <c r="AA11" s="14">
        <v>345</v>
      </c>
      <c r="AB11" s="4">
        <v>48102</v>
      </c>
      <c r="AC11" s="4">
        <v>46028.88505253025</v>
      </c>
      <c r="AD11" s="20">
        <v>113113913.98999979</v>
      </c>
      <c r="AE11" s="20">
        <v>0</v>
      </c>
      <c r="AF11" s="20">
        <v>0</v>
      </c>
      <c r="AG11" s="20">
        <v>4365998.54</v>
      </c>
      <c r="AH11" s="20">
        <v>20837420.640000008</v>
      </c>
      <c r="AI11" s="20">
        <v>8920284.169999998</v>
      </c>
      <c r="AJ11" s="21">
        <v>147237617.3399998</v>
      </c>
      <c r="AK11" s="19">
        <v>1885955.33</v>
      </c>
      <c r="AL11" s="19">
        <v>0</v>
      </c>
      <c r="AM11" s="22">
        <v>1885955.33</v>
      </c>
      <c r="AN11" s="22">
        <v>149123572.6699998</v>
      </c>
      <c r="AO11" s="18"/>
    </row>
    <row r="12" spans="1:41" ht="30">
      <c r="A12" s="3" t="s">
        <v>58</v>
      </c>
      <c r="B12" s="3" t="s">
        <v>51</v>
      </c>
      <c r="C12" s="3" t="s">
        <v>48</v>
      </c>
      <c r="D12" s="12">
        <v>257</v>
      </c>
      <c r="E12" s="12">
        <v>239.08</v>
      </c>
      <c r="F12" s="12">
        <v>108</v>
      </c>
      <c r="G12" s="12">
        <v>102.18</v>
      </c>
      <c r="H12" s="12">
        <v>64</v>
      </c>
      <c r="I12" s="12">
        <v>63.03</v>
      </c>
      <c r="J12" s="12">
        <v>11</v>
      </c>
      <c r="K12" s="12">
        <v>10.74</v>
      </c>
      <c r="L12" s="12">
        <v>2</v>
      </c>
      <c r="M12" s="12">
        <v>1.78</v>
      </c>
      <c r="N12" s="12">
        <v>0</v>
      </c>
      <c r="O12" s="12">
        <v>0</v>
      </c>
      <c r="P12" s="13">
        <v>442</v>
      </c>
      <c r="Q12" s="13">
        <v>416.81</v>
      </c>
      <c r="R12" s="12">
        <v>254</v>
      </c>
      <c r="S12" s="12">
        <v>171.3</v>
      </c>
      <c r="T12" s="12">
        <v>0</v>
      </c>
      <c r="U12" s="12">
        <v>0</v>
      </c>
      <c r="V12" s="12">
        <v>0</v>
      </c>
      <c r="W12" s="12">
        <v>0</v>
      </c>
      <c r="X12" s="12">
        <v>0</v>
      </c>
      <c r="Y12" s="12">
        <v>0</v>
      </c>
      <c r="Z12" s="14">
        <v>254</v>
      </c>
      <c r="AA12" s="14">
        <v>171.3</v>
      </c>
      <c r="AB12" s="4">
        <v>696</v>
      </c>
      <c r="AC12" s="4">
        <v>588.11</v>
      </c>
      <c r="AD12" s="20">
        <v>781498.13</v>
      </c>
      <c r="AE12" s="20">
        <v>24353.36</v>
      </c>
      <c r="AF12" s="20">
        <v>15750</v>
      </c>
      <c r="AG12" s="20">
        <v>41934.29</v>
      </c>
      <c r="AH12" s="20">
        <v>126157.78</v>
      </c>
      <c r="AI12" s="20">
        <v>62231.76</v>
      </c>
      <c r="AJ12" s="21">
        <v>1051925.32</v>
      </c>
      <c r="AK12" s="19">
        <v>407197.12</v>
      </c>
      <c r="AL12" s="19">
        <v>0</v>
      </c>
      <c r="AM12" s="22">
        <v>407197.12</v>
      </c>
      <c r="AN12" s="22">
        <v>1459122.44</v>
      </c>
      <c r="AO12" s="3"/>
    </row>
    <row r="13" spans="1:41" ht="135">
      <c r="A13" s="3" t="s">
        <v>60</v>
      </c>
      <c r="B13" s="3" t="s">
        <v>53</v>
      </c>
      <c r="C13" s="3" t="s">
        <v>48</v>
      </c>
      <c r="D13" s="12">
        <v>5</v>
      </c>
      <c r="E13" s="12">
        <v>5</v>
      </c>
      <c r="F13" s="12">
        <v>16</v>
      </c>
      <c r="G13" s="12">
        <v>16</v>
      </c>
      <c r="H13" s="12">
        <v>18</v>
      </c>
      <c r="I13" s="12">
        <v>18</v>
      </c>
      <c r="J13" s="12">
        <v>7</v>
      </c>
      <c r="K13" s="12">
        <v>6.47</v>
      </c>
      <c r="L13" s="12">
        <v>2</v>
      </c>
      <c r="M13" s="12">
        <v>2</v>
      </c>
      <c r="N13" s="12">
        <v>0</v>
      </c>
      <c r="O13" s="12">
        <v>0</v>
      </c>
      <c r="P13" s="13">
        <v>48</v>
      </c>
      <c r="Q13" s="13">
        <v>47.47</v>
      </c>
      <c r="R13" s="12">
        <v>0</v>
      </c>
      <c r="S13" s="12">
        <v>0</v>
      </c>
      <c r="T13" s="12">
        <v>0</v>
      </c>
      <c r="U13" s="12">
        <v>0</v>
      </c>
      <c r="V13" s="12">
        <v>0</v>
      </c>
      <c r="W13" s="12">
        <v>0</v>
      </c>
      <c r="X13" s="12">
        <v>0</v>
      </c>
      <c r="Y13" s="12">
        <v>0</v>
      </c>
      <c r="Z13" s="14">
        <v>0</v>
      </c>
      <c r="AA13" s="14">
        <v>0</v>
      </c>
      <c r="AB13" s="4">
        <v>48</v>
      </c>
      <c r="AC13" s="4">
        <v>47.47</v>
      </c>
      <c r="AD13" s="20">
        <v>130946.25</v>
      </c>
      <c r="AE13" s="20">
        <v>206.43</v>
      </c>
      <c r="AF13" s="20">
        <v>0</v>
      </c>
      <c r="AG13" s="20">
        <v>2269.27</v>
      </c>
      <c r="AH13" s="20">
        <v>25618.08</v>
      </c>
      <c r="AI13" s="20">
        <v>11729.37</v>
      </c>
      <c r="AJ13" s="21">
        <v>170769.4</v>
      </c>
      <c r="AK13" s="19">
        <v>600</v>
      </c>
      <c r="AL13" s="19">
        <v>0</v>
      </c>
      <c r="AM13" s="22">
        <v>600</v>
      </c>
      <c r="AN13" s="22">
        <v>171369.4</v>
      </c>
      <c r="AO13" s="3" t="s">
        <v>82</v>
      </c>
    </row>
    <row r="14" spans="1:41" ht="210">
      <c r="A14" s="3" t="s">
        <v>62</v>
      </c>
      <c r="B14" s="3" t="s">
        <v>63</v>
      </c>
      <c r="C14" s="3" t="s">
        <v>48</v>
      </c>
      <c r="D14" s="12">
        <v>0</v>
      </c>
      <c r="E14" s="12">
        <v>0</v>
      </c>
      <c r="F14" s="12">
        <v>0</v>
      </c>
      <c r="G14" s="12">
        <v>0</v>
      </c>
      <c r="H14" s="12">
        <v>0</v>
      </c>
      <c r="I14" s="12">
        <v>0</v>
      </c>
      <c r="J14" s="12">
        <v>0</v>
      </c>
      <c r="K14" s="12">
        <v>0</v>
      </c>
      <c r="L14" s="12">
        <v>0</v>
      </c>
      <c r="M14" s="12">
        <v>0</v>
      </c>
      <c r="N14" s="12">
        <v>72</v>
      </c>
      <c r="O14" s="12">
        <v>66.24</v>
      </c>
      <c r="P14" s="13">
        <v>72</v>
      </c>
      <c r="Q14" s="13">
        <v>66.24</v>
      </c>
      <c r="R14" s="12">
        <v>2</v>
      </c>
      <c r="S14" s="12">
        <v>2</v>
      </c>
      <c r="T14" s="12">
        <v>0</v>
      </c>
      <c r="U14" s="12">
        <v>0</v>
      </c>
      <c r="V14" s="12">
        <v>0</v>
      </c>
      <c r="W14" s="12">
        <v>0</v>
      </c>
      <c r="X14" s="12">
        <v>0</v>
      </c>
      <c r="Y14" s="12">
        <v>0</v>
      </c>
      <c r="Z14" s="14">
        <v>2</v>
      </c>
      <c r="AA14" s="14">
        <v>2</v>
      </c>
      <c r="AB14" s="4">
        <v>74</v>
      </c>
      <c r="AC14" s="4">
        <v>68.24</v>
      </c>
      <c r="AD14" s="20">
        <v>190590</v>
      </c>
      <c r="AE14" s="20">
        <v>33</v>
      </c>
      <c r="AF14" s="20">
        <v>0</v>
      </c>
      <c r="AG14" s="20">
        <v>536</v>
      </c>
      <c r="AH14" s="20">
        <v>35632</v>
      </c>
      <c r="AI14" s="20">
        <v>15577</v>
      </c>
      <c r="AJ14" s="21">
        <v>242368</v>
      </c>
      <c r="AK14" s="19">
        <v>3945</v>
      </c>
      <c r="AL14" s="19">
        <v>0</v>
      </c>
      <c r="AM14" s="22">
        <v>3945</v>
      </c>
      <c r="AN14" s="22">
        <v>246313</v>
      </c>
      <c r="AO14" s="3" t="s">
        <v>64</v>
      </c>
    </row>
    <row r="15" spans="1:41" ht="45">
      <c r="A15" s="3" t="s">
        <v>66</v>
      </c>
      <c r="B15" s="3" t="s">
        <v>63</v>
      </c>
      <c r="C15" s="3" t="s">
        <v>48</v>
      </c>
      <c r="D15" s="12">
        <v>0</v>
      </c>
      <c r="E15" s="12">
        <v>0</v>
      </c>
      <c r="F15" s="12">
        <v>0</v>
      </c>
      <c r="G15" s="12">
        <v>0</v>
      </c>
      <c r="H15" s="12">
        <v>0</v>
      </c>
      <c r="I15" s="12">
        <v>0</v>
      </c>
      <c r="J15" s="12">
        <v>0</v>
      </c>
      <c r="K15" s="12">
        <v>0</v>
      </c>
      <c r="L15" s="12">
        <v>0</v>
      </c>
      <c r="M15" s="12">
        <v>0</v>
      </c>
      <c r="N15" s="12">
        <v>352</v>
      </c>
      <c r="O15" s="12">
        <v>322.29</v>
      </c>
      <c r="P15" s="13">
        <v>352</v>
      </c>
      <c r="Q15" s="13">
        <v>322.29</v>
      </c>
      <c r="R15" s="12">
        <v>4</v>
      </c>
      <c r="S15" s="12">
        <v>3.54</v>
      </c>
      <c r="T15" s="12">
        <v>0</v>
      </c>
      <c r="U15" s="12">
        <v>0</v>
      </c>
      <c r="V15" s="12">
        <v>0</v>
      </c>
      <c r="W15" s="12">
        <v>0</v>
      </c>
      <c r="X15" s="12">
        <v>1</v>
      </c>
      <c r="Y15" s="12">
        <v>0.4</v>
      </c>
      <c r="Z15" s="14">
        <v>5</v>
      </c>
      <c r="AA15" s="14">
        <v>3.94</v>
      </c>
      <c r="AB15" s="4">
        <v>357</v>
      </c>
      <c r="AC15" s="4">
        <v>326.23</v>
      </c>
      <c r="AD15" s="20">
        <v>728542</v>
      </c>
      <c r="AE15" s="20">
        <v>933</v>
      </c>
      <c r="AF15" s="20">
        <v>0</v>
      </c>
      <c r="AG15" s="20">
        <v>4491</v>
      </c>
      <c r="AH15" s="20">
        <v>128011</v>
      </c>
      <c r="AI15" s="20">
        <v>47799</v>
      </c>
      <c r="AJ15" s="21">
        <v>909776</v>
      </c>
      <c r="AK15" s="19">
        <v>12101</v>
      </c>
      <c r="AL15" s="19">
        <v>9660</v>
      </c>
      <c r="AM15" s="22">
        <v>21761</v>
      </c>
      <c r="AN15" s="22">
        <v>931537</v>
      </c>
      <c r="AO15" s="3"/>
    </row>
    <row r="16" spans="1:41" ht="45">
      <c r="A16" s="3" t="s">
        <v>67</v>
      </c>
      <c r="B16" s="3" t="s">
        <v>63</v>
      </c>
      <c r="C16" s="3" t="s">
        <v>48</v>
      </c>
      <c r="D16" s="12">
        <v>10</v>
      </c>
      <c r="E16" s="12">
        <v>10</v>
      </c>
      <c r="F16" s="12">
        <v>20</v>
      </c>
      <c r="G16" s="12">
        <v>19.2</v>
      </c>
      <c r="H16" s="12">
        <v>27</v>
      </c>
      <c r="I16" s="12">
        <v>26.6</v>
      </c>
      <c r="J16" s="12">
        <v>15</v>
      </c>
      <c r="K16" s="12">
        <v>14.2</v>
      </c>
      <c r="L16" s="12">
        <v>4</v>
      </c>
      <c r="M16" s="12">
        <v>4</v>
      </c>
      <c r="N16" s="12">
        <v>1</v>
      </c>
      <c r="O16" s="12">
        <v>0.6</v>
      </c>
      <c r="P16" s="13">
        <v>77</v>
      </c>
      <c r="Q16" s="13">
        <v>74.6</v>
      </c>
      <c r="R16" s="12">
        <v>0</v>
      </c>
      <c r="S16" s="12">
        <v>0</v>
      </c>
      <c r="T16" s="12">
        <v>0</v>
      </c>
      <c r="U16" s="12">
        <v>0</v>
      </c>
      <c r="V16" s="12">
        <v>0</v>
      </c>
      <c r="W16" s="12">
        <v>0</v>
      </c>
      <c r="X16" s="12">
        <v>0</v>
      </c>
      <c r="Y16" s="12">
        <v>0</v>
      </c>
      <c r="Z16" s="14">
        <v>0</v>
      </c>
      <c r="AA16" s="14">
        <v>0</v>
      </c>
      <c r="AB16" s="4">
        <v>77</v>
      </c>
      <c r="AC16" s="4">
        <v>74.6</v>
      </c>
      <c r="AD16" s="20">
        <v>227776</v>
      </c>
      <c r="AE16" s="20">
        <v>1931</v>
      </c>
      <c r="AF16" s="20">
        <v>0</v>
      </c>
      <c r="AG16" s="20">
        <v>0</v>
      </c>
      <c r="AH16" s="20">
        <v>42919</v>
      </c>
      <c r="AI16" s="20">
        <v>18863</v>
      </c>
      <c r="AJ16" s="21">
        <v>291489</v>
      </c>
      <c r="AK16" s="19">
        <v>0</v>
      </c>
      <c r="AL16" s="19">
        <v>0</v>
      </c>
      <c r="AM16" s="22">
        <v>0</v>
      </c>
      <c r="AN16" s="22">
        <v>291489</v>
      </c>
      <c r="AO16" s="3"/>
    </row>
    <row r="17" spans="1:41" ht="105">
      <c r="A17" s="3" t="s">
        <v>68</v>
      </c>
      <c r="B17" s="3" t="s">
        <v>63</v>
      </c>
      <c r="C17" s="3" t="s">
        <v>48</v>
      </c>
      <c r="D17" s="12">
        <v>0</v>
      </c>
      <c r="E17" s="12">
        <v>0</v>
      </c>
      <c r="F17" s="12">
        <v>0</v>
      </c>
      <c r="G17" s="12">
        <v>0</v>
      </c>
      <c r="H17" s="12">
        <v>0</v>
      </c>
      <c r="I17" s="12">
        <v>0</v>
      </c>
      <c r="J17" s="12">
        <v>0</v>
      </c>
      <c r="K17" s="12">
        <v>0</v>
      </c>
      <c r="L17" s="12">
        <v>0</v>
      </c>
      <c r="M17" s="12">
        <v>0</v>
      </c>
      <c r="N17" s="12">
        <v>33</v>
      </c>
      <c r="O17" s="12">
        <v>32.7</v>
      </c>
      <c r="P17" s="13">
        <v>33</v>
      </c>
      <c r="Q17" s="13">
        <v>32.7</v>
      </c>
      <c r="R17" s="12">
        <v>0</v>
      </c>
      <c r="S17" s="12">
        <v>0</v>
      </c>
      <c r="T17" s="12">
        <v>0</v>
      </c>
      <c r="U17" s="12">
        <v>0</v>
      </c>
      <c r="V17" s="12">
        <v>0</v>
      </c>
      <c r="W17" s="12">
        <v>0</v>
      </c>
      <c r="X17" s="12">
        <v>0</v>
      </c>
      <c r="Y17" s="12">
        <v>0</v>
      </c>
      <c r="Z17" s="14">
        <v>0</v>
      </c>
      <c r="AA17" s="14">
        <v>0</v>
      </c>
      <c r="AB17" s="4">
        <v>33</v>
      </c>
      <c r="AC17" s="4">
        <v>32.7</v>
      </c>
      <c r="AD17" s="20">
        <v>154977</v>
      </c>
      <c r="AE17" s="20">
        <v>0</v>
      </c>
      <c r="AF17" s="20">
        <v>0</v>
      </c>
      <c r="AG17" s="20">
        <v>0</v>
      </c>
      <c r="AH17" s="20">
        <v>31427</v>
      </c>
      <c r="AI17" s="20">
        <v>18704</v>
      </c>
      <c r="AJ17" s="21">
        <v>205108</v>
      </c>
      <c r="AK17" s="19">
        <v>0</v>
      </c>
      <c r="AL17" s="19">
        <v>0</v>
      </c>
      <c r="AM17" s="22">
        <v>0</v>
      </c>
      <c r="AN17" s="22">
        <v>205108</v>
      </c>
      <c r="AO17" s="3" t="s">
        <v>69</v>
      </c>
    </row>
    <row r="18" spans="1:41" ht="45">
      <c r="A18" s="3" t="s">
        <v>70</v>
      </c>
      <c r="B18" s="3" t="s">
        <v>63</v>
      </c>
      <c r="C18" s="3" t="s">
        <v>48</v>
      </c>
      <c r="D18" s="12">
        <v>731</v>
      </c>
      <c r="E18" s="12">
        <v>688.4</v>
      </c>
      <c r="F18" s="12">
        <v>250</v>
      </c>
      <c r="G18" s="12">
        <v>240.1</v>
      </c>
      <c r="H18" s="12">
        <v>389</v>
      </c>
      <c r="I18" s="12">
        <v>374.5</v>
      </c>
      <c r="J18" s="12">
        <v>89</v>
      </c>
      <c r="K18" s="12">
        <v>87.8</v>
      </c>
      <c r="L18" s="12">
        <v>17</v>
      </c>
      <c r="M18" s="12">
        <v>11.2</v>
      </c>
      <c r="N18" s="12">
        <v>0</v>
      </c>
      <c r="O18" s="12">
        <v>0</v>
      </c>
      <c r="P18" s="13">
        <v>1476</v>
      </c>
      <c r="Q18" s="13">
        <v>1402</v>
      </c>
      <c r="R18" s="12">
        <v>82</v>
      </c>
      <c r="S18" s="12">
        <v>79.59</v>
      </c>
      <c r="T18" s="12">
        <v>0</v>
      </c>
      <c r="U18" s="12">
        <v>0</v>
      </c>
      <c r="V18" s="12">
        <v>11</v>
      </c>
      <c r="W18" s="12">
        <v>11</v>
      </c>
      <c r="X18" s="12">
        <v>0</v>
      </c>
      <c r="Y18" s="12">
        <v>0</v>
      </c>
      <c r="Z18" s="14">
        <v>93</v>
      </c>
      <c r="AA18" s="14">
        <v>90.59</v>
      </c>
      <c r="AB18" s="4">
        <v>1569</v>
      </c>
      <c r="AC18" s="4">
        <v>1492.59</v>
      </c>
      <c r="AD18" s="20">
        <v>3240865.9000000004</v>
      </c>
      <c r="AE18" s="20">
        <v>0</v>
      </c>
      <c r="AF18" s="20">
        <v>0</v>
      </c>
      <c r="AG18" s="20">
        <v>90434.13</v>
      </c>
      <c r="AH18" s="20">
        <v>34686.59</v>
      </c>
      <c r="AI18" s="20">
        <v>272349.19999999995</v>
      </c>
      <c r="AJ18" s="21">
        <v>3638335.82</v>
      </c>
      <c r="AK18" s="19">
        <v>903517.63</v>
      </c>
      <c r="AL18" s="19">
        <v>0</v>
      </c>
      <c r="AM18" s="22">
        <v>903517.63</v>
      </c>
      <c r="AN18" s="22">
        <v>4541853.45</v>
      </c>
      <c r="AO18" s="3"/>
    </row>
    <row r="19" spans="1:41" ht="45">
      <c r="A19" s="3" t="s">
        <v>71</v>
      </c>
      <c r="B19" s="3" t="s">
        <v>63</v>
      </c>
      <c r="C19" s="3" t="s">
        <v>48</v>
      </c>
      <c r="D19" s="12">
        <v>26</v>
      </c>
      <c r="E19" s="12">
        <v>25.6</v>
      </c>
      <c r="F19" s="12">
        <v>48</v>
      </c>
      <c r="G19" s="12">
        <v>47</v>
      </c>
      <c r="H19" s="12">
        <v>14</v>
      </c>
      <c r="I19" s="12">
        <v>13.6</v>
      </c>
      <c r="J19" s="12">
        <v>6</v>
      </c>
      <c r="K19" s="12">
        <v>6</v>
      </c>
      <c r="L19" s="12">
        <v>1</v>
      </c>
      <c r="M19" s="12">
        <v>1</v>
      </c>
      <c r="N19" s="12">
        <v>1</v>
      </c>
      <c r="O19" s="12">
        <v>0.4</v>
      </c>
      <c r="P19" s="13">
        <v>96</v>
      </c>
      <c r="Q19" s="13">
        <v>93.6</v>
      </c>
      <c r="R19" s="12">
        <v>2</v>
      </c>
      <c r="S19" s="12">
        <v>2</v>
      </c>
      <c r="T19" s="12">
        <v>0</v>
      </c>
      <c r="U19" s="12">
        <v>0</v>
      </c>
      <c r="V19" s="12">
        <v>0</v>
      </c>
      <c r="W19" s="12">
        <v>0</v>
      </c>
      <c r="X19" s="12">
        <v>0</v>
      </c>
      <c r="Y19" s="12">
        <v>0</v>
      </c>
      <c r="Z19" s="14">
        <v>2</v>
      </c>
      <c r="AA19" s="14">
        <v>2</v>
      </c>
      <c r="AB19" s="4">
        <v>98</v>
      </c>
      <c r="AC19" s="4">
        <v>95.6</v>
      </c>
      <c r="AD19" s="20">
        <v>187251.64</v>
      </c>
      <c r="AE19" s="20">
        <v>22004.21</v>
      </c>
      <c r="AF19" s="20">
        <v>8210</v>
      </c>
      <c r="AG19" s="20">
        <v>2200.1</v>
      </c>
      <c r="AH19" s="20">
        <v>37471.83</v>
      </c>
      <c r="AI19" s="20">
        <v>17702.38</v>
      </c>
      <c r="AJ19" s="21">
        <v>274840.16</v>
      </c>
      <c r="AK19" s="19">
        <v>34530.44</v>
      </c>
      <c r="AL19" s="19">
        <v>0</v>
      </c>
      <c r="AM19" s="22">
        <v>34530.44</v>
      </c>
      <c r="AN19" s="22">
        <v>309370.6</v>
      </c>
      <c r="AO19" s="3"/>
    </row>
    <row r="20" spans="1:41" ht="210">
      <c r="A20" s="3" t="s">
        <v>72</v>
      </c>
      <c r="B20" s="3" t="s">
        <v>63</v>
      </c>
      <c r="C20" s="3" t="s">
        <v>48</v>
      </c>
      <c r="D20" s="12">
        <v>0</v>
      </c>
      <c r="E20" s="12">
        <v>0</v>
      </c>
      <c r="F20" s="12">
        <v>0</v>
      </c>
      <c r="G20" s="12">
        <v>0</v>
      </c>
      <c r="H20" s="12">
        <v>0</v>
      </c>
      <c r="I20" s="12">
        <v>0</v>
      </c>
      <c r="J20" s="12">
        <v>0</v>
      </c>
      <c r="K20" s="12">
        <v>0</v>
      </c>
      <c r="L20" s="12">
        <v>0</v>
      </c>
      <c r="M20" s="12">
        <v>0</v>
      </c>
      <c r="N20" s="12">
        <v>20066</v>
      </c>
      <c r="O20" s="12">
        <v>18168</v>
      </c>
      <c r="P20" s="13">
        <v>20066</v>
      </c>
      <c r="Q20" s="13">
        <v>18168</v>
      </c>
      <c r="R20" s="12">
        <v>1569</v>
      </c>
      <c r="S20" s="12">
        <v>1569</v>
      </c>
      <c r="T20" s="12">
        <v>10</v>
      </c>
      <c r="U20" s="12">
        <v>10</v>
      </c>
      <c r="V20" s="12">
        <v>0</v>
      </c>
      <c r="W20" s="12">
        <v>0</v>
      </c>
      <c r="X20" s="12">
        <v>0</v>
      </c>
      <c r="Y20" s="12">
        <v>0</v>
      </c>
      <c r="Z20" s="14">
        <v>1579</v>
      </c>
      <c r="AA20" s="14">
        <v>1579</v>
      </c>
      <c r="AB20" s="4">
        <v>21645</v>
      </c>
      <c r="AC20" s="4">
        <v>19747</v>
      </c>
      <c r="AD20" s="23" t="s">
        <v>90</v>
      </c>
      <c r="AE20" s="23" t="s">
        <v>90</v>
      </c>
      <c r="AF20" s="23" t="s">
        <v>90</v>
      </c>
      <c r="AG20" s="23" t="s">
        <v>90</v>
      </c>
      <c r="AH20" s="23" t="s">
        <v>90</v>
      </c>
      <c r="AI20" s="23" t="s">
        <v>90</v>
      </c>
      <c r="AJ20" s="23" t="s">
        <v>90</v>
      </c>
      <c r="AK20" s="23" t="s">
        <v>90</v>
      </c>
      <c r="AL20" s="23" t="s">
        <v>90</v>
      </c>
      <c r="AM20" s="23" t="s">
        <v>90</v>
      </c>
      <c r="AN20" s="23" t="s">
        <v>90</v>
      </c>
      <c r="AO20" s="3" t="s">
        <v>78</v>
      </c>
    </row>
    <row r="21" spans="1:41" ht="45">
      <c r="A21" s="3" t="s">
        <v>74</v>
      </c>
      <c r="B21" s="3" t="s">
        <v>63</v>
      </c>
      <c r="C21" s="3" t="s">
        <v>48</v>
      </c>
      <c r="D21" s="12">
        <v>19</v>
      </c>
      <c r="E21" s="12">
        <v>16.45</v>
      </c>
      <c r="F21" s="12">
        <v>41</v>
      </c>
      <c r="G21" s="12">
        <v>39.77</v>
      </c>
      <c r="H21" s="12">
        <v>114</v>
      </c>
      <c r="I21" s="12">
        <v>111.94</v>
      </c>
      <c r="J21" s="12">
        <v>37</v>
      </c>
      <c r="K21" s="12">
        <v>36.1</v>
      </c>
      <c r="L21" s="12">
        <v>4</v>
      </c>
      <c r="M21" s="12">
        <v>3.6</v>
      </c>
      <c r="N21" s="12">
        <v>9</v>
      </c>
      <c r="O21" s="12">
        <v>9</v>
      </c>
      <c r="P21" s="13">
        <v>224</v>
      </c>
      <c r="Q21" s="13">
        <v>216.86</v>
      </c>
      <c r="R21" s="12">
        <v>7</v>
      </c>
      <c r="S21" s="12">
        <v>7</v>
      </c>
      <c r="T21" s="12">
        <v>0</v>
      </c>
      <c r="U21" s="12">
        <v>0</v>
      </c>
      <c r="V21" s="12">
        <v>7</v>
      </c>
      <c r="W21" s="12">
        <v>6.8</v>
      </c>
      <c r="X21" s="12">
        <v>0</v>
      </c>
      <c r="Y21" s="12">
        <v>0</v>
      </c>
      <c r="Z21" s="14">
        <v>14</v>
      </c>
      <c r="AA21" s="14">
        <v>13.8</v>
      </c>
      <c r="AB21" s="4">
        <v>238</v>
      </c>
      <c r="AC21" s="4">
        <v>230.66</v>
      </c>
      <c r="AD21" s="20">
        <v>567094.48</v>
      </c>
      <c r="AE21" s="20">
        <v>68054.49</v>
      </c>
      <c r="AF21" s="20">
        <v>40541.51</v>
      </c>
      <c r="AG21" s="20">
        <v>4705.55</v>
      </c>
      <c r="AH21" s="20">
        <v>126287.25</v>
      </c>
      <c r="AI21" s="20">
        <v>56399.06</v>
      </c>
      <c r="AJ21" s="21">
        <v>863082.34</v>
      </c>
      <c r="AK21" s="19">
        <v>158193.38</v>
      </c>
      <c r="AL21" s="19">
        <v>0</v>
      </c>
      <c r="AM21" s="22">
        <v>158193.38</v>
      </c>
      <c r="AN21" s="22">
        <v>1021275.72</v>
      </c>
      <c r="AO21" s="3"/>
    </row>
    <row r="22" spans="1:41" ht="15">
      <c r="A22" s="3"/>
      <c r="B22" s="3"/>
      <c r="C22" s="3"/>
      <c r="D22" s="12">
        <v>53208</v>
      </c>
      <c r="E22" s="12">
        <v>49677.90482265687</v>
      </c>
      <c r="F22" s="12">
        <v>12635</v>
      </c>
      <c r="G22" s="12">
        <v>12014.53134306912</v>
      </c>
      <c r="H22" s="12">
        <v>8843</v>
      </c>
      <c r="I22" s="12">
        <v>8341.085286339676</v>
      </c>
      <c r="J22" s="12">
        <v>2447</v>
      </c>
      <c r="K22" s="12">
        <v>2379.5736004645755</v>
      </c>
      <c r="L22" s="12">
        <v>242</v>
      </c>
      <c r="M22" s="12">
        <v>232.83</v>
      </c>
      <c r="N22" s="12">
        <v>20534</v>
      </c>
      <c r="O22" s="12">
        <v>18599.23</v>
      </c>
      <c r="P22" s="13">
        <v>97909</v>
      </c>
      <c r="Q22" s="13">
        <v>91245.15505253026</v>
      </c>
      <c r="R22" s="12">
        <v>2456</v>
      </c>
      <c r="S22" s="12">
        <v>2568.24</v>
      </c>
      <c r="T22" s="12">
        <v>29</v>
      </c>
      <c r="U22" s="12">
        <v>29</v>
      </c>
      <c r="V22" s="12">
        <v>183.5</v>
      </c>
      <c r="W22" s="12">
        <v>171.8</v>
      </c>
      <c r="X22" s="12">
        <v>1</v>
      </c>
      <c r="Y22" s="12">
        <v>0.4</v>
      </c>
      <c r="Z22" s="14">
        <v>2669.5</v>
      </c>
      <c r="AA22" s="14">
        <v>2769.44</v>
      </c>
      <c r="AB22" s="4">
        <v>100578.5</v>
      </c>
      <c r="AC22" s="4">
        <v>94014.59505253026</v>
      </c>
      <c r="AD22" s="20">
        <v>173062998.75999975</v>
      </c>
      <c r="AE22" s="20">
        <v>974295.29</v>
      </c>
      <c r="AF22" s="20">
        <v>288300.69</v>
      </c>
      <c r="AG22" s="20">
        <v>4885492.21</v>
      </c>
      <c r="AH22" s="20">
        <v>31118993.340000007</v>
      </c>
      <c r="AI22" s="20">
        <v>13364601.859999998</v>
      </c>
      <c r="AJ22" s="21">
        <f>SUM(AJ7:AJ21)</f>
        <v>220537907.4899998</v>
      </c>
      <c r="AK22" s="19">
        <v>4016542.24</v>
      </c>
      <c r="AL22" s="19">
        <v>13605</v>
      </c>
      <c r="AM22" s="22">
        <v>4030147.24</v>
      </c>
      <c r="AN22" s="22">
        <f>SUM(AN7:AN21)</f>
        <v>224568054.7299998</v>
      </c>
      <c r="AO22" s="3"/>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row r="101" spans="1:41" ht="15">
      <c r="A101" s="3"/>
      <c r="B101" s="3"/>
      <c r="C101" s="3"/>
      <c r="D101" s="12"/>
      <c r="E101" s="12"/>
      <c r="F101" s="12"/>
      <c r="G101" s="12"/>
      <c r="H101" s="12"/>
      <c r="I101" s="12"/>
      <c r="J101" s="12"/>
      <c r="K101" s="12"/>
      <c r="L101" s="12"/>
      <c r="M101" s="12"/>
      <c r="N101" s="12"/>
      <c r="O101" s="12"/>
      <c r="P101" s="13"/>
      <c r="Q101" s="13"/>
      <c r="R101" s="12"/>
      <c r="S101" s="12"/>
      <c r="T101" s="12"/>
      <c r="U101" s="12"/>
      <c r="V101" s="12"/>
      <c r="W101" s="12"/>
      <c r="X101" s="12"/>
      <c r="Y101" s="12"/>
      <c r="Z101" s="14"/>
      <c r="AA101" s="14"/>
      <c r="AB101" s="4"/>
      <c r="AC101" s="4"/>
      <c r="AD101" s="6"/>
      <c r="AE101" s="6"/>
      <c r="AF101" s="6"/>
      <c r="AG101" s="6"/>
      <c r="AH101" s="6"/>
      <c r="AI101" s="6"/>
      <c r="AJ101" s="7"/>
      <c r="AK101" s="5"/>
      <c r="AL101" s="5"/>
      <c r="AM101" s="8"/>
      <c r="AN101" s="8"/>
      <c r="AO101" s="9"/>
    </row>
    <row r="102" spans="1:41" ht="15">
      <c r="A102" s="3"/>
      <c r="B102" s="3"/>
      <c r="C102" s="3"/>
      <c r="D102" s="12"/>
      <c r="E102" s="12"/>
      <c r="F102" s="12"/>
      <c r="G102" s="12"/>
      <c r="H102" s="12"/>
      <c r="I102" s="12"/>
      <c r="J102" s="12"/>
      <c r="K102" s="12"/>
      <c r="L102" s="12"/>
      <c r="M102" s="12"/>
      <c r="N102" s="12"/>
      <c r="O102" s="12"/>
      <c r="P102" s="13"/>
      <c r="Q102" s="13"/>
      <c r="R102" s="12"/>
      <c r="S102" s="12"/>
      <c r="T102" s="12"/>
      <c r="U102" s="12"/>
      <c r="V102" s="12"/>
      <c r="W102" s="12"/>
      <c r="X102" s="12"/>
      <c r="Y102" s="12"/>
      <c r="Z102" s="14"/>
      <c r="AA102" s="14"/>
      <c r="AB102" s="4"/>
      <c r="AC102" s="4"/>
      <c r="AD102" s="6"/>
      <c r="AE102" s="6"/>
      <c r="AF102" s="6"/>
      <c r="AG102" s="6"/>
      <c r="AH102" s="6"/>
      <c r="AI102" s="6"/>
      <c r="AJ102" s="7"/>
      <c r="AK102" s="5"/>
      <c r="AL102" s="5"/>
      <c r="AM102" s="8"/>
      <c r="AN102" s="8"/>
      <c r="AO102" s="9"/>
    </row>
    <row r="103" spans="1:41" ht="15">
      <c r="A103" s="3"/>
      <c r="B103" s="3"/>
      <c r="C103" s="3"/>
      <c r="D103" s="12"/>
      <c r="E103" s="12"/>
      <c r="F103" s="12"/>
      <c r="G103" s="12"/>
      <c r="H103" s="12"/>
      <c r="I103" s="12"/>
      <c r="J103" s="12"/>
      <c r="K103" s="12"/>
      <c r="L103" s="12"/>
      <c r="M103" s="12"/>
      <c r="N103" s="12"/>
      <c r="O103" s="12"/>
      <c r="P103" s="13"/>
      <c r="Q103" s="13"/>
      <c r="R103" s="12"/>
      <c r="S103" s="12"/>
      <c r="T103" s="12"/>
      <c r="U103" s="12"/>
      <c r="V103" s="12"/>
      <c r="W103" s="12"/>
      <c r="X103" s="12"/>
      <c r="Y103" s="12"/>
      <c r="Z103" s="14"/>
      <c r="AA103" s="14"/>
      <c r="AB103" s="4"/>
      <c r="AC103" s="4"/>
      <c r="AD103" s="6"/>
      <c r="AE103" s="6"/>
      <c r="AF103" s="6"/>
      <c r="AG103" s="6"/>
      <c r="AH103" s="6"/>
      <c r="AI103" s="6"/>
      <c r="AJ103" s="7"/>
      <c r="AK103" s="5"/>
      <c r="AL103" s="5"/>
      <c r="AM103" s="8"/>
      <c r="AN103" s="8"/>
      <c r="AO103" s="9"/>
    </row>
  </sheetData>
  <mergeCells count="32">
    <mergeCell ref="AJ5:AJ6"/>
    <mergeCell ref="AK5:AK6"/>
    <mergeCell ref="AL5:AL6"/>
    <mergeCell ref="AM5:AM6"/>
    <mergeCell ref="AF5:AF6"/>
    <mergeCell ref="AG5:AG6"/>
    <mergeCell ref="AH5:AH6"/>
    <mergeCell ref="AI5:AI6"/>
    <mergeCell ref="AN4:AN6"/>
    <mergeCell ref="AO4:AO6"/>
    <mergeCell ref="D5:E5"/>
    <mergeCell ref="F5:G5"/>
    <mergeCell ref="H5:I5"/>
    <mergeCell ref="J5:K5"/>
    <mergeCell ref="L5:M5"/>
    <mergeCell ref="N5:O5"/>
    <mergeCell ref="P5:Q5"/>
    <mergeCell ref="R5:S5"/>
    <mergeCell ref="R4:AA4"/>
    <mergeCell ref="AB4:AC5"/>
    <mergeCell ref="AD4:AJ4"/>
    <mergeCell ref="AK4:AM4"/>
    <mergeCell ref="T5:U5"/>
    <mergeCell ref="V5:W5"/>
    <mergeCell ref="X5:Y5"/>
    <mergeCell ref="Z5:AA5"/>
    <mergeCell ref="AD5:AD6"/>
    <mergeCell ref="AE5:AE6"/>
    <mergeCell ref="A4:A6"/>
    <mergeCell ref="B4:B6"/>
    <mergeCell ref="C4:C6"/>
    <mergeCell ref="D4:Q4"/>
  </mergeCells>
  <conditionalFormatting sqref="B7:B103">
    <cfRule type="expression" priority="1" dxfId="22" stopIfTrue="1">
      <formula>AND(NOT(ISBLANK($A7)),ISBLANK(B7))</formula>
    </cfRule>
  </conditionalFormatting>
  <conditionalFormatting sqref="C7:C103">
    <cfRule type="expression" priority="2" dxfId="22" stopIfTrue="1">
      <formula>AND(NOT(ISBLANK(A7)),ISBLANK(C7))</formula>
    </cfRule>
  </conditionalFormatting>
  <conditionalFormatting sqref="D7:D103 F7:F103 H7:H103 J7:J103 L7:L103 N7:N103 X7:X103 T7:T103 V7:V103 R7:R103 AD20:AN20">
    <cfRule type="expression" priority="3" dxfId="22" stopIfTrue="1">
      <formula>AND(NOT(ISBLANK(E7)),ISBLANK(D7))</formula>
    </cfRule>
  </conditionalFormatting>
  <conditionalFormatting sqref="E7:E103 G7:G103 I7:I103 K7:K103 M7:M103 O7:O103 S7:S103 U7:U103 W7:W103 Y7:Y103">
    <cfRule type="expression" priority="4" dxfId="22" stopIfTrue="1">
      <formula>AND(NOT(ISBLANK(D7)),ISBLANK(E7))</formula>
    </cfRule>
  </conditionalFormatting>
  <dataValidations count="4">
    <dataValidation type="decimal" operator="greaterThan" allowBlank="1" showInputMessage="1" showErrorMessage="1" sqref="AK21:AL103 AK7:AL19 AD7:AI19 AD21:AI103">
      <formula1>0</formula1>
    </dataValidation>
    <dataValidation operator="lessThanOrEqual" allowBlank="1" showInputMessage="1" showErrorMessage="1" error="FTE cannot be greater than Headcount&#10;" sqref="AP1:IV65536 R104:AN65536 AO4 AO7:AO65536 R4 A4:C4 P5 A104:O65536 P7:Q65536 AB6:AC103 AB4"/>
    <dataValidation type="custom" allowBlank="1" showInputMessage="1" showErrorMessage="1" errorTitle="Headcount" error="The value entered in the headcount field must be greater than or equal to the value entered in the FTE field." sqref="F7:F103 H7:H103 J7:J103 L7:L103 N7:N103 T7:T103 V7:V103 X7:X103 D7:D103 R7:R103 AD20:AN20">
      <formula1>F7&gt;=G7</formula1>
    </dataValidation>
    <dataValidation type="custom" allowBlank="1" showInputMessage="1" showErrorMessage="1" errorTitle="FTE" error="The value entered in the FTE field must be less than or equal to the value entered in the headcount field." sqref="M7:M103 G7:G103 I7:I103 K7:K103 O7:O103 U7:U103 W7:W103 Y7:Y103 S7:S103 E7:E103">
      <formula1>M7&lt;=L7</formula1>
    </dataValidation>
  </dataValidation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AO103"/>
  <sheetViews>
    <sheetView zoomScale="70" zoomScaleNormal="70" workbookViewId="0" topLeftCell="A1">
      <selection activeCell="A1" sqref="A1"/>
    </sheetView>
  </sheetViews>
  <sheetFormatPr defaultColWidth="8.88671875" defaultRowHeight="15"/>
  <cols>
    <col min="1" max="1" width="23.5546875" style="2" customWidth="1"/>
    <col min="2" max="3" width="14.99609375" style="2" customWidth="1"/>
    <col min="4" max="4" width="10.5546875" style="15" customWidth="1"/>
    <col min="5" max="5" width="10.4453125" style="15" customWidth="1"/>
    <col min="6" max="6" width="10.99609375" style="15" customWidth="1"/>
    <col min="7" max="7" width="10.4453125" style="15" customWidth="1"/>
    <col min="8" max="8" width="10.5546875" style="15" customWidth="1"/>
    <col min="9" max="9" width="10.4453125" style="15" customWidth="1"/>
    <col min="10" max="10" width="10.88671875" style="15" customWidth="1"/>
    <col min="11" max="11" width="10.4453125" style="15" customWidth="1"/>
    <col min="12" max="12" width="11.21484375" style="15" customWidth="1"/>
    <col min="13" max="13" width="10.4453125" style="15" customWidth="1"/>
    <col min="14" max="14" width="11.21484375" style="15" customWidth="1"/>
    <col min="15" max="15" width="10.4453125" style="15" customWidth="1"/>
    <col min="16" max="16" width="10.6640625" style="15" customWidth="1"/>
    <col min="17"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ht="15">
      <c r="A1" s="2" t="s">
        <v>92</v>
      </c>
    </row>
    <row r="2" ht="15">
      <c r="A2" s="24" t="s">
        <v>93</v>
      </c>
    </row>
    <row r="3" ht="15">
      <c r="A3" s="24" t="s">
        <v>94</v>
      </c>
    </row>
    <row r="4" spans="1:41" s="1" customFormat="1" ht="15" customHeight="1">
      <c r="A4" s="387" t="s">
        <v>26</v>
      </c>
      <c r="B4" s="387" t="s">
        <v>15</v>
      </c>
      <c r="C4" s="387" t="s">
        <v>14</v>
      </c>
      <c r="D4" s="390" t="s">
        <v>22</v>
      </c>
      <c r="E4" s="391"/>
      <c r="F4" s="391"/>
      <c r="G4" s="391"/>
      <c r="H4" s="391"/>
      <c r="I4" s="391"/>
      <c r="J4" s="391"/>
      <c r="K4" s="391"/>
      <c r="L4" s="391"/>
      <c r="M4" s="391"/>
      <c r="N4" s="391"/>
      <c r="O4" s="391"/>
      <c r="P4" s="391"/>
      <c r="Q4" s="392"/>
      <c r="R4" s="393" t="s">
        <v>29</v>
      </c>
      <c r="S4" s="394"/>
      <c r="T4" s="394"/>
      <c r="U4" s="394"/>
      <c r="V4" s="394"/>
      <c r="W4" s="394"/>
      <c r="X4" s="394"/>
      <c r="Y4" s="394"/>
      <c r="Z4" s="394"/>
      <c r="AA4" s="395"/>
      <c r="AB4" s="396" t="s">
        <v>39</v>
      </c>
      <c r="AC4" s="397"/>
      <c r="AD4" s="400" t="s">
        <v>25</v>
      </c>
      <c r="AE4" s="401"/>
      <c r="AF4" s="401"/>
      <c r="AG4" s="401"/>
      <c r="AH4" s="401"/>
      <c r="AI4" s="401"/>
      <c r="AJ4" s="402"/>
      <c r="AK4" s="385" t="s">
        <v>46</v>
      </c>
      <c r="AL4" s="385"/>
      <c r="AM4" s="385"/>
      <c r="AN4" s="404" t="s">
        <v>38</v>
      </c>
      <c r="AO4" s="387" t="s">
        <v>47</v>
      </c>
    </row>
    <row r="5" spans="1:41" s="1" customFormat="1" ht="53.25" customHeight="1">
      <c r="A5" s="388"/>
      <c r="B5" s="388"/>
      <c r="C5" s="388"/>
      <c r="D5" s="408" t="s">
        <v>42</v>
      </c>
      <c r="E5" s="409"/>
      <c r="F5" s="408" t="s">
        <v>43</v>
      </c>
      <c r="G5" s="409"/>
      <c r="H5" s="408" t="s">
        <v>44</v>
      </c>
      <c r="I5" s="409"/>
      <c r="J5" s="408" t="s">
        <v>20</v>
      </c>
      <c r="K5" s="409"/>
      <c r="L5" s="408" t="s">
        <v>45</v>
      </c>
      <c r="M5" s="409"/>
      <c r="N5" s="408" t="s">
        <v>19</v>
      </c>
      <c r="O5" s="409"/>
      <c r="P5" s="390" t="s">
        <v>23</v>
      </c>
      <c r="Q5" s="392"/>
      <c r="R5" s="390" t="s">
        <v>27</v>
      </c>
      <c r="S5" s="395"/>
      <c r="T5" s="393" t="s">
        <v>17</v>
      </c>
      <c r="U5" s="395"/>
      <c r="V5" s="393" t="s">
        <v>18</v>
      </c>
      <c r="W5" s="395"/>
      <c r="X5" s="393" t="s">
        <v>28</v>
      </c>
      <c r="Y5" s="395"/>
      <c r="Z5" s="390" t="s">
        <v>24</v>
      </c>
      <c r="AA5" s="392"/>
      <c r="AB5" s="398"/>
      <c r="AC5" s="399"/>
      <c r="AD5" s="387" t="s">
        <v>31</v>
      </c>
      <c r="AE5" s="387" t="s">
        <v>30</v>
      </c>
      <c r="AF5" s="387" t="s">
        <v>32</v>
      </c>
      <c r="AG5" s="387" t="s">
        <v>33</v>
      </c>
      <c r="AH5" s="387" t="s">
        <v>34</v>
      </c>
      <c r="AI5" s="387" t="s">
        <v>35</v>
      </c>
      <c r="AJ5" s="383" t="s">
        <v>37</v>
      </c>
      <c r="AK5" s="387" t="s">
        <v>40</v>
      </c>
      <c r="AL5" s="387" t="s">
        <v>41</v>
      </c>
      <c r="AM5" s="387" t="s">
        <v>36</v>
      </c>
      <c r="AN5" s="405"/>
      <c r="AO5" s="407"/>
    </row>
    <row r="6" spans="1:41" ht="57.75" customHeight="1">
      <c r="A6" s="389"/>
      <c r="B6" s="389"/>
      <c r="C6" s="389"/>
      <c r="D6" s="10" t="s">
        <v>16</v>
      </c>
      <c r="E6" s="10" t="s">
        <v>21</v>
      </c>
      <c r="F6" s="10" t="s">
        <v>16</v>
      </c>
      <c r="G6" s="10" t="s">
        <v>21</v>
      </c>
      <c r="H6" s="10" t="s">
        <v>16</v>
      </c>
      <c r="I6" s="10" t="s">
        <v>21</v>
      </c>
      <c r="J6" s="10" t="s">
        <v>16</v>
      </c>
      <c r="K6" s="10" t="s">
        <v>21</v>
      </c>
      <c r="L6" s="10" t="s">
        <v>16</v>
      </c>
      <c r="M6" s="10" t="s">
        <v>21</v>
      </c>
      <c r="N6" s="10" t="s">
        <v>16</v>
      </c>
      <c r="O6" s="10" t="s">
        <v>21</v>
      </c>
      <c r="P6" s="10" t="s">
        <v>16</v>
      </c>
      <c r="Q6" s="10" t="s">
        <v>21</v>
      </c>
      <c r="R6" s="11" t="s">
        <v>16</v>
      </c>
      <c r="S6" s="11" t="s">
        <v>21</v>
      </c>
      <c r="T6" s="11" t="s">
        <v>16</v>
      </c>
      <c r="U6" s="11" t="s">
        <v>21</v>
      </c>
      <c r="V6" s="11" t="s">
        <v>16</v>
      </c>
      <c r="W6" s="11" t="s">
        <v>21</v>
      </c>
      <c r="X6" s="11" t="s">
        <v>16</v>
      </c>
      <c r="Y6" s="11" t="s">
        <v>21</v>
      </c>
      <c r="Z6" s="11" t="s">
        <v>16</v>
      </c>
      <c r="AA6" s="11" t="s">
        <v>21</v>
      </c>
      <c r="AB6" s="17" t="s">
        <v>16</v>
      </c>
      <c r="AC6" s="16" t="s">
        <v>21</v>
      </c>
      <c r="AD6" s="403"/>
      <c r="AE6" s="403"/>
      <c r="AF6" s="403"/>
      <c r="AG6" s="403"/>
      <c r="AH6" s="403"/>
      <c r="AI6" s="403"/>
      <c r="AJ6" s="383"/>
      <c r="AK6" s="403"/>
      <c r="AL6" s="403"/>
      <c r="AM6" s="403"/>
      <c r="AN6" s="406"/>
      <c r="AO6" s="403"/>
    </row>
    <row r="7" spans="1:41" ht="30">
      <c r="A7" s="3" t="s">
        <v>48</v>
      </c>
      <c r="B7" s="3" t="s">
        <v>49</v>
      </c>
      <c r="C7" s="3" t="s">
        <v>48</v>
      </c>
      <c r="D7" s="12">
        <v>1085</v>
      </c>
      <c r="E7" s="12">
        <v>1016.5</v>
      </c>
      <c r="F7" s="12">
        <v>832</v>
      </c>
      <c r="G7" s="12">
        <v>800.4</v>
      </c>
      <c r="H7" s="12">
        <v>1613</v>
      </c>
      <c r="I7" s="12">
        <v>1562.76</v>
      </c>
      <c r="J7" s="12">
        <v>828</v>
      </c>
      <c r="K7" s="12">
        <v>799.26</v>
      </c>
      <c r="L7" s="12">
        <v>126</v>
      </c>
      <c r="M7" s="12">
        <v>122.77</v>
      </c>
      <c r="N7" s="12">
        <v>0</v>
      </c>
      <c r="O7" s="12">
        <v>0</v>
      </c>
      <c r="P7" s="13">
        <v>4484</v>
      </c>
      <c r="Q7" s="13">
        <v>4301.69</v>
      </c>
      <c r="R7" s="12">
        <v>173.9</v>
      </c>
      <c r="S7" s="12">
        <v>173.9</v>
      </c>
      <c r="T7" s="12">
        <v>18</v>
      </c>
      <c r="U7" s="12">
        <v>18</v>
      </c>
      <c r="V7" s="12">
        <v>166.5</v>
      </c>
      <c r="W7" s="12">
        <v>166.5</v>
      </c>
      <c r="X7" s="12">
        <v>0</v>
      </c>
      <c r="Y7" s="12">
        <v>0</v>
      </c>
      <c r="Z7" s="14">
        <v>358.4</v>
      </c>
      <c r="AA7" s="14">
        <v>358.4</v>
      </c>
      <c r="AB7" s="4">
        <v>4842.4</v>
      </c>
      <c r="AC7" s="4">
        <v>4660.09</v>
      </c>
      <c r="AD7" s="19">
        <v>12574685.603333332</v>
      </c>
      <c r="AE7" s="20">
        <v>190828.828333333</v>
      </c>
      <c r="AF7" s="20">
        <v>204388.403333333</v>
      </c>
      <c r="AG7" s="20">
        <v>74547.7733333333</v>
      </c>
      <c r="AH7" s="20">
        <v>2372518.08916667</v>
      </c>
      <c r="AI7" s="20">
        <v>1110992.335833335</v>
      </c>
      <c r="AJ7" s="21">
        <v>16527961.033333337</v>
      </c>
      <c r="AK7" s="19">
        <v>3108696.4</v>
      </c>
      <c r="AL7" s="19">
        <v>98272.84000000008</v>
      </c>
      <c r="AM7" s="22">
        <v>3206969.24</v>
      </c>
      <c r="AN7" s="22">
        <f>SUM(AJ7,AM7)</f>
        <v>19734930.273333337</v>
      </c>
      <c r="AO7" s="18"/>
    </row>
    <row r="8" spans="1:41" ht="30">
      <c r="A8" s="3" t="s">
        <v>76</v>
      </c>
      <c r="B8" s="3" t="s">
        <v>51</v>
      </c>
      <c r="C8" s="3" t="s">
        <v>48</v>
      </c>
      <c r="D8" s="12">
        <v>14567</v>
      </c>
      <c r="E8" s="12">
        <v>12722.13</v>
      </c>
      <c r="F8" s="12">
        <v>3820</v>
      </c>
      <c r="G8" s="12">
        <v>3553.64</v>
      </c>
      <c r="H8" s="12">
        <v>3029</v>
      </c>
      <c r="I8" s="12">
        <v>2823.71</v>
      </c>
      <c r="J8" s="12">
        <v>730</v>
      </c>
      <c r="K8" s="12">
        <v>712.97</v>
      </c>
      <c r="L8" s="12">
        <v>42</v>
      </c>
      <c r="M8" s="12">
        <v>42</v>
      </c>
      <c r="N8" s="12">
        <v>0</v>
      </c>
      <c r="O8" s="12">
        <v>0</v>
      </c>
      <c r="P8" s="13">
        <v>22188</v>
      </c>
      <c r="Q8" s="13">
        <v>19854.45</v>
      </c>
      <c r="R8" s="23" t="s">
        <v>90</v>
      </c>
      <c r="S8" s="12">
        <v>231.71</v>
      </c>
      <c r="T8" s="12">
        <v>0</v>
      </c>
      <c r="U8" s="12">
        <v>0</v>
      </c>
      <c r="V8" s="12">
        <v>0</v>
      </c>
      <c r="W8" s="12">
        <v>0</v>
      </c>
      <c r="X8" s="12">
        <v>0</v>
      </c>
      <c r="Y8" s="12">
        <v>0</v>
      </c>
      <c r="Z8" s="14">
        <v>0</v>
      </c>
      <c r="AA8" s="14">
        <v>231.71</v>
      </c>
      <c r="AB8" s="4">
        <v>22188</v>
      </c>
      <c r="AC8" s="4">
        <v>20086.16</v>
      </c>
      <c r="AD8" s="20">
        <v>37839279.39000001</v>
      </c>
      <c r="AE8" s="20">
        <v>461901.46</v>
      </c>
      <c r="AF8" s="20">
        <v>209705.74</v>
      </c>
      <c r="AG8" s="20">
        <v>268631</v>
      </c>
      <c r="AH8" s="20">
        <v>6568219.87</v>
      </c>
      <c r="AI8" s="20">
        <v>2532417.66</v>
      </c>
      <c r="AJ8" s="21">
        <v>47880155.120000005</v>
      </c>
      <c r="AK8" s="19">
        <v>615277.65</v>
      </c>
      <c r="AL8" s="19">
        <v>0</v>
      </c>
      <c r="AM8" s="22">
        <v>615277.65</v>
      </c>
      <c r="AN8" s="22">
        <v>48495432.77</v>
      </c>
      <c r="AO8" s="3"/>
    </row>
    <row r="9" spans="1:41" ht="30">
      <c r="A9" s="3" t="s">
        <v>52</v>
      </c>
      <c r="B9" s="3" t="s">
        <v>53</v>
      </c>
      <c r="C9" s="3" t="s">
        <v>48</v>
      </c>
      <c r="D9" s="12">
        <v>312</v>
      </c>
      <c r="E9" s="12">
        <v>275.39</v>
      </c>
      <c r="F9" s="12">
        <v>2598</v>
      </c>
      <c r="G9" s="12">
        <v>2270.5099999999916</v>
      </c>
      <c r="H9" s="12">
        <v>2088</v>
      </c>
      <c r="I9" s="12">
        <v>1931.4599999999932</v>
      </c>
      <c r="J9" s="12">
        <v>194</v>
      </c>
      <c r="K9" s="12">
        <v>182.29</v>
      </c>
      <c r="L9" s="12">
        <v>23</v>
      </c>
      <c r="M9" s="12">
        <v>22.41</v>
      </c>
      <c r="N9" s="12">
        <v>0</v>
      </c>
      <c r="O9" s="12">
        <v>0</v>
      </c>
      <c r="P9" s="13">
        <v>5215</v>
      </c>
      <c r="Q9" s="13">
        <v>4682.059999999984</v>
      </c>
      <c r="R9" s="12">
        <v>0</v>
      </c>
      <c r="S9" s="12">
        <v>0</v>
      </c>
      <c r="T9" s="12">
        <v>2</v>
      </c>
      <c r="U9" s="12">
        <v>2</v>
      </c>
      <c r="V9" s="12">
        <v>0</v>
      </c>
      <c r="W9" s="12">
        <v>0</v>
      </c>
      <c r="X9" s="12">
        <v>0</v>
      </c>
      <c r="Y9" s="12">
        <v>0</v>
      </c>
      <c r="Z9" s="14">
        <v>2</v>
      </c>
      <c r="AA9" s="14">
        <v>2</v>
      </c>
      <c r="AB9" s="4">
        <v>5217</v>
      </c>
      <c r="AC9" s="4">
        <v>4684.059999999984</v>
      </c>
      <c r="AD9" s="20">
        <v>10872971.13999999</v>
      </c>
      <c r="AE9" s="20">
        <v>211361.85999999996</v>
      </c>
      <c r="AF9" s="20">
        <v>1608.1</v>
      </c>
      <c r="AG9" s="20">
        <v>30827.19</v>
      </c>
      <c r="AH9" s="20">
        <v>2119967.6499999994</v>
      </c>
      <c r="AI9" s="20">
        <v>812768.2899999999</v>
      </c>
      <c r="AJ9" s="21">
        <v>14049504.229999986</v>
      </c>
      <c r="AK9" s="19">
        <v>13000.14</v>
      </c>
      <c r="AL9" s="19">
        <v>95550.07</v>
      </c>
      <c r="AM9" s="22">
        <v>108550.21</v>
      </c>
      <c r="AN9" s="22">
        <v>14158054.439999986</v>
      </c>
      <c r="AO9" s="3"/>
    </row>
    <row r="10" spans="1:41" ht="15">
      <c r="A10" s="3" t="s">
        <v>55</v>
      </c>
      <c r="B10" s="3" t="s">
        <v>51</v>
      </c>
      <c r="C10" s="3" t="s">
        <v>48</v>
      </c>
      <c r="D10" s="12">
        <v>189</v>
      </c>
      <c r="E10" s="12">
        <v>169.46</v>
      </c>
      <c r="F10" s="12">
        <v>122</v>
      </c>
      <c r="G10" s="12">
        <v>117.3</v>
      </c>
      <c r="H10" s="12">
        <v>241</v>
      </c>
      <c r="I10" s="12">
        <v>233.33</v>
      </c>
      <c r="J10" s="12">
        <v>60</v>
      </c>
      <c r="K10" s="12">
        <v>59.11</v>
      </c>
      <c r="L10" s="12">
        <v>6</v>
      </c>
      <c r="M10" s="12">
        <v>6</v>
      </c>
      <c r="N10" s="12">
        <v>0</v>
      </c>
      <c r="O10" s="12">
        <v>0</v>
      </c>
      <c r="P10" s="13">
        <v>618</v>
      </c>
      <c r="Q10" s="13">
        <v>585.2</v>
      </c>
      <c r="R10" s="12">
        <v>10</v>
      </c>
      <c r="S10" s="12">
        <v>8.8</v>
      </c>
      <c r="T10" s="12">
        <v>0</v>
      </c>
      <c r="U10" s="12">
        <v>0</v>
      </c>
      <c r="V10" s="12">
        <v>4</v>
      </c>
      <c r="W10" s="12">
        <v>4</v>
      </c>
      <c r="X10" s="12">
        <v>0</v>
      </c>
      <c r="Y10" s="12">
        <v>0</v>
      </c>
      <c r="Z10" s="14">
        <v>14</v>
      </c>
      <c r="AA10" s="14">
        <v>12.8</v>
      </c>
      <c r="AB10" s="4">
        <v>632</v>
      </c>
      <c r="AC10" s="4">
        <v>598</v>
      </c>
      <c r="AD10" s="20">
        <v>1447895.68</v>
      </c>
      <c r="AE10" s="20">
        <v>4984.36</v>
      </c>
      <c r="AF10" s="20">
        <v>0</v>
      </c>
      <c r="AG10" s="20">
        <v>13730.42</v>
      </c>
      <c r="AH10" s="20">
        <v>266790.21</v>
      </c>
      <c r="AI10" s="20">
        <v>122513.04</v>
      </c>
      <c r="AJ10" s="21">
        <v>1855913.71</v>
      </c>
      <c r="AK10" s="19">
        <v>34647.49</v>
      </c>
      <c r="AL10" s="19">
        <v>0</v>
      </c>
      <c r="AM10" s="22">
        <v>34647.49</v>
      </c>
      <c r="AN10" s="22">
        <v>1890561.2</v>
      </c>
      <c r="AO10" s="3"/>
    </row>
    <row r="11" spans="1:41" ht="30">
      <c r="A11" s="3" t="s">
        <v>56</v>
      </c>
      <c r="B11" s="3" t="s">
        <v>51</v>
      </c>
      <c r="C11" s="3" t="s">
        <v>48</v>
      </c>
      <c r="D11" s="12">
        <v>36570</v>
      </c>
      <c r="E11" s="12">
        <v>35039.721343696816</v>
      </c>
      <c r="F11" s="12">
        <v>7414</v>
      </c>
      <c r="G11" s="12">
        <v>7118.252433929479</v>
      </c>
      <c r="H11" s="12">
        <v>3375</v>
      </c>
      <c r="I11" s="12">
        <v>3150.313990887161</v>
      </c>
      <c r="J11" s="12">
        <v>701</v>
      </c>
      <c r="K11" s="12">
        <v>681.5499419279906</v>
      </c>
      <c r="L11" s="12">
        <v>46</v>
      </c>
      <c r="M11" s="12">
        <v>46</v>
      </c>
      <c r="N11" s="12">
        <v>0</v>
      </c>
      <c r="O11" s="12">
        <v>0</v>
      </c>
      <c r="P11" s="13">
        <v>48106</v>
      </c>
      <c r="Q11" s="13">
        <v>46035.83771044144</v>
      </c>
      <c r="R11" s="12">
        <v>349</v>
      </c>
      <c r="S11" s="12">
        <v>349</v>
      </c>
      <c r="T11" s="12">
        <v>0</v>
      </c>
      <c r="U11" s="12">
        <v>0</v>
      </c>
      <c r="V11" s="12">
        <v>0</v>
      </c>
      <c r="W11" s="12">
        <v>0</v>
      </c>
      <c r="X11" s="12">
        <v>0</v>
      </c>
      <c r="Y11" s="12">
        <v>0</v>
      </c>
      <c r="Z11" s="14">
        <v>349</v>
      </c>
      <c r="AA11" s="14">
        <v>349</v>
      </c>
      <c r="AB11" s="4">
        <v>48455</v>
      </c>
      <c r="AC11" s="4">
        <v>46384.83771044144</v>
      </c>
      <c r="AD11" s="20">
        <v>108983515.34000006</v>
      </c>
      <c r="AE11" s="20">
        <v>0</v>
      </c>
      <c r="AF11" s="20">
        <v>0</v>
      </c>
      <c r="AG11" s="20">
        <v>872148.78</v>
      </c>
      <c r="AH11" s="20">
        <v>19655506.62999999</v>
      </c>
      <c r="AI11" s="20">
        <v>8228491.390000001</v>
      </c>
      <c r="AJ11" s="21">
        <v>137739662.14000005</v>
      </c>
      <c r="AK11" s="19">
        <v>2032775.92</v>
      </c>
      <c r="AL11" s="19">
        <v>0</v>
      </c>
      <c r="AM11" s="22">
        <v>2032775.92</v>
      </c>
      <c r="AN11" s="22">
        <v>139772438.06000003</v>
      </c>
      <c r="AO11" s="18"/>
    </row>
    <row r="12" spans="1:41" ht="30">
      <c r="A12" s="3" t="s">
        <v>58</v>
      </c>
      <c r="B12" s="3" t="s">
        <v>51</v>
      </c>
      <c r="C12" s="3" t="s">
        <v>48</v>
      </c>
      <c r="D12" s="12">
        <v>249</v>
      </c>
      <c r="E12" s="12">
        <v>230.47</v>
      </c>
      <c r="F12" s="12">
        <v>107</v>
      </c>
      <c r="G12" s="12">
        <v>101.15</v>
      </c>
      <c r="H12" s="12">
        <v>62</v>
      </c>
      <c r="I12" s="12">
        <v>61.03</v>
      </c>
      <c r="J12" s="12">
        <v>11</v>
      </c>
      <c r="K12" s="12">
        <v>10.74</v>
      </c>
      <c r="L12" s="12">
        <v>2</v>
      </c>
      <c r="M12" s="12">
        <v>1.78</v>
      </c>
      <c r="N12" s="12">
        <v>0</v>
      </c>
      <c r="O12" s="12">
        <v>0</v>
      </c>
      <c r="P12" s="13">
        <v>431</v>
      </c>
      <c r="Q12" s="13">
        <v>405.17</v>
      </c>
      <c r="R12" s="12">
        <v>215</v>
      </c>
      <c r="S12" s="12">
        <v>148</v>
      </c>
      <c r="T12" s="12">
        <v>0</v>
      </c>
      <c r="U12" s="12">
        <v>0</v>
      </c>
      <c r="V12" s="12">
        <v>0</v>
      </c>
      <c r="W12" s="12">
        <v>0</v>
      </c>
      <c r="X12" s="12">
        <v>0</v>
      </c>
      <c r="Y12" s="12">
        <v>0</v>
      </c>
      <c r="Z12" s="14">
        <v>215</v>
      </c>
      <c r="AA12" s="14">
        <v>148</v>
      </c>
      <c r="AB12" s="4">
        <v>646</v>
      </c>
      <c r="AC12" s="4">
        <v>553.17</v>
      </c>
      <c r="AD12" s="20">
        <v>835413.18</v>
      </c>
      <c r="AE12" s="20">
        <v>19073.47</v>
      </c>
      <c r="AF12" s="20">
        <v>2000</v>
      </c>
      <c r="AG12" s="20">
        <v>43638.17</v>
      </c>
      <c r="AH12" s="20">
        <v>127525.07</v>
      </c>
      <c r="AI12" s="20">
        <v>65735.72</v>
      </c>
      <c r="AJ12" s="21">
        <v>1093385.61</v>
      </c>
      <c r="AK12" s="19">
        <v>234058.15</v>
      </c>
      <c r="AL12" s="19">
        <v>0</v>
      </c>
      <c r="AM12" s="22">
        <v>234058.15</v>
      </c>
      <c r="AN12" s="22">
        <v>1327443.76</v>
      </c>
      <c r="AO12" s="3"/>
    </row>
    <row r="13" spans="1:41" ht="30">
      <c r="A13" s="3" t="s">
        <v>60</v>
      </c>
      <c r="B13" s="3" t="s">
        <v>53</v>
      </c>
      <c r="C13" s="3" t="s">
        <v>48</v>
      </c>
      <c r="D13" s="12">
        <v>5</v>
      </c>
      <c r="E13" s="12">
        <v>5</v>
      </c>
      <c r="F13" s="12">
        <v>17</v>
      </c>
      <c r="G13" s="12">
        <v>16.6</v>
      </c>
      <c r="H13" s="12">
        <v>18</v>
      </c>
      <c r="I13" s="12">
        <v>18</v>
      </c>
      <c r="J13" s="12">
        <v>7</v>
      </c>
      <c r="K13" s="12">
        <v>6.47</v>
      </c>
      <c r="L13" s="12">
        <v>2</v>
      </c>
      <c r="M13" s="12">
        <v>2</v>
      </c>
      <c r="N13" s="12">
        <v>0</v>
      </c>
      <c r="O13" s="12">
        <v>0</v>
      </c>
      <c r="P13" s="13">
        <v>49</v>
      </c>
      <c r="Q13" s="13">
        <v>48.07</v>
      </c>
      <c r="R13" s="12">
        <v>0</v>
      </c>
      <c r="S13" s="12">
        <v>0</v>
      </c>
      <c r="T13" s="12">
        <v>0</v>
      </c>
      <c r="U13" s="12">
        <v>0</v>
      </c>
      <c r="V13" s="12">
        <v>0</v>
      </c>
      <c r="W13" s="12">
        <v>0</v>
      </c>
      <c r="X13" s="12">
        <v>0</v>
      </c>
      <c r="Y13" s="12">
        <v>0</v>
      </c>
      <c r="Z13" s="14">
        <v>0</v>
      </c>
      <c r="AA13" s="14">
        <v>0</v>
      </c>
      <c r="AB13" s="4">
        <v>49</v>
      </c>
      <c r="AC13" s="4">
        <v>48.07</v>
      </c>
      <c r="AD13" s="20">
        <v>129623</v>
      </c>
      <c r="AE13" s="20">
        <v>206.43</v>
      </c>
      <c r="AF13" s="20">
        <v>0</v>
      </c>
      <c r="AG13" s="20">
        <v>579.06</v>
      </c>
      <c r="AH13" s="20">
        <v>25369.48</v>
      </c>
      <c r="AI13" s="20">
        <v>11444.16</v>
      </c>
      <c r="AJ13" s="21">
        <v>167222.13</v>
      </c>
      <c r="AK13" s="19">
        <v>0</v>
      </c>
      <c r="AL13" s="19">
        <v>0</v>
      </c>
      <c r="AM13" s="22">
        <v>0</v>
      </c>
      <c r="AN13" s="22">
        <v>167222.13</v>
      </c>
      <c r="AO13" s="3"/>
    </row>
    <row r="14" spans="1:41" ht="210">
      <c r="A14" s="3" t="s">
        <v>62</v>
      </c>
      <c r="B14" s="3" t="s">
        <v>63</v>
      </c>
      <c r="C14" s="3" t="s">
        <v>48</v>
      </c>
      <c r="D14" s="12">
        <v>0</v>
      </c>
      <c r="E14" s="12">
        <v>0</v>
      </c>
      <c r="F14" s="12">
        <v>0</v>
      </c>
      <c r="G14" s="12">
        <v>0</v>
      </c>
      <c r="H14" s="12">
        <v>0</v>
      </c>
      <c r="I14" s="12">
        <v>0</v>
      </c>
      <c r="J14" s="12">
        <v>0</v>
      </c>
      <c r="K14" s="12">
        <v>0</v>
      </c>
      <c r="L14" s="12">
        <v>0</v>
      </c>
      <c r="M14" s="12">
        <v>0</v>
      </c>
      <c r="N14" s="12">
        <v>77</v>
      </c>
      <c r="O14" s="12">
        <v>70.48</v>
      </c>
      <c r="P14" s="13">
        <v>77</v>
      </c>
      <c r="Q14" s="13">
        <v>70.48</v>
      </c>
      <c r="R14" s="12">
        <v>2</v>
      </c>
      <c r="S14" s="12">
        <v>2</v>
      </c>
      <c r="T14" s="12">
        <v>0</v>
      </c>
      <c r="U14" s="12">
        <v>0</v>
      </c>
      <c r="V14" s="12">
        <v>0</v>
      </c>
      <c r="W14" s="12">
        <v>0</v>
      </c>
      <c r="X14" s="12">
        <v>0</v>
      </c>
      <c r="Y14" s="12">
        <v>0</v>
      </c>
      <c r="Z14" s="14">
        <v>2</v>
      </c>
      <c r="AA14" s="14">
        <v>2</v>
      </c>
      <c r="AB14" s="4">
        <v>79</v>
      </c>
      <c r="AC14" s="4">
        <v>72.48</v>
      </c>
      <c r="AD14" s="20">
        <v>201975</v>
      </c>
      <c r="AE14" s="20">
        <v>33</v>
      </c>
      <c r="AF14" s="20">
        <v>0</v>
      </c>
      <c r="AG14" s="20">
        <v>825</v>
      </c>
      <c r="AH14" s="20">
        <v>39584</v>
      </c>
      <c r="AI14" s="20">
        <v>16334</v>
      </c>
      <c r="AJ14" s="21">
        <v>258751</v>
      </c>
      <c r="AK14" s="19">
        <v>3634</v>
      </c>
      <c r="AL14" s="19">
        <v>0</v>
      </c>
      <c r="AM14" s="22">
        <v>3634</v>
      </c>
      <c r="AN14" s="22">
        <v>262385</v>
      </c>
      <c r="AO14" s="3" t="s">
        <v>64</v>
      </c>
    </row>
    <row r="15" spans="1:41" ht="45">
      <c r="A15" s="3" t="s">
        <v>66</v>
      </c>
      <c r="B15" s="3" t="s">
        <v>63</v>
      </c>
      <c r="C15" s="3" t="s">
        <v>48</v>
      </c>
      <c r="D15" s="12">
        <v>0</v>
      </c>
      <c r="E15" s="12">
        <v>0</v>
      </c>
      <c r="F15" s="12">
        <v>0</v>
      </c>
      <c r="G15" s="12">
        <v>0</v>
      </c>
      <c r="H15" s="12">
        <v>0</v>
      </c>
      <c r="I15" s="12">
        <v>0</v>
      </c>
      <c r="J15" s="12">
        <v>0</v>
      </c>
      <c r="K15" s="12">
        <v>0</v>
      </c>
      <c r="L15" s="12">
        <v>0</v>
      </c>
      <c r="M15" s="12">
        <v>0</v>
      </c>
      <c r="N15" s="12">
        <v>347</v>
      </c>
      <c r="O15" s="12">
        <v>321.29</v>
      </c>
      <c r="P15" s="13">
        <v>347</v>
      </c>
      <c r="Q15" s="13">
        <v>321.29</v>
      </c>
      <c r="R15" s="12">
        <v>4</v>
      </c>
      <c r="S15" s="12">
        <v>3.54</v>
      </c>
      <c r="T15" s="12">
        <v>0</v>
      </c>
      <c r="U15" s="12">
        <v>0</v>
      </c>
      <c r="V15" s="12">
        <v>0</v>
      </c>
      <c r="W15" s="12">
        <v>0</v>
      </c>
      <c r="X15" s="12">
        <v>0</v>
      </c>
      <c r="Y15" s="12">
        <v>0</v>
      </c>
      <c r="Z15" s="14">
        <v>4</v>
      </c>
      <c r="AA15" s="14">
        <v>3.54</v>
      </c>
      <c r="AB15" s="4">
        <v>351</v>
      </c>
      <c r="AC15" s="4">
        <v>324.83</v>
      </c>
      <c r="AD15" s="20">
        <v>703997</v>
      </c>
      <c r="AE15" s="20">
        <v>1335</v>
      </c>
      <c r="AF15" s="20">
        <v>0</v>
      </c>
      <c r="AG15" s="20">
        <v>5042</v>
      </c>
      <c r="AH15" s="20">
        <v>128286</v>
      </c>
      <c r="AI15" s="20">
        <v>46348</v>
      </c>
      <c r="AJ15" s="21">
        <v>885008</v>
      </c>
      <c r="AK15" s="19">
        <v>7268</v>
      </c>
      <c r="AL15" s="19">
        <v>0</v>
      </c>
      <c r="AM15" s="22">
        <v>7268</v>
      </c>
      <c r="AN15" s="22">
        <v>892276</v>
      </c>
      <c r="AO15" s="3"/>
    </row>
    <row r="16" spans="1:41" ht="45">
      <c r="A16" s="3" t="s">
        <v>67</v>
      </c>
      <c r="B16" s="3" t="s">
        <v>63</v>
      </c>
      <c r="C16" s="3" t="s">
        <v>48</v>
      </c>
      <c r="D16" s="12">
        <v>12</v>
      </c>
      <c r="E16" s="12">
        <v>12</v>
      </c>
      <c r="F16" s="12">
        <v>19</v>
      </c>
      <c r="G16" s="12">
        <v>18.2</v>
      </c>
      <c r="H16" s="12">
        <v>28</v>
      </c>
      <c r="I16" s="12">
        <v>27.6</v>
      </c>
      <c r="J16" s="12">
        <v>15</v>
      </c>
      <c r="K16" s="12">
        <v>14.4</v>
      </c>
      <c r="L16" s="12">
        <v>4</v>
      </c>
      <c r="M16" s="12">
        <v>4</v>
      </c>
      <c r="N16" s="12">
        <v>1</v>
      </c>
      <c r="O16" s="12">
        <v>0.6</v>
      </c>
      <c r="P16" s="13">
        <v>79</v>
      </c>
      <c r="Q16" s="13">
        <v>76.8</v>
      </c>
      <c r="R16" s="12">
        <v>0</v>
      </c>
      <c r="S16" s="12">
        <v>0</v>
      </c>
      <c r="T16" s="12">
        <v>0</v>
      </c>
      <c r="U16" s="12">
        <v>0</v>
      </c>
      <c r="V16" s="12">
        <v>0</v>
      </c>
      <c r="W16" s="12">
        <v>0</v>
      </c>
      <c r="X16" s="12">
        <v>0</v>
      </c>
      <c r="Y16" s="12">
        <v>0</v>
      </c>
      <c r="Z16" s="14">
        <v>0</v>
      </c>
      <c r="AA16" s="14">
        <v>0</v>
      </c>
      <c r="AB16" s="4">
        <v>79</v>
      </c>
      <c r="AC16" s="4">
        <v>76.8</v>
      </c>
      <c r="AD16" s="20">
        <v>227716</v>
      </c>
      <c r="AE16" s="20">
        <v>1933</v>
      </c>
      <c r="AF16" s="20">
        <v>0</v>
      </c>
      <c r="AG16" s="20">
        <v>0</v>
      </c>
      <c r="AH16" s="20">
        <v>42930</v>
      </c>
      <c r="AI16" s="20">
        <v>18466</v>
      </c>
      <c r="AJ16" s="21">
        <v>291045</v>
      </c>
      <c r="AK16" s="19">
        <v>0</v>
      </c>
      <c r="AL16" s="19">
        <v>0</v>
      </c>
      <c r="AM16" s="22">
        <v>0</v>
      </c>
      <c r="AN16" s="22">
        <v>291045</v>
      </c>
      <c r="AO16" s="3"/>
    </row>
    <row r="17" spans="1:41" ht="105">
      <c r="A17" s="3" t="s">
        <v>68</v>
      </c>
      <c r="B17" s="3" t="s">
        <v>63</v>
      </c>
      <c r="C17" s="3" t="s">
        <v>48</v>
      </c>
      <c r="D17" s="12">
        <v>0</v>
      </c>
      <c r="E17" s="12">
        <v>0</v>
      </c>
      <c r="F17" s="12">
        <v>0</v>
      </c>
      <c r="G17" s="12">
        <v>0</v>
      </c>
      <c r="H17" s="12">
        <v>0</v>
      </c>
      <c r="I17" s="12">
        <v>0</v>
      </c>
      <c r="J17" s="12">
        <v>0</v>
      </c>
      <c r="K17" s="12">
        <v>0</v>
      </c>
      <c r="L17" s="12">
        <v>0</v>
      </c>
      <c r="M17" s="12">
        <v>0</v>
      </c>
      <c r="N17" s="12">
        <v>33</v>
      </c>
      <c r="O17" s="12">
        <v>32.7</v>
      </c>
      <c r="P17" s="13">
        <v>33</v>
      </c>
      <c r="Q17" s="13">
        <v>32.7</v>
      </c>
      <c r="R17" s="12">
        <v>0</v>
      </c>
      <c r="S17" s="12">
        <v>0</v>
      </c>
      <c r="T17" s="12">
        <v>0</v>
      </c>
      <c r="U17" s="12">
        <v>0</v>
      </c>
      <c r="V17" s="12">
        <v>0</v>
      </c>
      <c r="W17" s="12">
        <v>0</v>
      </c>
      <c r="X17" s="12">
        <v>0</v>
      </c>
      <c r="Y17" s="12">
        <v>0</v>
      </c>
      <c r="Z17" s="14">
        <v>0</v>
      </c>
      <c r="AA17" s="14">
        <v>0</v>
      </c>
      <c r="AB17" s="4">
        <v>33</v>
      </c>
      <c r="AC17" s="4">
        <v>32.7</v>
      </c>
      <c r="AD17" s="20">
        <v>154977</v>
      </c>
      <c r="AE17" s="20">
        <v>0</v>
      </c>
      <c r="AF17" s="20">
        <v>0</v>
      </c>
      <c r="AG17" s="20">
        <v>0</v>
      </c>
      <c r="AH17" s="20">
        <v>31427</v>
      </c>
      <c r="AI17" s="20">
        <v>18704</v>
      </c>
      <c r="AJ17" s="21">
        <v>205108</v>
      </c>
      <c r="AK17" s="19">
        <v>0</v>
      </c>
      <c r="AL17" s="19">
        <v>0</v>
      </c>
      <c r="AM17" s="22">
        <v>0</v>
      </c>
      <c r="AN17" s="22">
        <v>205108</v>
      </c>
      <c r="AO17" s="3" t="s">
        <v>69</v>
      </c>
    </row>
    <row r="18" spans="1:41" ht="45">
      <c r="A18" s="3" t="s">
        <v>70</v>
      </c>
      <c r="B18" s="3" t="s">
        <v>63</v>
      </c>
      <c r="C18" s="3" t="s">
        <v>48</v>
      </c>
      <c r="D18" s="12">
        <v>709</v>
      </c>
      <c r="E18" s="12">
        <v>667.7</v>
      </c>
      <c r="F18" s="12">
        <v>251</v>
      </c>
      <c r="G18" s="12">
        <v>240.6</v>
      </c>
      <c r="H18" s="12">
        <v>392</v>
      </c>
      <c r="I18" s="12">
        <v>377.5</v>
      </c>
      <c r="J18" s="12">
        <v>89</v>
      </c>
      <c r="K18" s="12">
        <v>87.8</v>
      </c>
      <c r="L18" s="12">
        <v>17</v>
      </c>
      <c r="M18" s="12">
        <v>11.2</v>
      </c>
      <c r="N18" s="12">
        <v>1</v>
      </c>
      <c r="O18" s="12">
        <v>0.7</v>
      </c>
      <c r="P18" s="13">
        <v>1459</v>
      </c>
      <c r="Q18" s="13">
        <v>1385.5</v>
      </c>
      <c r="R18" s="12">
        <v>86</v>
      </c>
      <c r="S18" s="12">
        <v>83.98</v>
      </c>
      <c r="T18" s="12">
        <v>0</v>
      </c>
      <c r="U18" s="12">
        <v>0</v>
      </c>
      <c r="V18" s="12">
        <v>16</v>
      </c>
      <c r="W18" s="12">
        <v>16</v>
      </c>
      <c r="X18" s="12">
        <v>0</v>
      </c>
      <c r="Y18" s="12">
        <v>0</v>
      </c>
      <c r="Z18" s="14">
        <v>102</v>
      </c>
      <c r="AA18" s="14">
        <v>99.98</v>
      </c>
      <c r="AB18" s="4">
        <v>1561</v>
      </c>
      <c r="AC18" s="4">
        <v>1485.48</v>
      </c>
      <c r="AD18" s="20">
        <v>3262530.29</v>
      </c>
      <c r="AE18" s="20">
        <v>0</v>
      </c>
      <c r="AF18" s="20">
        <v>0</v>
      </c>
      <c r="AG18" s="20">
        <v>85862.67</v>
      </c>
      <c r="AH18" s="20">
        <v>34565.39</v>
      </c>
      <c r="AI18" s="20">
        <v>275631.24</v>
      </c>
      <c r="AJ18" s="21">
        <v>3658589.59</v>
      </c>
      <c r="AK18" s="19">
        <v>364816.79</v>
      </c>
      <c r="AL18" s="19">
        <v>0</v>
      </c>
      <c r="AM18" s="22">
        <v>364816.79</v>
      </c>
      <c r="AN18" s="22">
        <v>4023406.38</v>
      </c>
      <c r="AO18" s="3"/>
    </row>
    <row r="19" spans="1:41" ht="45">
      <c r="A19" s="3" t="s">
        <v>71</v>
      </c>
      <c r="B19" s="3" t="s">
        <v>63</v>
      </c>
      <c r="C19" s="3" t="s">
        <v>48</v>
      </c>
      <c r="D19" s="12">
        <v>25</v>
      </c>
      <c r="E19" s="12">
        <v>24.6</v>
      </c>
      <c r="F19" s="12">
        <v>46</v>
      </c>
      <c r="G19" s="12">
        <v>45</v>
      </c>
      <c r="H19" s="12">
        <v>14</v>
      </c>
      <c r="I19" s="12">
        <v>13.6</v>
      </c>
      <c r="J19" s="12">
        <v>6</v>
      </c>
      <c r="K19" s="12">
        <v>6</v>
      </c>
      <c r="L19" s="12">
        <v>1</v>
      </c>
      <c r="M19" s="12">
        <v>1</v>
      </c>
      <c r="N19" s="12">
        <v>1</v>
      </c>
      <c r="O19" s="12">
        <v>0.4</v>
      </c>
      <c r="P19" s="13">
        <v>93</v>
      </c>
      <c r="Q19" s="13">
        <v>90.6</v>
      </c>
      <c r="R19" s="12">
        <v>2</v>
      </c>
      <c r="S19" s="12">
        <v>2</v>
      </c>
      <c r="T19" s="12">
        <v>0</v>
      </c>
      <c r="U19" s="12">
        <v>0</v>
      </c>
      <c r="V19" s="12">
        <v>0</v>
      </c>
      <c r="W19" s="12">
        <v>0</v>
      </c>
      <c r="X19" s="12">
        <v>0</v>
      </c>
      <c r="Y19" s="12">
        <v>0</v>
      </c>
      <c r="Z19" s="14">
        <v>2</v>
      </c>
      <c r="AA19" s="14">
        <v>2</v>
      </c>
      <c r="AB19" s="4">
        <v>95</v>
      </c>
      <c r="AC19" s="4">
        <v>92.6</v>
      </c>
      <c r="AD19" s="20">
        <v>213676.63</v>
      </c>
      <c r="AE19" s="20">
        <v>20737.73</v>
      </c>
      <c r="AF19" s="20">
        <v>0</v>
      </c>
      <c r="AG19" s="20">
        <v>2119.71</v>
      </c>
      <c r="AH19" s="20">
        <v>36494.16</v>
      </c>
      <c r="AI19" s="20">
        <v>20753.86</v>
      </c>
      <c r="AJ19" s="21">
        <v>293782.09</v>
      </c>
      <c r="AK19" s="19">
        <v>24525.28</v>
      </c>
      <c r="AL19" s="19">
        <v>0</v>
      </c>
      <c r="AM19" s="22">
        <v>24525.28</v>
      </c>
      <c r="AN19" s="22">
        <v>318307.37</v>
      </c>
      <c r="AO19" s="3"/>
    </row>
    <row r="20" spans="1:41" ht="210">
      <c r="A20" s="3" t="s">
        <v>72</v>
      </c>
      <c r="B20" s="3" t="s">
        <v>63</v>
      </c>
      <c r="C20" s="3" t="s">
        <v>48</v>
      </c>
      <c r="D20" s="12">
        <v>0</v>
      </c>
      <c r="E20" s="12">
        <v>0</v>
      </c>
      <c r="F20" s="12">
        <v>0</v>
      </c>
      <c r="G20" s="12">
        <v>0</v>
      </c>
      <c r="H20" s="12">
        <v>0</v>
      </c>
      <c r="I20" s="12">
        <v>0</v>
      </c>
      <c r="J20" s="12">
        <v>0</v>
      </c>
      <c r="K20" s="12">
        <v>0</v>
      </c>
      <c r="L20" s="12">
        <v>0</v>
      </c>
      <c r="M20" s="12">
        <v>0</v>
      </c>
      <c r="N20" s="12">
        <v>20037</v>
      </c>
      <c r="O20" s="12">
        <v>18141</v>
      </c>
      <c r="P20" s="13">
        <v>20037</v>
      </c>
      <c r="Q20" s="13">
        <v>18141</v>
      </c>
      <c r="R20" s="12">
        <v>1564</v>
      </c>
      <c r="S20" s="12">
        <v>1564</v>
      </c>
      <c r="T20" s="12">
        <v>10</v>
      </c>
      <c r="U20" s="12">
        <v>10</v>
      </c>
      <c r="V20" s="12">
        <v>0</v>
      </c>
      <c r="W20" s="12">
        <v>0</v>
      </c>
      <c r="X20" s="12">
        <v>0</v>
      </c>
      <c r="Y20" s="12">
        <v>0</v>
      </c>
      <c r="Z20" s="14">
        <v>1574</v>
      </c>
      <c r="AA20" s="14">
        <v>1574</v>
      </c>
      <c r="AB20" s="4">
        <v>21611</v>
      </c>
      <c r="AC20" s="4">
        <v>19715</v>
      </c>
      <c r="AD20" s="23" t="s">
        <v>90</v>
      </c>
      <c r="AE20" s="23" t="s">
        <v>90</v>
      </c>
      <c r="AF20" s="23" t="s">
        <v>90</v>
      </c>
      <c r="AG20" s="23" t="s">
        <v>90</v>
      </c>
      <c r="AH20" s="23" t="s">
        <v>90</v>
      </c>
      <c r="AI20" s="23" t="s">
        <v>90</v>
      </c>
      <c r="AJ20" s="23" t="s">
        <v>90</v>
      </c>
      <c r="AK20" s="23" t="s">
        <v>90</v>
      </c>
      <c r="AL20" s="23" t="s">
        <v>90</v>
      </c>
      <c r="AM20" s="23" t="s">
        <v>90</v>
      </c>
      <c r="AN20" s="23" t="s">
        <v>90</v>
      </c>
      <c r="AO20" s="3" t="s">
        <v>78</v>
      </c>
    </row>
    <row r="21" spans="1:41" ht="45">
      <c r="A21" s="3" t="s">
        <v>74</v>
      </c>
      <c r="B21" s="3" t="s">
        <v>63</v>
      </c>
      <c r="C21" s="3" t="s">
        <v>48</v>
      </c>
      <c r="D21" s="12">
        <v>19</v>
      </c>
      <c r="E21" s="12">
        <v>16.45</v>
      </c>
      <c r="F21" s="12">
        <v>41</v>
      </c>
      <c r="G21" s="12">
        <v>39.77</v>
      </c>
      <c r="H21" s="12">
        <v>116</v>
      </c>
      <c r="I21" s="12">
        <v>113.94</v>
      </c>
      <c r="J21" s="12">
        <v>37</v>
      </c>
      <c r="K21" s="12">
        <v>36.1</v>
      </c>
      <c r="L21" s="12">
        <v>4</v>
      </c>
      <c r="M21" s="12">
        <v>3.6</v>
      </c>
      <c r="N21" s="12">
        <v>9</v>
      </c>
      <c r="O21" s="12">
        <v>9</v>
      </c>
      <c r="P21" s="13">
        <v>226</v>
      </c>
      <c r="Q21" s="13">
        <v>218.86</v>
      </c>
      <c r="R21" s="12">
        <v>6</v>
      </c>
      <c r="S21" s="12">
        <v>6</v>
      </c>
      <c r="T21" s="12">
        <v>0</v>
      </c>
      <c r="U21" s="12">
        <v>0</v>
      </c>
      <c r="V21" s="12">
        <v>13</v>
      </c>
      <c r="W21" s="12">
        <v>12.8</v>
      </c>
      <c r="X21" s="12">
        <v>0</v>
      </c>
      <c r="Y21" s="12">
        <v>0</v>
      </c>
      <c r="Z21" s="14">
        <v>19</v>
      </c>
      <c r="AA21" s="14">
        <v>18.8</v>
      </c>
      <c r="AB21" s="4">
        <v>245</v>
      </c>
      <c r="AC21" s="4">
        <v>237.66</v>
      </c>
      <c r="AD21" s="20">
        <v>558532.2</v>
      </c>
      <c r="AE21" s="20">
        <v>62956</v>
      </c>
      <c r="AF21" s="20">
        <v>0</v>
      </c>
      <c r="AG21" s="20">
        <v>3685.76</v>
      </c>
      <c r="AH21" s="20">
        <v>114742.1</v>
      </c>
      <c r="AI21" s="20">
        <v>59691.07</v>
      </c>
      <c r="AJ21" s="21">
        <v>799607.13</v>
      </c>
      <c r="AK21" s="19">
        <v>311909.75</v>
      </c>
      <c r="AL21" s="19">
        <v>0</v>
      </c>
      <c r="AM21" s="22">
        <v>311909.75</v>
      </c>
      <c r="AN21" s="22">
        <v>1111516.88</v>
      </c>
      <c r="AO21" s="3"/>
    </row>
    <row r="22" spans="1:41" ht="45">
      <c r="A22" s="3" t="s">
        <v>79</v>
      </c>
      <c r="B22" s="3"/>
      <c r="C22" s="3"/>
      <c r="D22" s="12">
        <v>53742</v>
      </c>
      <c r="E22" s="12">
        <v>50179.421343696806</v>
      </c>
      <c r="F22" s="12">
        <v>15267</v>
      </c>
      <c r="G22" s="12">
        <v>14321.422433929472</v>
      </c>
      <c r="H22" s="12">
        <v>10976</v>
      </c>
      <c r="I22" s="12">
        <v>10313.243990887157</v>
      </c>
      <c r="J22" s="12">
        <v>2678</v>
      </c>
      <c r="K22" s="12">
        <v>2596.6899419279903</v>
      </c>
      <c r="L22" s="12">
        <v>273</v>
      </c>
      <c r="M22" s="12">
        <v>262.76</v>
      </c>
      <c r="N22" s="12">
        <v>20506</v>
      </c>
      <c r="O22" s="12">
        <v>18576.17</v>
      </c>
      <c r="P22" s="13">
        <v>103442</v>
      </c>
      <c r="Q22" s="13">
        <v>96249.70771044142</v>
      </c>
      <c r="R22" s="12">
        <v>2411.9</v>
      </c>
      <c r="S22" s="12">
        <v>2572.93</v>
      </c>
      <c r="T22" s="12">
        <v>30</v>
      </c>
      <c r="U22" s="12">
        <v>30</v>
      </c>
      <c r="V22" s="12">
        <v>199.5</v>
      </c>
      <c r="W22" s="12">
        <v>199.3</v>
      </c>
      <c r="X22" s="12">
        <v>0</v>
      </c>
      <c r="Y22" s="12">
        <v>0</v>
      </c>
      <c r="Z22" s="14">
        <v>2641.4</v>
      </c>
      <c r="AA22" s="14">
        <v>2802.23</v>
      </c>
      <c r="AB22" s="4">
        <v>106083.4</v>
      </c>
      <c r="AC22" s="4">
        <v>99051.93771044143</v>
      </c>
      <c r="AD22" s="20">
        <v>178335722.40000004</v>
      </c>
      <c r="AE22" s="20">
        <v>960913.33</v>
      </c>
      <c r="AF22" s="20">
        <v>455080.84</v>
      </c>
      <c r="AG22" s="20">
        <v>1420957.02</v>
      </c>
      <c r="AH22" s="20">
        <v>31559933.189999994</v>
      </c>
      <c r="AI22" s="20">
        <v>13322645.400000002</v>
      </c>
      <c r="AJ22" s="21">
        <f>SUM(AJ7:AJ21)</f>
        <v>225705694.78333336</v>
      </c>
      <c r="AK22" s="19">
        <v>6750609.57</v>
      </c>
      <c r="AL22" s="19">
        <v>193822.91</v>
      </c>
      <c r="AM22" s="22">
        <v>6944432.48</v>
      </c>
      <c r="AN22" s="22">
        <f>SUM(AN7:AN21)</f>
        <v>232650127.26333332</v>
      </c>
      <c r="AO22" s="3"/>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row r="101" spans="1:41" ht="15">
      <c r="A101" s="3"/>
      <c r="B101" s="3"/>
      <c r="C101" s="3"/>
      <c r="D101" s="12"/>
      <c r="E101" s="12"/>
      <c r="F101" s="12"/>
      <c r="G101" s="12"/>
      <c r="H101" s="12"/>
      <c r="I101" s="12"/>
      <c r="J101" s="12"/>
      <c r="K101" s="12"/>
      <c r="L101" s="12"/>
      <c r="M101" s="12"/>
      <c r="N101" s="12"/>
      <c r="O101" s="12"/>
      <c r="P101" s="13"/>
      <c r="Q101" s="13"/>
      <c r="R101" s="12"/>
      <c r="S101" s="12"/>
      <c r="T101" s="12"/>
      <c r="U101" s="12"/>
      <c r="V101" s="12"/>
      <c r="W101" s="12"/>
      <c r="X101" s="12"/>
      <c r="Y101" s="12"/>
      <c r="Z101" s="14"/>
      <c r="AA101" s="14"/>
      <c r="AB101" s="4"/>
      <c r="AC101" s="4"/>
      <c r="AD101" s="6"/>
      <c r="AE101" s="6"/>
      <c r="AF101" s="6"/>
      <c r="AG101" s="6"/>
      <c r="AH101" s="6"/>
      <c r="AI101" s="6"/>
      <c r="AJ101" s="7"/>
      <c r="AK101" s="5"/>
      <c r="AL101" s="5"/>
      <c r="AM101" s="8"/>
      <c r="AN101" s="8"/>
      <c r="AO101" s="9"/>
    </row>
    <row r="102" spans="1:41" ht="15">
      <c r="A102" s="3"/>
      <c r="B102" s="3"/>
      <c r="C102" s="3"/>
      <c r="D102" s="12"/>
      <c r="E102" s="12"/>
      <c r="F102" s="12"/>
      <c r="G102" s="12"/>
      <c r="H102" s="12"/>
      <c r="I102" s="12"/>
      <c r="J102" s="12"/>
      <c r="K102" s="12"/>
      <c r="L102" s="12"/>
      <c r="M102" s="12"/>
      <c r="N102" s="12"/>
      <c r="O102" s="12"/>
      <c r="P102" s="13"/>
      <c r="Q102" s="13"/>
      <c r="R102" s="12"/>
      <c r="S102" s="12"/>
      <c r="T102" s="12"/>
      <c r="U102" s="12"/>
      <c r="V102" s="12"/>
      <c r="W102" s="12"/>
      <c r="X102" s="12"/>
      <c r="Y102" s="12"/>
      <c r="Z102" s="14"/>
      <c r="AA102" s="14"/>
      <c r="AB102" s="4"/>
      <c r="AC102" s="4"/>
      <c r="AD102" s="6"/>
      <c r="AE102" s="6"/>
      <c r="AF102" s="6"/>
      <c r="AG102" s="6"/>
      <c r="AH102" s="6"/>
      <c r="AI102" s="6"/>
      <c r="AJ102" s="7"/>
      <c r="AK102" s="5"/>
      <c r="AL102" s="5"/>
      <c r="AM102" s="8"/>
      <c r="AN102" s="8"/>
      <c r="AO102" s="9"/>
    </row>
    <row r="103" spans="1:41" ht="15">
      <c r="A103" s="3"/>
      <c r="B103" s="3"/>
      <c r="C103" s="3"/>
      <c r="D103" s="12"/>
      <c r="E103" s="12"/>
      <c r="F103" s="12"/>
      <c r="G103" s="12"/>
      <c r="H103" s="12"/>
      <c r="I103" s="12"/>
      <c r="J103" s="12"/>
      <c r="K103" s="12"/>
      <c r="L103" s="12"/>
      <c r="M103" s="12"/>
      <c r="N103" s="12"/>
      <c r="O103" s="12"/>
      <c r="P103" s="13"/>
      <c r="Q103" s="13"/>
      <c r="R103" s="12"/>
      <c r="S103" s="12"/>
      <c r="T103" s="12"/>
      <c r="U103" s="12"/>
      <c r="V103" s="12"/>
      <c r="W103" s="12"/>
      <c r="X103" s="12"/>
      <c r="Y103" s="12"/>
      <c r="Z103" s="14"/>
      <c r="AA103" s="14"/>
      <c r="AB103" s="4"/>
      <c r="AC103" s="4"/>
      <c r="AD103" s="6"/>
      <c r="AE103" s="6"/>
      <c r="AF103" s="6"/>
      <c r="AG103" s="6"/>
      <c r="AH103" s="6"/>
      <c r="AI103" s="6"/>
      <c r="AJ103" s="7"/>
      <c r="AK103" s="5"/>
      <c r="AL103" s="5"/>
      <c r="AM103" s="8"/>
      <c r="AN103" s="8"/>
      <c r="AO103" s="9"/>
    </row>
  </sheetData>
  <mergeCells count="32">
    <mergeCell ref="AJ5:AJ6"/>
    <mergeCell ref="AK5:AK6"/>
    <mergeCell ref="AL5:AL6"/>
    <mergeCell ref="AM5:AM6"/>
    <mergeCell ref="AF5:AF6"/>
    <mergeCell ref="AG5:AG6"/>
    <mergeCell ref="AH5:AH6"/>
    <mergeCell ref="AI5:AI6"/>
    <mergeCell ref="AN4:AN6"/>
    <mergeCell ref="AO4:AO6"/>
    <mergeCell ref="D5:E5"/>
    <mergeCell ref="F5:G5"/>
    <mergeCell ref="H5:I5"/>
    <mergeCell ref="J5:K5"/>
    <mergeCell ref="L5:M5"/>
    <mergeCell ref="N5:O5"/>
    <mergeCell ref="P5:Q5"/>
    <mergeCell ref="R5:S5"/>
    <mergeCell ref="R4:AA4"/>
    <mergeCell ref="AB4:AC5"/>
    <mergeCell ref="AD4:AJ4"/>
    <mergeCell ref="AK4:AM4"/>
    <mergeCell ref="T5:U5"/>
    <mergeCell ref="V5:W5"/>
    <mergeCell ref="X5:Y5"/>
    <mergeCell ref="Z5:AA5"/>
    <mergeCell ref="AD5:AD6"/>
    <mergeCell ref="AE5:AE6"/>
    <mergeCell ref="A4:A6"/>
    <mergeCell ref="B4:B6"/>
    <mergeCell ref="C4:C6"/>
    <mergeCell ref="D4:Q4"/>
  </mergeCells>
  <conditionalFormatting sqref="B7:B21 B23:B103">
    <cfRule type="expression" priority="1" dxfId="22" stopIfTrue="1">
      <formula>AND(NOT(ISBLANK($A7)),ISBLANK(B7))</formula>
    </cfRule>
  </conditionalFormatting>
  <conditionalFormatting sqref="C7:C21 C23:C103">
    <cfRule type="expression" priority="2" dxfId="22" stopIfTrue="1">
      <formula>AND(NOT(ISBLANK(A7)),ISBLANK(C7))</formula>
    </cfRule>
  </conditionalFormatting>
  <conditionalFormatting sqref="D7:D103 F7:F103 H7:H103 J7:J103 L7:L103 N7:N103 X7:X103 T7:T103 V7:V103 R7:R103 AD20:AN20">
    <cfRule type="expression" priority="3" dxfId="22" stopIfTrue="1">
      <formula>AND(NOT(ISBLANK(E7)),ISBLANK(D7))</formula>
    </cfRule>
  </conditionalFormatting>
  <conditionalFormatting sqref="E7:E103 G7:G103 I7:I103 K7:K103 M7:M103 O7:O103 S7:S103 U7:U103 W7:W103 Y7:Y103">
    <cfRule type="expression" priority="4" dxfId="22" stopIfTrue="1">
      <formula>AND(NOT(ISBLANK(D7)),ISBLANK(E7))</formula>
    </cfRule>
  </conditionalFormatting>
  <conditionalFormatting sqref="B22:C22">
    <cfRule type="expression" priority="5" dxfId="23" stopIfTrue="1">
      <formula>AND(NOT(ISBLANK($A22)),ISBLANK(B22))</formula>
    </cfRule>
  </conditionalFormatting>
  <dataValidations count="4">
    <dataValidation type="decimal" operator="greaterThan" allowBlank="1" showInputMessage="1" showErrorMessage="1" sqref="AK21:AL103 AK7:AL19 AD7:AI19 AD21:AI103">
      <formula1>0</formula1>
    </dataValidation>
    <dataValidation operator="lessThanOrEqual" allowBlank="1" showInputMessage="1" showErrorMessage="1" error="FTE cannot be greater than Headcount&#10;" sqref="AP1:IV65536 R104:AN65536 AO4 AO7:AO65536 R4 A4:C4 P5 A104:O65536 P7:Q65536 AB6:AC103 AB4"/>
    <dataValidation type="custom" allowBlank="1" showInputMessage="1" showErrorMessage="1" errorTitle="Headcount" error="The value entered in the headcount field must be greater than or equal to the value entered in the FTE field." sqref="F7:F103 H7:H103 J7:J103 L7:L103 N7:N103 T7:T103 V7:V103 X7:X103 D7:D103 R7:R103 AD20:AN20">
      <formula1>F7&gt;=G7</formula1>
    </dataValidation>
    <dataValidation type="custom" allowBlank="1" showInputMessage="1" showErrorMessage="1" errorTitle="FTE" error="The value entered in the FTE field must be less than or equal to the value entered in the headcount field." sqref="M7:M103 G7:G103 I7:I103 K7:K103 O7:O103 U7:U103 W7:W103 Y7:Y103 S7:S103 E7:E103">
      <formula1>M7&lt;=L7</formula1>
    </dataValidation>
  </dataValidations>
  <printOptions/>
  <pageMargins left="0.75" right="0.75" top="1" bottom="1" header="0.5" footer="0.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AO103"/>
  <sheetViews>
    <sheetView zoomScale="70" zoomScaleNormal="70" workbookViewId="0" topLeftCell="A1">
      <selection activeCell="A1" sqref="A1"/>
    </sheetView>
  </sheetViews>
  <sheetFormatPr defaultColWidth="8.88671875" defaultRowHeight="15"/>
  <cols>
    <col min="1" max="1" width="23.5546875" style="2" customWidth="1"/>
    <col min="2" max="3" width="14.99609375" style="2" customWidth="1"/>
    <col min="4" max="4" width="10.5546875" style="15" customWidth="1"/>
    <col min="5" max="5" width="10.4453125" style="15" customWidth="1"/>
    <col min="6" max="6" width="10.5546875" style="15" customWidth="1"/>
    <col min="7" max="7" width="10.4453125" style="15" customWidth="1"/>
    <col min="8" max="8" width="10.5546875" style="15" customWidth="1"/>
    <col min="9" max="9" width="10.4453125" style="15" customWidth="1"/>
    <col min="10" max="10" width="10.6640625" style="15" customWidth="1"/>
    <col min="11" max="11" width="10.4453125" style="15" customWidth="1"/>
    <col min="12" max="12" width="10.6640625" style="15" customWidth="1"/>
    <col min="13" max="13" width="10.4453125" style="15" customWidth="1"/>
    <col min="14" max="14" width="10.5546875" style="15" customWidth="1"/>
    <col min="15" max="15" width="10.4453125" style="15" customWidth="1"/>
    <col min="16" max="16" width="10.88671875" style="15" customWidth="1"/>
    <col min="17"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ht="15">
      <c r="A1" s="2" t="s">
        <v>92</v>
      </c>
    </row>
    <row r="2" ht="15">
      <c r="A2" s="24" t="s">
        <v>93</v>
      </c>
    </row>
    <row r="3" ht="15">
      <c r="A3" s="24" t="s">
        <v>94</v>
      </c>
    </row>
    <row r="4" spans="1:41" s="1" customFormat="1" ht="15" customHeight="1">
      <c r="A4" s="387" t="s">
        <v>26</v>
      </c>
      <c r="B4" s="387" t="s">
        <v>15</v>
      </c>
      <c r="C4" s="387" t="s">
        <v>14</v>
      </c>
      <c r="D4" s="390" t="s">
        <v>22</v>
      </c>
      <c r="E4" s="391"/>
      <c r="F4" s="391"/>
      <c r="G4" s="391"/>
      <c r="H4" s="391"/>
      <c r="I4" s="391"/>
      <c r="J4" s="391"/>
      <c r="K4" s="391"/>
      <c r="L4" s="391"/>
      <c r="M4" s="391"/>
      <c r="N4" s="391"/>
      <c r="O4" s="391"/>
      <c r="P4" s="391"/>
      <c r="Q4" s="392"/>
      <c r="R4" s="393" t="s">
        <v>29</v>
      </c>
      <c r="S4" s="394"/>
      <c r="T4" s="394"/>
      <c r="U4" s="394"/>
      <c r="V4" s="394"/>
      <c r="W4" s="394"/>
      <c r="X4" s="394"/>
      <c r="Y4" s="394"/>
      <c r="Z4" s="394"/>
      <c r="AA4" s="395"/>
      <c r="AB4" s="396" t="s">
        <v>39</v>
      </c>
      <c r="AC4" s="397"/>
      <c r="AD4" s="400" t="s">
        <v>25</v>
      </c>
      <c r="AE4" s="401"/>
      <c r="AF4" s="401"/>
      <c r="AG4" s="401"/>
      <c r="AH4" s="401"/>
      <c r="AI4" s="401"/>
      <c r="AJ4" s="402"/>
      <c r="AK4" s="385" t="s">
        <v>46</v>
      </c>
      <c r="AL4" s="385"/>
      <c r="AM4" s="385"/>
      <c r="AN4" s="404" t="s">
        <v>38</v>
      </c>
      <c r="AO4" s="387" t="s">
        <v>47</v>
      </c>
    </row>
    <row r="5" spans="1:41" s="1" customFormat="1" ht="53.25" customHeight="1">
      <c r="A5" s="388"/>
      <c r="B5" s="388"/>
      <c r="C5" s="388"/>
      <c r="D5" s="408" t="s">
        <v>42</v>
      </c>
      <c r="E5" s="409"/>
      <c r="F5" s="408" t="s">
        <v>43</v>
      </c>
      <c r="G5" s="409"/>
      <c r="H5" s="408" t="s">
        <v>44</v>
      </c>
      <c r="I5" s="409"/>
      <c r="J5" s="408" t="s">
        <v>20</v>
      </c>
      <c r="K5" s="409"/>
      <c r="L5" s="408" t="s">
        <v>45</v>
      </c>
      <c r="M5" s="409"/>
      <c r="N5" s="408" t="s">
        <v>19</v>
      </c>
      <c r="O5" s="409"/>
      <c r="P5" s="390" t="s">
        <v>23</v>
      </c>
      <c r="Q5" s="392"/>
      <c r="R5" s="390" t="s">
        <v>27</v>
      </c>
      <c r="S5" s="395"/>
      <c r="T5" s="393" t="s">
        <v>17</v>
      </c>
      <c r="U5" s="395"/>
      <c r="V5" s="393" t="s">
        <v>18</v>
      </c>
      <c r="W5" s="395"/>
      <c r="X5" s="393" t="s">
        <v>28</v>
      </c>
      <c r="Y5" s="395"/>
      <c r="Z5" s="390" t="s">
        <v>24</v>
      </c>
      <c r="AA5" s="392"/>
      <c r="AB5" s="398"/>
      <c r="AC5" s="399"/>
      <c r="AD5" s="387" t="s">
        <v>31</v>
      </c>
      <c r="AE5" s="387" t="s">
        <v>30</v>
      </c>
      <c r="AF5" s="387" t="s">
        <v>32</v>
      </c>
      <c r="AG5" s="387" t="s">
        <v>33</v>
      </c>
      <c r="AH5" s="387" t="s">
        <v>34</v>
      </c>
      <c r="AI5" s="387" t="s">
        <v>35</v>
      </c>
      <c r="AJ5" s="383" t="s">
        <v>37</v>
      </c>
      <c r="AK5" s="387" t="s">
        <v>40</v>
      </c>
      <c r="AL5" s="387" t="s">
        <v>41</v>
      </c>
      <c r="AM5" s="387" t="s">
        <v>36</v>
      </c>
      <c r="AN5" s="405"/>
      <c r="AO5" s="407"/>
    </row>
    <row r="6" spans="1:41" ht="57.75" customHeight="1">
      <c r="A6" s="389"/>
      <c r="B6" s="389"/>
      <c r="C6" s="389"/>
      <c r="D6" s="10" t="s">
        <v>16</v>
      </c>
      <c r="E6" s="10" t="s">
        <v>21</v>
      </c>
      <c r="F6" s="10" t="s">
        <v>16</v>
      </c>
      <c r="G6" s="10" t="s">
        <v>21</v>
      </c>
      <c r="H6" s="10" t="s">
        <v>16</v>
      </c>
      <c r="I6" s="10" t="s">
        <v>21</v>
      </c>
      <c r="J6" s="10" t="s">
        <v>16</v>
      </c>
      <c r="K6" s="10" t="s">
        <v>21</v>
      </c>
      <c r="L6" s="10" t="s">
        <v>16</v>
      </c>
      <c r="M6" s="10" t="s">
        <v>21</v>
      </c>
      <c r="N6" s="10" t="s">
        <v>16</v>
      </c>
      <c r="O6" s="10" t="s">
        <v>21</v>
      </c>
      <c r="P6" s="10" t="s">
        <v>16</v>
      </c>
      <c r="Q6" s="10" t="s">
        <v>21</v>
      </c>
      <c r="R6" s="11" t="s">
        <v>16</v>
      </c>
      <c r="S6" s="11" t="s">
        <v>21</v>
      </c>
      <c r="T6" s="11" t="s">
        <v>16</v>
      </c>
      <c r="U6" s="11" t="s">
        <v>21</v>
      </c>
      <c r="V6" s="11" t="s">
        <v>16</v>
      </c>
      <c r="W6" s="11" t="s">
        <v>21</v>
      </c>
      <c r="X6" s="11" t="s">
        <v>16</v>
      </c>
      <c r="Y6" s="11" t="s">
        <v>21</v>
      </c>
      <c r="Z6" s="11" t="s">
        <v>16</v>
      </c>
      <c r="AA6" s="11" t="s">
        <v>21</v>
      </c>
      <c r="AB6" s="17" t="s">
        <v>16</v>
      </c>
      <c r="AC6" s="16" t="s">
        <v>21</v>
      </c>
      <c r="AD6" s="403"/>
      <c r="AE6" s="403"/>
      <c r="AF6" s="403"/>
      <c r="AG6" s="403"/>
      <c r="AH6" s="403"/>
      <c r="AI6" s="403"/>
      <c r="AJ6" s="383"/>
      <c r="AK6" s="403"/>
      <c r="AL6" s="403"/>
      <c r="AM6" s="403"/>
      <c r="AN6" s="406"/>
      <c r="AO6" s="403"/>
    </row>
    <row r="7" spans="1:41" ht="30">
      <c r="A7" s="3" t="s">
        <v>48</v>
      </c>
      <c r="B7" s="3" t="s">
        <v>49</v>
      </c>
      <c r="C7" s="3" t="s">
        <v>48</v>
      </c>
      <c r="D7" s="12">
        <v>1101</v>
      </c>
      <c r="E7" s="12">
        <v>1033.66</v>
      </c>
      <c r="F7" s="12">
        <v>845</v>
      </c>
      <c r="G7" s="12">
        <v>813.16</v>
      </c>
      <c r="H7" s="12">
        <v>1632</v>
      </c>
      <c r="I7" s="12">
        <v>1576.62</v>
      </c>
      <c r="J7" s="12">
        <v>846</v>
      </c>
      <c r="K7" s="12">
        <v>816.14</v>
      </c>
      <c r="L7" s="12">
        <v>127</v>
      </c>
      <c r="M7" s="12">
        <v>123.52</v>
      </c>
      <c r="N7" s="12">
        <v>0</v>
      </c>
      <c r="O7" s="12">
        <v>0</v>
      </c>
      <c r="P7" s="13">
        <v>4551</v>
      </c>
      <c r="Q7" s="13">
        <v>4363.1</v>
      </c>
      <c r="R7" s="12">
        <v>173.5</v>
      </c>
      <c r="S7" s="12">
        <v>173.5</v>
      </c>
      <c r="T7" s="12">
        <v>21</v>
      </c>
      <c r="U7" s="12">
        <v>21</v>
      </c>
      <c r="V7" s="12">
        <v>157</v>
      </c>
      <c r="W7" s="12">
        <v>157</v>
      </c>
      <c r="X7" s="12">
        <v>0</v>
      </c>
      <c r="Y7" s="12">
        <v>0</v>
      </c>
      <c r="Z7" s="14">
        <v>351.5</v>
      </c>
      <c r="AA7" s="14">
        <v>351.5</v>
      </c>
      <c r="AB7" s="4">
        <v>4902.5</v>
      </c>
      <c r="AC7" s="4">
        <v>4714.6</v>
      </c>
      <c r="AD7" s="19">
        <v>13074335.403333329</v>
      </c>
      <c r="AE7" s="20">
        <v>223034.698333333</v>
      </c>
      <c r="AF7" s="20">
        <v>23327.493333333332</v>
      </c>
      <c r="AG7" s="20">
        <v>75804.0233333333</v>
      </c>
      <c r="AH7" s="20">
        <v>2280397.41916667</v>
      </c>
      <c r="AI7" s="20">
        <v>1175481.655833334</v>
      </c>
      <c r="AJ7" s="21">
        <f>SUM(AD7:AI7)</f>
        <v>16852380.69333333</v>
      </c>
      <c r="AK7" s="19">
        <v>2609985.29</v>
      </c>
      <c r="AL7" s="19">
        <v>2162933.26</v>
      </c>
      <c r="AM7" s="22">
        <v>4772918.55</v>
      </c>
      <c r="AN7" s="22">
        <f>SUM(AM7,AJ7)</f>
        <v>21625299.243333332</v>
      </c>
      <c r="AO7" s="18"/>
    </row>
    <row r="8" spans="1:41" ht="30">
      <c r="A8" s="3" t="s">
        <v>76</v>
      </c>
      <c r="B8" s="3" t="s">
        <v>51</v>
      </c>
      <c r="C8" s="3" t="s">
        <v>48</v>
      </c>
      <c r="D8" s="12">
        <v>14693</v>
      </c>
      <c r="E8" s="12">
        <v>12832.53</v>
      </c>
      <c r="F8" s="12">
        <v>3861</v>
      </c>
      <c r="G8" s="12">
        <v>3593.36</v>
      </c>
      <c r="H8" s="12">
        <v>3059</v>
      </c>
      <c r="I8" s="12">
        <v>2853.78</v>
      </c>
      <c r="J8" s="12">
        <v>751</v>
      </c>
      <c r="K8" s="12">
        <v>733.23</v>
      </c>
      <c r="L8" s="12">
        <v>45</v>
      </c>
      <c r="M8" s="12">
        <v>45</v>
      </c>
      <c r="N8" s="12">
        <v>0</v>
      </c>
      <c r="O8" s="12">
        <v>0</v>
      </c>
      <c r="P8" s="13">
        <v>22409</v>
      </c>
      <c r="Q8" s="13">
        <v>20057.9</v>
      </c>
      <c r="R8" s="23" t="s">
        <v>90</v>
      </c>
      <c r="S8" s="12">
        <v>229.42</v>
      </c>
      <c r="T8" s="12">
        <v>0</v>
      </c>
      <c r="U8" s="12">
        <v>0</v>
      </c>
      <c r="V8" s="12">
        <v>0</v>
      </c>
      <c r="W8" s="12">
        <v>0</v>
      </c>
      <c r="X8" s="12">
        <v>0</v>
      </c>
      <c r="Y8" s="12">
        <v>0</v>
      </c>
      <c r="Z8" s="14">
        <v>0</v>
      </c>
      <c r="AA8" s="14">
        <v>229.42</v>
      </c>
      <c r="AB8" s="4">
        <v>22409</v>
      </c>
      <c r="AC8" s="4">
        <v>20287.32</v>
      </c>
      <c r="AD8" s="20">
        <v>37950722.46000001</v>
      </c>
      <c r="AE8" s="20">
        <v>809210.7</v>
      </c>
      <c r="AF8" s="20">
        <v>94748.38</v>
      </c>
      <c r="AG8" s="20">
        <v>198919.59</v>
      </c>
      <c r="AH8" s="20">
        <v>6702809.34</v>
      </c>
      <c r="AI8" s="20">
        <v>2563464.3</v>
      </c>
      <c r="AJ8" s="21">
        <v>48319874.77000001</v>
      </c>
      <c r="AK8" s="19">
        <v>623400.04</v>
      </c>
      <c r="AL8" s="19">
        <v>0</v>
      </c>
      <c r="AM8" s="22">
        <v>623400.04</v>
      </c>
      <c r="AN8" s="22">
        <v>48943274.81000001</v>
      </c>
      <c r="AO8" s="3"/>
    </row>
    <row r="9" spans="1:41" ht="30">
      <c r="A9" s="3" t="s">
        <v>52</v>
      </c>
      <c r="B9" s="3" t="s">
        <v>53</v>
      </c>
      <c r="C9" s="3" t="s">
        <v>48</v>
      </c>
      <c r="D9" s="12">
        <v>318</v>
      </c>
      <c r="E9" s="12">
        <v>279.99</v>
      </c>
      <c r="F9" s="12">
        <v>2621</v>
      </c>
      <c r="G9" s="12">
        <v>2291.08</v>
      </c>
      <c r="H9" s="12">
        <v>2093</v>
      </c>
      <c r="I9" s="12">
        <v>1937.19</v>
      </c>
      <c r="J9" s="12">
        <v>196</v>
      </c>
      <c r="K9" s="12">
        <v>183.61</v>
      </c>
      <c r="L9" s="12">
        <v>23</v>
      </c>
      <c r="M9" s="12">
        <v>22.41</v>
      </c>
      <c r="N9" s="12">
        <v>0</v>
      </c>
      <c r="O9" s="12">
        <v>0</v>
      </c>
      <c r="P9" s="13">
        <v>5251</v>
      </c>
      <c r="Q9" s="13">
        <v>4714.28</v>
      </c>
      <c r="R9" s="12">
        <v>0</v>
      </c>
      <c r="S9" s="12">
        <v>0</v>
      </c>
      <c r="T9" s="12">
        <v>2</v>
      </c>
      <c r="U9" s="12">
        <v>2</v>
      </c>
      <c r="V9" s="12">
        <v>0</v>
      </c>
      <c r="W9" s="12">
        <v>0</v>
      </c>
      <c r="X9" s="12">
        <v>0</v>
      </c>
      <c r="Y9" s="12">
        <v>0</v>
      </c>
      <c r="Z9" s="14">
        <v>2</v>
      </c>
      <c r="AA9" s="14">
        <v>2</v>
      </c>
      <c r="AB9" s="4">
        <v>5253</v>
      </c>
      <c r="AC9" s="4">
        <v>4716.28</v>
      </c>
      <c r="AD9" s="20">
        <v>10933389.46</v>
      </c>
      <c r="AE9" s="20">
        <v>213370.14</v>
      </c>
      <c r="AF9" s="20">
        <v>1200</v>
      </c>
      <c r="AG9" s="20">
        <v>26629.44</v>
      </c>
      <c r="AH9" s="20">
        <v>2132188.78</v>
      </c>
      <c r="AI9" s="20">
        <v>814227.09</v>
      </c>
      <c r="AJ9" s="21">
        <v>14121004.91</v>
      </c>
      <c r="AK9" s="19">
        <v>76611.55</v>
      </c>
      <c r="AL9" s="19">
        <v>71019.11</v>
      </c>
      <c r="AM9" s="22">
        <v>147630.66</v>
      </c>
      <c r="AN9" s="22">
        <v>14268635.57</v>
      </c>
      <c r="AO9" s="3"/>
    </row>
    <row r="10" spans="1:41" ht="15">
      <c r="A10" s="3" t="s">
        <v>55</v>
      </c>
      <c r="B10" s="3" t="s">
        <v>51</v>
      </c>
      <c r="C10" s="3" t="s">
        <v>48</v>
      </c>
      <c r="D10" s="12">
        <v>186</v>
      </c>
      <c r="E10" s="12">
        <v>166.96</v>
      </c>
      <c r="F10" s="12">
        <v>123</v>
      </c>
      <c r="G10" s="12">
        <v>118.3</v>
      </c>
      <c r="H10" s="12">
        <v>242</v>
      </c>
      <c r="I10" s="12">
        <v>235.15</v>
      </c>
      <c r="J10" s="12">
        <v>62</v>
      </c>
      <c r="K10" s="12">
        <v>61.11</v>
      </c>
      <c r="L10" s="12">
        <v>6</v>
      </c>
      <c r="M10" s="12">
        <v>6</v>
      </c>
      <c r="N10" s="12">
        <v>0</v>
      </c>
      <c r="O10" s="12">
        <v>0</v>
      </c>
      <c r="P10" s="13">
        <v>619</v>
      </c>
      <c r="Q10" s="13">
        <v>587.52</v>
      </c>
      <c r="R10" s="12">
        <v>6</v>
      </c>
      <c r="S10" s="12">
        <v>5.2</v>
      </c>
      <c r="T10" s="12">
        <v>0</v>
      </c>
      <c r="U10" s="12">
        <v>0</v>
      </c>
      <c r="V10" s="12">
        <v>3</v>
      </c>
      <c r="W10" s="12">
        <v>3</v>
      </c>
      <c r="X10" s="12">
        <v>0</v>
      </c>
      <c r="Y10" s="12">
        <v>0</v>
      </c>
      <c r="Z10" s="14">
        <v>9</v>
      </c>
      <c r="AA10" s="14">
        <v>8.2</v>
      </c>
      <c r="AB10" s="4">
        <v>628</v>
      </c>
      <c r="AC10" s="4">
        <v>595.72</v>
      </c>
      <c r="AD10" s="20">
        <v>1464487.97</v>
      </c>
      <c r="AE10" s="20">
        <v>6149.93</v>
      </c>
      <c r="AF10" s="20">
        <v>0</v>
      </c>
      <c r="AG10" s="20">
        <v>25533.13</v>
      </c>
      <c r="AH10" s="20">
        <v>269365.56</v>
      </c>
      <c r="AI10" s="20">
        <v>122417.71</v>
      </c>
      <c r="AJ10" s="21">
        <v>1887954.3</v>
      </c>
      <c r="AK10" s="19">
        <v>14952.300000000001</v>
      </c>
      <c r="AL10" s="19">
        <v>0</v>
      </c>
      <c r="AM10" s="22">
        <v>14952.3</v>
      </c>
      <c r="AN10" s="22">
        <v>1902906.6</v>
      </c>
      <c r="AO10" s="3"/>
    </row>
    <row r="11" spans="1:41" ht="30">
      <c r="A11" s="3" t="s">
        <v>56</v>
      </c>
      <c r="B11" s="3" t="s">
        <v>51</v>
      </c>
      <c r="C11" s="3" t="s">
        <v>48</v>
      </c>
      <c r="D11" s="12">
        <v>36688</v>
      </c>
      <c r="E11" s="12">
        <v>35165.97654784226</v>
      </c>
      <c r="F11" s="12">
        <v>7502</v>
      </c>
      <c r="G11" s="12">
        <v>7204.61230170398</v>
      </c>
      <c r="H11" s="12">
        <v>3327</v>
      </c>
      <c r="I11" s="12">
        <v>3142.3157330474396</v>
      </c>
      <c r="J11" s="12">
        <v>703</v>
      </c>
      <c r="K11" s="12">
        <v>684.1109175377468</v>
      </c>
      <c r="L11" s="12">
        <v>46</v>
      </c>
      <c r="M11" s="12">
        <v>46</v>
      </c>
      <c r="N11" s="12">
        <v>0</v>
      </c>
      <c r="O11" s="12">
        <v>0</v>
      </c>
      <c r="P11" s="13">
        <v>48266</v>
      </c>
      <c r="Q11" s="13">
        <v>46243.015500131434</v>
      </c>
      <c r="R11" s="12">
        <v>401</v>
      </c>
      <c r="S11" s="12">
        <v>401</v>
      </c>
      <c r="T11" s="12">
        <v>0</v>
      </c>
      <c r="U11" s="12">
        <v>0</v>
      </c>
      <c r="V11" s="12">
        <v>0</v>
      </c>
      <c r="W11" s="12">
        <v>0</v>
      </c>
      <c r="X11" s="12">
        <v>0</v>
      </c>
      <c r="Y11" s="12">
        <v>0</v>
      </c>
      <c r="Z11" s="14">
        <v>401</v>
      </c>
      <c r="AA11" s="14">
        <v>401</v>
      </c>
      <c r="AB11" s="4">
        <v>48667</v>
      </c>
      <c r="AC11" s="4">
        <v>46644.015500131434</v>
      </c>
      <c r="AD11" s="20">
        <v>104909632.83000003</v>
      </c>
      <c r="AE11" s="20">
        <v>0</v>
      </c>
      <c r="AF11" s="20">
        <v>0</v>
      </c>
      <c r="AG11" s="20">
        <v>856570.7199999994</v>
      </c>
      <c r="AH11" s="20">
        <v>19691699.939999998</v>
      </c>
      <c r="AI11" s="20">
        <v>8292128.61</v>
      </c>
      <c r="AJ11" s="21">
        <v>133750032.10000002</v>
      </c>
      <c r="AK11" s="19">
        <v>1546403.11</v>
      </c>
      <c r="AL11" s="19">
        <v>0</v>
      </c>
      <c r="AM11" s="22">
        <v>1546403.11</v>
      </c>
      <c r="AN11" s="22">
        <v>135296435.21000004</v>
      </c>
      <c r="AO11" s="18"/>
    </row>
    <row r="12" spans="1:41" ht="30">
      <c r="A12" s="3" t="s">
        <v>58</v>
      </c>
      <c r="B12" s="3" t="s">
        <v>51</v>
      </c>
      <c r="C12" s="3" t="s">
        <v>48</v>
      </c>
      <c r="D12" s="12">
        <v>251</v>
      </c>
      <c r="E12" s="12">
        <v>232.31</v>
      </c>
      <c r="F12" s="12">
        <v>116</v>
      </c>
      <c r="G12" s="12">
        <v>109.45</v>
      </c>
      <c r="H12" s="12">
        <v>62</v>
      </c>
      <c r="I12" s="12">
        <v>61.19</v>
      </c>
      <c r="J12" s="12">
        <v>11</v>
      </c>
      <c r="K12" s="12">
        <v>10.74</v>
      </c>
      <c r="L12" s="12">
        <v>2</v>
      </c>
      <c r="M12" s="12">
        <v>1.78</v>
      </c>
      <c r="N12" s="12">
        <v>0</v>
      </c>
      <c r="O12" s="12">
        <v>0</v>
      </c>
      <c r="P12" s="13">
        <v>442</v>
      </c>
      <c r="Q12" s="13">
        <v>415.47</v>
      </c>
      <c r="R12" s="12">
        <v>154</v>
      </c>
      <c r="S12" s="12">
        <v>95</v>
      </c>
      <c r="T12" s="12">
        <v>0</v>
      </c>
      <c r="U12" s="12">
        <v>0</v>
      </c>
      <c r="V12" s="12">
        <v>0</v>
      </c>
      <c r="W12" s="12">
        <v>0</v>
      </c>
      <c r="X12" s="12">
        <v>0</v>
      </c>
      <c r="Y12" s="12">
        <v>0</v>
      </c>
      <c r="Z12" s="14">
        <v>154</v>
      </c>
      <c r="AA12" s="14">
        <v>95</v>
      </c>
      <c r="AB12" s="4">
        <v>596</v>
      </c>
      <c r="AC12" s="4">
        <v>510.47</v>
      </c>
      <c r="AD12" s="20">
        <v>783226.19</v>
      </c>
      <c r="AE12" s="20">
        <v>22790.54</v>
      </c>
      <c r="AF12" s="20">
        <v>150</v>
      </c>
      <c r="AG12" s="20">
        <v>31457.62</v>
      </c>
      <c r="AH12" s="20">
        <v>130500.71</v>
      </c>
      <c r="AI12" s="20">
        <v>59440.85</v>
      </c>
      <c r="AJ12" s="21">
        <v>1027565.91</v>
      </c>
      <c r="AK12" s="19">
        <v>282103.16</v>
      </c>
      <c r="AL12" s="19">
        <v>0</v>
      </c>
      <c r="AM12" s="22">
        <v>282103.16</v>
      </c>
      <c r="AN12" s="22">
        <v>1309669.07</v>
      </c>
      <c r="AO12" s="3"/>
    </row>
    <row r="13" spans="1:41" ht="30">
      <c r="A13" s="3" t="s">
        <v>60</v>
      </c>
      <c r="B13" s="3" t="s">
        <v>53</v>
      </c>
      <c r="C13" s="3" t="s">
        <v>48</v>
      </c>
      <c r="D13" s="12">
        <v>5</v>
      </c>
      <c r="E13" s="12">
        <v>5</v>
      </c>
      <c r="F13" s="12">
        <v>17</v>
      </c>
      <c r="G13" s="12">
        <v>16.6</v>
      </c>
      <c r="H13" s="12">
        <v>17</v>
      </c>
      <c r="I13" s="12">
        <v>17</v>
      </c>
      <c r="J13" s="12">
        <v>7</v>
      </c>
      <c r="K13" s="12">
        <v>6.47</v>
      </c>
      <c r="L13" s="12">
        <v>2</v>
      </c>
      <c r="M13" s="12">
        <v>2</v>
      </c>
      <c r="N13" s="12">
        <v>0</v>
      </c>
      <c r="O13" s="12">
        <v>0</v>
      </c>
      <c r="P13" s="13">
        <v>48</v>
      </c>
      <c r="Q13" s="13">
        <v>47.07</v>
      </c>
      <c r="R13" s="12">
        <v>0</v>
      </c>
      <c r="S13" s="12">
        <v>0</v>
      </c>
      <c r="T13" s="12">
        <v>0</v>
      </c>
      <c r="U13" s="12">
        <v>0</v>
      </c>
      <c r="V13" s="12">
        <v>0</v>
      </c>
      <c r="W13" s="12">
        <v>0</v>
      </c>
      <c r="X13" s="12">
        <v>0</v>
      </c>
      <c r="Y13" s="12">
        <v>0</v>
      </c>
      <c r="Z13" s="14">
        <v>0</v>
      </c>
      <c r="AA13" s="14">
        <v>0</v>
      </c>
      <c r="AB13" s="4">
        <v>48</v>
      </c>
      <c r="AC13" s="4">
        <v>47.07</v>
      </c>
      <c r="AD13" s="20">
        <v>133055.1</v>
      </c>
      <c r="AE13" s="20">
        <v>214.31</v>
      </c>
      <c r="AF13" s="20">
        <v>375</v>
      </c>
      <c r="AG13" s="20">
        <v>1211.12</v>
      </c>
      <c r="AH13" s="20">
        <v>24726.48</v>
      </c>
      <c r="AI13" s="20">
        <v>12279.9</v>
      </c>
      <c r="AJ13" s="21">
        <v>171861.91</v>
      </c>
      <c r="AK13" s="19">
        <v>0</v>
      </c>
      <c r="AL13" s="19">
        <v>0</v>
      </c>
      <c r="AM13" s="22">
        <v>0</v>
      </c>
      <c r="AN13" s="22">
        <v>171861.91</v>
      </c>
      <c r="AO13" s="3"/>
    </row>
    <row r="14" spans="1:41" ht="210">
      <c r="A14" s="3" t="s">
        <v>62</v>
      </c>
      <c r="B14" s="3" t="s">
        <v>63</v>
      </c>
      <c r="C14" s="3" t="s">
        <v>48</v>
      </c>
      <c r="D14" s="12">
        <v>0</v>
      </c>
      <c r="E14" s="12">
        <v>0</v>
      </c>
      <c r="F14" s="12">
        <v>0</v>
      </c>
      <c r="G14" s="12">
        <v>0</v>
      </c>
      <c r="H14" s="12">
        <v>0</v>
      </c>
      <c r="I14" s="12">
        <v>0</v>
      </c>
      <c r="J14" s="12">
        <v>0</v>
      </c>
      <c r="K14" s="12">
        <v>0</v>
      </c>
      <c r="L14" s="12">
        <v>0</v>
      </c>
      <c r="M14" s="12">
        <v>0</v>
      </c>
      <c r="N14" s="12">
        <v>77</v>
      </c>
      <c r="O14" s="12">
        <v>70.67</v>
      </c>
      <c r="P14" s="13">
        <v>77</v>
      </c>
      <c r="Q14" s="13">
        <v>70.67</v>
      </c>
      <c r="R14" s="12">
        <v>2</v>
      </c>
      <c r="S14" s="12">
        <v>2</v>
      </c>
      <c r="T14" s="12">
        <v>0</v>
      </c>
      <c r="U14" s="12">
        <v>0</v>
      </c>
      <c r="V14" s="12">
        <v>0</v>
      </c>
      <c r="W14" s="12">
        <v>0</v>
      </c>
      <c r="X14" s="12">
        <v>0</v>
      </c>
      <c r="Y14" s="12">
        <v>0</v>
      </c>
      <c r="Z14" s="14">
        <v>2</v>
      </c>
      <c r="AA14" s="14">
        <v>2</v>
      </c>
      <c r="AB14" s="4">
        <v>79</v>
      </c>
      <c r="AC14" s="4">
        <v>72.67</v>
      </c>
      <c r="AD14" s="20">
        <v>198959</v>
      </c>
      <c r="AE14" s="20">
        <v>33</v>
      </c>
      <c r="AF14" s="20">
        <v>0</v>
      </c>
      <c r="AG14" s="20">
        <v>567</v>
      </c>
      <c r="AH14" s="20">
        <v>38146</v>
      </c>
      <c r="AI14" s="20">
        <v>15987</v>
      </c>
      <c r="AJ14" s="21">
        <v>253692</v>
      </c>
      <c r="AK14" s="19">
        <v>3362</v>
      </c>
      <c r="AL14" s="19">
        <v>0</v>
      </c>
      <c r="AM14" s="22">
        <v>3362</v>
      </c>
      <c r="AN14" s="22">
        <v>257054</v>
      </c>
      <c r="AO14" s="3" t="s">
        <v>64</v>
      </c>
    </row>
    <row r="15" spans="1:41" ht="45">
      <c r="A15" s="3" t="s">
        <v>66</v>
      </c>
      <c r="B15" s="3" t="s">
        <v>63</v>
      </c>
      <c r="C15" s="3" t="s">
        <v>48</v>
      </c>
      <c r="D15" s="12">
        <v>0</v>
      </c>
      <c r="E15" s="12">
        <v>0</v>
      </c>
      <c r="F15" s="12">
        <v>0</v>
      </c>
      <c r="G15" s="12">
        <v>0</v>
      </c>
      <c r="H15" s="12">
        <v>0</v>
      </c>
      <c r="I15" s="12">
        <v>0</v>
      </c>
      <c r="J15" s="12">
        <v>0</v>
      </c>
      <c r="K15" s="12">
        <v>0</v>
      </c>
      <c r="L15" s="12">
        <v>0</v>
      </c>
      <c r="M15" s="12">
        <v>0</v>
      </c>
      <c r="N15" s="12">
        <v>351</v>
      </c>
      <c r="O15" s="12">
        <v>321.99</v>
      </c>
      <c r="P15" s="13">
        <v>351</v>
      </c>
      <c r="Q15" s="13">
        <v>321.99</v>
      </c>
      <c r="R15" s="12">
        <v>4</v>
      </c>
      <c r="S15" s="12">
        <v>3.54</v>
      </c>
      <c r="T15" s="12">
        <v>0</v>
      </c>
      <c r="U15" s="12">
        <v>0</v>
      </c>
      <c r="V15" s="12">
        <v>0</v>
      </c>
      <c r="W15" s="12">
        <v>0</v>
      </c>
      <c r="X15" s="12">
        <v>0</v>
      </c>
      <c r="Y15" s="12">
        <v>0</v>
      </c>
      <c r="Z15" s="14">
        <v>4</v>
      </c>
      <c r="AA15" s="14">
        <v>3.54</v>
      </c>
      <c r="AB15" s="4">
        <v>355</v>
      </c>
      <c r="AC15" s="4">
        <v>325.53</v>
      </c>
      <c r="AD15" s="20">
        <v>735577</v>
      </c>
      <c r="AE15" s="20">
        <v>1335</v>
      </c>
      <c r="AF15" s="20">
        <v>0</v>
      </c>
      <c r="AG15" s="20">
        <v>1736</v>
      </c>
      <c r="AH15" s="20">
        <v>132769</v>
      </c>
      <c r="AI15" s="20">
        <v>49032</v>
      </c>
      <c r="AJ15" s="21">
        <v>920449</v>
      </c>
      <c r="AK15" s="19">
        <v>8240</v>
      </c>
      <c r="AL15" s="19">
        <v>0</v>
      </c>
      <c r="AM15" s="22">
        <v>8240</v>
      </c>
      <c r="AN15" s="22">
        <v>928689</v>
      </c>
      <c r="AO15" s="3"/>
    </row>
    <row r="16" spans="1:41" ht="45">
      <c r="A16" s="3" t="s">
        <v>67</v>
      </c>
      <c r="B16" s="3" t="s">
        <v>63</v>
      </c>
      <c r="C16" s="3" t="s">
        <v>48</v>
      </c>
      <c r="D16" s="12">
        <v>12</v>
      </c>
      <c r="E16" s="12">
        <v>12</v>
      </c>
      <c r="F16" s="12">
        <v>19</v>
      </c>
      <c r="G16" s="12">
        <v>18.2</v>
      </c>
      <c r="H16" s="12">
        <v>28</v>
      </c>
      <c r="I16" s="12">
        <v>27.6</v>
      </c>
      <c r="J16" s="12">
        <v>15</v>
      </c>
      <c r="K16" s="12">
        <v>14.4</v>
      </c>
      <c r="L16" s="12">
        <v>4</v>
      </c>
      <c r="M16" s="12">
        <v>4</v>
      </c>
      <c r="N16" s="12">
        <v>1</v>
      </c>
      <c r="O16" s="12">
        <v>0.6</v>
      </c>
      <c r="P16" s="13">
        <v>79</v>
      </c>
      <c r="Q16" s="13">
        <v>76.8</v>
      </c>
      <c r="R16" s="12">
        <v>0</v>
      </c>
      <c r="S16" s="12">
        <v>0</v>
      </c>
      <c r="T16" s="12">
        <v>0</v>
      </c>
      <c r="U16" s="12">
        <v>0</v>
      </c>
      <c r="V16" s="12">
        <v>0</v>
      </c>
      <c r="W16" s="12">
        <v>0</v>
      </c>
      <c r="X16" s="12">
        <v>0</v>
      </c>
      <c r="Y16" s="12">
        <v>0</v>
      </c>
      <c r="Z16" s="14">
        <v>0</v>
      </c>
      <c r="AA16" s="14">
        <v>0</v>
      </c>
      <c r="AB16" s="4">
        <v>79</v>
      </c>
      <c r="AC16" s="4">
        <v>76.8</v>
      </c>
      <c r="AD16" s="20">
        <v>228185</v>
      </c>
      <c r="AE16" s="20">
        <v>1930</v>
      </c>
      <c r="AF16" s="20">
        <v>0</v>
      </c>
      <c r="AG16" s="20">
        <v>0</v>
      </c>
      <c r="AH16" s="20">
        <v>42120</v>
      </c>
      <c r="AI16" s="20">
        <v>17979</v>
      </c>
      <c r="AJ16" s="21">
        <v>290214</v>
      </c>
      <c r="AK16" s="19">
        <v>0</v>
      </c>
      <c r="AL16" s="19">
        <v>0</v>
      </c>
      <c r="AM16" s="22">
        <v>0</v>
      </c>
      <c r="AN16" s="22">
        <v>290214</v>
      </c>
      <c r="AO16" s="3"/>
    </row>
    <row r="17" spans="1:41" ht="105">
      <c r="A17" s="3" t="s">
        <v>68</v>
      </c>
      <c r="B17" s="3" t="s">
        <v>63</v>
      </c>
      <c r="C17" s="3" t="s">
        <v>48</v>
      </c>
      <c r="D17" s="12">
        <v>0</v>
      </c>
      <c r="E17" s="12">
        <v>0</v>
      </c>
      <c r="F17" s="12">
        <v>0</v>
      </c>
      <c r="G17" s="12">
        <v>0</v>
      </c>
      <c r="H17" s="12">
        <v>0</v>
      </c>
      <c r="I17" s="12">
        <v>0</v>
      </c>
      <c r="J17" s="12">
        <v>0</v>
      </c>
      <c r="K17" s="12">
        <v>0</v>
      </c>
      <c r="L17" s="12">
        <v>0</v>
      </c>
      <c r="M17" s="12">
        <v>0</v>
      </c>
      <c r="N17" s="12">
        <v>33</v>
      </c>
      <c r="O17" s="12">
        <v>32.7</v>
      </c>
      <c r="P17" s="13">
        <v>33</v>
      </c>
      <c r="Q17" s="13">
        <v>32.7</v>
      </c>
      <c r="R17" s="12">
        <v>0</v>
      </c>
      <c r="S17" s="12">
        <v>0</v>
      </c>
      <c r="T17" s="12">
        <v>0</v>
      </c>
      <c r="U17" s="12">
        <v>0</v>
      </c>
      <c r="V17" s="12">
        <v>0</v>
      </c>
      <c r="W17" s="12">
        <v>0</v>
      </c>
      <c r="X17" s="12">
        <v>0</v>
      </c>
      <c r="Y17" s="12">
        <v>0</v>
      </c>
      <c r="Z17" s="14">
        <v>0</v>
      </c>
      <c r="AA17" s="14">
        <v>0</v>
      </c>
      <c r="AB17" s="4">
        <v>33</v>
      </c>
      <c r="AC17" s="4">
        <v>32.7</v>
      </c>
      <c r="AD17" s="20">
        <v>154977</v>
      </c>
      <c r="AE17" s="20">
        <v>0</v>
      </c>
      <c r="AF17" s="20">
        <v>0</v>
      </c>
      <c r="AG17" s="20">
        <v>0</v>
      </c>
      <c r="AH17" s="20">
        <v>31427</v>
      </c>
      <c r="AI17" s="20">
        <v>18704</v>
      </c>
      <c r="AJ17" s="21">
        <v>205108</v>
      </c>
      <c r="AK17" s="19">
        <v>0</v>
      </c>
      <c r="AL17" s="19">
        <v>0</v>
      </c>
      <c r="AM17" s="22">
        <v>0</v>
      </c>
      <c r="AN17" s="22">
        <v>205108</v>
      </c>
      <c r="AO17" s="3" t="s">
        <v>69</v>
      </c>
    </row>
    <row r="18" spans="1:41" ht="45">
      <c r="A18" s="3" t="s">
        <v>70</v>
      </c>
      <c r="B18" s="3" t="s">
        <v>63</v>
      </c>
      <c r="C18" s="3" t="s">
        <v>48</v>
      </c>
      <c r="D18" s="12">
        <v>686</v>
      </c>
      <c r="E18" s="12">
        <v>645.4</v>
      </c>
      <c r="F18" s="12">
        <v>255</v>
      </c>
      <c r="G18" s="12">
        <v>244.1</v>
      </c>
      <c r="H18" s="12">
        <v>396</v>
      </c>
      <c r="I18" s="12">
        <v>381</v>
      </c>
      <c r="J18" s="12">
        <v>94</v>
      </c>
      <c r="K18" s="12">
        <v>92.4</v>
      </c>
      <c r="L18" s="12">
        <v>18</v>
      </c>
      <c r="M18" s="12">
        <v>12.2</v>
      </c>
      <c r="N18" s="12">
        <v>1</v>
      </c>
      <c r="O18" s="12">
        <v>0.7</v>
      </c>
      <c r="P18" s="13">
        <v>1450</v>
      </c>
      <c r="Q18" s="13">
        <v>1375.8</v>
      </c>
      <c r="R18" s="12">
        <v>85</v>
      </c>
      <c r="S18" s="12">
        <v>84</v>
      </c>
      <c r="T18" s="12">
        <v>0</v>
      </c>
      <c r="U18" s="12">
        <v>0</v>
      </c>
      <c r="V18" s="12">
        <v>12</v>
      </c>
      <c r="W18" s="12">
        <v>12</v>
      </c>
      <c r="X18" s="12">
        <v>0</v>
      </c>
      <c r="Y18" s="12">
        <v>0</v>
      </c>
      <c r="Z18" s="14">
        <v>97</v>
      </c>
      <c r="AA18" s="14">
        <v>96</v>
      </c>
      <c r="AB18" s="4">
        <v>1547</v>
      </c>
      <c r="AC18" s="4">
        <v>1471.8</v>
      </c>
      <c r="AD18" s="20">
        <v>3217170</v>
      </c>
      <c r="AE18" s="20">
        <v>0</v>
      </c>
      <c r="AF18" s="20">
        <v>0</v>
      </c>
      <c r="AG18" s="20">
        <v>45140.97</v>
      </c>
      <c r="AH18" s="20">
        <v>73091.86</v>
      </c>
      <c r="AI18" s="20">
        <v>267220.97</v>
      </c>
      <c r="AJ18" s="21">
        <v>3602623.8</v>
      </c>
      <c r="AK18" s="19">
        <v>917171.95</v>
      </c>
      <c r="AL18" s="19">
        <v>0</v>
      </c>
      <c r="AM18" s="22">
        <v>917171.95</v>
      </c>
      <c r="AN18" s="22">
        <v>4519795.75</v>
      </c>
      <c r="AO18" s="3"/>
    </row>
    <row r="19" spans="1:41" ht="45">
      <c r="A19" s="3" t="s">
        <v>71</v>
      </c>
      <c r="B19" s="3" t="s">
        <v>63</v>
      </c>
      <c r="C19" s="3" t="s">
        <v>48</v>
      </c>
      <c r="D19" s="12">
        <v>24</v>
      </c>
      <c r="E19" s="12">
        <v>23.6</v>
      </c>
      <c r="F19" s="12">
        <v>46</v>
      </c>
      <c r="G19" s="12">
        <v>44.8</v>
      </c>
      <c r="H19" s="12">
        <v>16</v>
      </c>
      <c r="I19" s="12">
        <v>15.6</v>
      </c>
      <c r="J19" s="12">
        <v>6</v>
      </c>
      <c r="K19" s="12">
        <v>6</v>
      </c>
      <c r="L19" s="12">
        <v>1</v>
      </c>
      <c r="M19" s="12">
        <v>1</v>
      </c>
      <c r="N19" s="12">
        <v>1</v>
      </c>
      <c r="O19" s="12">
        <v>0.4</v>
      </c>
      <c r="P19" s="13">
        <v>94</v>
      </c>
      <c r="Q19" s="13">
        <v>91.4</v>
      </c>
      <c r="R19" s="12">
        <v>2</v>
      </c>
      <c r="S19" s="12">
        <v>2</v>
      </c>
      <c r="T19" s="12">
        <v>0</v>
      </c>
      <c r="U19" s="12">
        <v>0</v>
      </c>
      <c r="V19" s="12">
        <v>0</v>
      </c>
      <c r="W19" s="12">
        <v>0</v>
      </c>
      <c r="X19" s="12">
        <v>0</v>
      </c>
      <c r="Y19" s="12">
        <v>0</v>
      </c>
      <c r="Z19" s="14">
        <v>2</v>
      </c>
      <c r="AA19" s="14">
        <v>2</v>
      </c>
      <c r="AB19" s="4">
        <v>96</v>
      </c>
      <c r="AC19" s="4">
        <v>93.4</v>
      </c>
      <c r="AD19" s="20">
        <v>186408.3</v>
      </c>
      <c r="AE19" s="20">
        <v>21134.96</v>
      </c>
      <c r="AF19" s="20">
        <v>0</v>
      </c>
      <c r="AG19" s="20">
        <v>1899.29</v>
      </c>
      <c r="AH19" s="20">
        <v>34993.2</v>
      </c>
      <c r="AI19" s="20">
        <v>16843.56</v>
      </c>
      <c r="AJ19" s="21">
        <v>261279.31</v>
      </c>
      <c r="AK19" s="19">
        <v>26073.33</v>
      </c>
      <c r="AL19" s="19">
        <v>0</v>
      </c>
      <c r="AM19" s="22">
        <v>26073.33</v>
      </c>
      <c r="AN19" s="22">
        <v>287352.64</v>
      </c>
      <c r="AO19" s="3"/>
    </row>
    <row r="20" spans="1:41" ht="210">
      <c r="A20" s="3" t="s">
        <v>72</v>
      </c>
      <c r="B20" s="3" t="s">
        <v>63</v>
      </c>
      <c r="C20" s="3" t="s">
        <v>48</v>
      </c>
      <c r="D20" s="12">
        <v>0</v>
      </c>
      <c r="E20" s="12">
        <v>0</v>
      </c>
      <c r="F20" s="12">
        <v>0</v>
      </c>
      <c r="G20" s="12">
        <v>0</v>
      </c>
      <c r="H20" s="12">
        <v>0</v>
      </c>
      <c r="I20" s="12">
        <v>0</v>
      </c>
      <c r="J20" s="12">
        <v>0</v>
      </c>
      <c r="K20" s="12">
        <v>0</v>
      </c>
      <c r="L20" s="12">
        <v>0</v>
      </c>
      <c r="M20" s="12">
        <v>0</v>
      </c>
      <c r="N20" s="12">
        <v>20052</v>
      </c>
      <c r="O20" s="12">
        <v>18168</v>
      </c>
      <c r="P20" s="13">
        <v>20052</v>
      </c>
      <c r="Q20" s="13">
        <v>18168</v>
      </c>
      <c r="R20" s="12">
        <v>1555</v>
      </c>
      <c r="S20" s="12">
        <v>1555</v>
      </c>
      <c r="T20" s="12">
        <v>11</v>
      </c>
      <c r="U20" s="12">
        <v>11</v>
      </c>
      <c r="V20" s="12">
        <v>0</v>
      </c>
      <c r="W20" s="12">
        <v>0</v>
      </c>
      <c r="X20" s="12">
        <v>0</v>
      </c>
      <c r="Y20" s="12">
        <v>0</v>
      </c>
      <c r="Z20" s="14">
        <v>1566</v>
      </c>
      <c r="AA20" s="14">
        <v>1566</v>
      </c>
      <c r="AB20" s="4">
        <v>21618</v>
      </c>
      <c r="AC20" s="4">
        <v>19734</v>
      </c>
      <c r="AD20" s="23" t="s">
        <v>90</v>
      </c>
      <c r="AE20" s="23" t="s">
        <v>90</v>
      </c>
      <c r="AF20" s="23" t="s">
        <v>90</v>
      </c>
      <c r="AG20" s="23" t="s">
        <v>90</v>
      </c>
      <c r="AH20" s="23" t="s">
        <v>90</v>
      </c>
      <c r="AI20" s="23" t="s">
        <v>90</v>
      </c>
      <c r="AJ20" s="23" t="s">
        <v>90</v>
      </c>
      <c r="AK20" s="23" t="s">
        <v>90</v>
      </c>
      <c r="AL20" s="23" t="s">
        <v>90</v>
      </c>
      <c r="AM20" s="23" t="s">
        <v>90</v>
      </c>
      <c r="AN20" s="23" t="s">
        <v>90</v>
      </c>
      <c r="AO20" s="3" t="s">
        <v>78</v>
      </c>
    </row>
    <row r="21" spans="1:41" ht="45">
      <c r="A21" s="3" t="s">
        <v>74</v>
      </c>
      <c r="B21" s="3" t="s">
        <v>63</v>
      </c>
      <c r="C21" s="3" t="s">
        <v>48</v>
      </c>
      <c r="D21" s="12">
        <v>19</v>
      </c>
      <c r="E21" s="12">
        <v>16.45</v>
      </c>
      <c r="F21" s="12">
        <v>41</v>
      </c>
      <c r="G21" s="12">
        <v>39.77</v>
      </c>
      <c r="H21" s="12">
        <v>118</v>
      </c>
      <c r="I21" s="12">
        <v>115.94</v>
      </c>
      <c r="J21" s="12">
        <v>37</v>
      </c>
      <c r="K21" s="12">
        <v>36.1</v>
      </c>
      <c r="L21" s="12">
        <v>4</v>
      </c>
      <c r="M21" s="12">
        <v>3.6</v>
      </c>
      <c r="N21" s="12">
        <v>9</v>
      </c>
      <c r="O21" s="12">
        <v>9</v>
      </c>
      <c r="P21" s="13">
        <v>228</v>
      </c>
      <c r="Q21" s="13">
        <v>220.86</v>
      </c>
      <c r="R21" s="12">
        <v>6</v>
      </c>
      <c r="S21" s="12">
        <v>6</v>
      </c>
      <c r="T21" s="12">
        <v>0</v>
      </c>
      <c r="U21" s="12">
        <v>0</v>
      </c>
      <c r="V21" s="12">
        <v>15</v>
      </c>
      <c r="W21" s="12">
        <v>14.8</v>
      </c>
      <c r="X21" s="12">
        <v>0</v>
      </c>
      <c r="Y21" s="12">
        <v>0</v>
      </c>
      <c r="Z21" s="14">
        <v>21</v>
      </c>
      <c r="AA21" s="14">
        <v>20.8</v>
      </c>
      <c r="AB21" s="4">
        <v>249</v>
      </c>
      <c r="AC21" s="4">
        <v>241.66</v>
      </c>
      <c r="AD21" s="20">
        <v>600795.98</v>
      </c>
      <c r="AE21" s="20">
        <v>59235</v>
      </c>
      <c r="AF21" s="20">
        <v>0</v>
      </c>
      <c r="AG21" s="20">
        <v>5931.87</v>
      </c>
      <c r="AH21" s="20">
        <v>108879.29</v>
      </c>
      <c r="AI21" s="20">
        <v>55525.24</v>
      </c>
      <c r="AJ21" s="21">
        <v>830367.38</v>
      </c>
      <c r="AK21" s="19">
        <v>354438.29</v>
      </c>
      <c r="AL21" s="19">
        <v>0</v>
      </c>
      <c r="AM21" s="22">
        <v>354438.29</v>
      </c>
      <c r="AN21" s="22">
        <v>1184805.67</v>
      </c>
      <c r="AO21" s="3"/>
    </row>
    <row r="22" spans="1:41" ht="15">
      <c r="A22" s="3" t="s">
        <v>75</v>
      </c>
      <c r="B22" s="3"/>
      <c r="C22" s="3"/>
      <c r="D22" s="12">
        <v>53983</v>
      </c>
      <c r="E22" s="12">
        <v>50413.87654784226</v>
      </c>
      <c r="F22" s="12">
        <v>15446</v>
      </c>
      <c r="G22" s="12">
        <v>14493.432301703982</v>
      </c>
      <c r="H22" s="12">
        <v>10990</v>
      </c>
      <c r="I22" s="12">
        <v>10363.385733047442</v>
      </c>
      <c r="J22" s="12">
        <v>2728</v>
      </c>
      <c r="K22" s="12">
        <v>2644.3109175377463</v>
      </c>
      <c r="L22" s="12">
        <v>278</v>
      </c>
      <c r="M22" s="12">
        <v>267.51</v>
      </c>
      <c r="N22" s="12">
        <v>20525</v>
      </c>
      <c r="O22" s="12">
        <v>18604.06</v>
      </c>
      <c r="P22" s="13">
        <v>103950</v>
      </c>
      <c r="Q22" s="13">
        <v>96786.57550013144</v>
      </c>
      <c r="R22" s="12">
        <v>2388.5</v>
      </c>
      <c r="S22" s="12">
        <v>2556.66</v>
      </c>
      <c r="T22" s="12">
        <v>34</v>
      </c>
      <c r="U22" s="12">
        <v>34</v>
      </c>
      <c r="V22" s="12">
        <v>187</v>
      </c>
      <c r="W22" s="12">
        <v>186.8</v>
      </c>
      <c r="X22" s="12">
        <v>0</v>
      </c>
      <c r="Y22" s="12">
        <v>0</v>
      </c>
      <c r="Z22" s="14">
        <v>2609.5</v>
      </c>
      <c r="AA22" s="14">
        <v>2777.46</v>
      </c>
      <c r="AB22" s="4">
        <v>106559.5</v>
      </c>
      <c r="AC22" s="4">
        <v>99564.03550013143</v>
      </c>
      <c r="AD22" s="20">
        <v>176458937.99</v>
      </c>
      <c r="AE22" s="20">
        <v>1352047.18</v>
      </c>
      <c r="AF22" s="20">
        <v>131527.54</v>
      </c>
      <c r="AG22" s="20">
        <v>1272535.8</v>
      </c>
      <c r="AH22" s="20">
        <v>31834940.889999997</v>
      </c>
      <c r="AI22" s="20">
        <v>13615522.24</v>
      </c>
      <c r="AJ22" s="21">
        <f>SUM(AJ7:AJ21)</f>
        <v>222494408.08333337</v>
      </c>
      <c r="AK22" s="19">
        <v>6462741.0200000005</v>
      </c>
      <c r="AL22" s="19">
        <v>2233952.37</v>
      </c>
      <c r="AM22" s="22">
        <v>8696693.39</v>
      </c>
      <c r="AN22" s="22">
        <f>SUM(AN7:AN21)</f>
        <v>231191101.47333333</v>
      </c>
      <c r="AO22" s="3"/>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row r="101" spans="1:41" ht="15">
      <c r="A101" s="3"/>
      <c r="B101" s="3"/>
      <c r="C101" s="3"/>
      <c r="D101" s="12"/>
      <c r="E101" s="12"/>
      <c r="F101" s="12"/>
      <c r="G101" s="12"/>
      <c r="H101" s="12"/>
      <c r="I101" s="12"/>
      <c r="J101" s="12"/>
      <c r="K101" s="12"/>
      <c r="L101" s="12"/>
      <c r="M101" s="12"/>
      <c r="N101" s="12"/>
      <c r="O101" s="12"/>
      <c r="P101" s="13"/>
      <c r="Q101" s="13"/>
      <c r="R101" s="12"/>
      <c r="S101" s="12"/>
      <c r="T101" s="12"/>
      <c r="U101" s="12"/>
      <c r="V101" s="12"/>
      <c r="W101" s="12"/>
      <c r="X101" s="12"/>
      <c r="Y101" s="12"/>
      <c r="Z101" s="14"/>
      <c r="AA101" s="14"/>
      <c r="AB101" s="4"/>
      <c r="AC101" s="4"/>
      <c r="AD101" s="6"/>
      <c r="AE101" s="6"/>
      <c r="AF101" s="6"/>
      <c r="AG101" s="6"/>
      <c r="AH101" s="6"/>
      <c r="AI101" s="6"/>
      <c r="AJ101" s="7"/>
      <c r="AK101" s="5"/>
      <c r="AL101" s="5"/>
      <c r="AM101" s="8"/>
      <c r="AN101" s="8"/>
      <c r="AO101" s="9"/>
    </row>
    <row r="102" spans="1:41" ht="15">
      <c r="A102" s="3"/>
      <c r="B102" s="3"/>
      <c r="C102" s="3"/>
      <c r="D102" s="12"/>
      <c r="E102" s="12"/>
      <c r="F102" s="12"/>
      <c r="G102" s="12"/>
      <c r="H102" s="12"/>
      <c r="I102" s="12"/>
      <c r="J102" s="12"/>
      <c r="K102" s="12"/>
      <c r="L102" s="12"/>
      <c r="M102" s="12"/>
      <c r="N102" s="12"/>
      <c r="O102" s="12"/>
      <c r="P102" s="13"/>
      <c r="Q102" s="13"/>
      <c r="R102" s="12"/>
      <c r="S102" s="12"/>
      <c r="T102" s="12"/>
      <c r="U102" s="12"/>
      <c r="V102" s="12"/>
      <c r="W102" s="12"/>
      <c r="X102" s="12"/>
      <c r="Y102" s="12"/>
      <c r="Z102" s="14"/>
      <c r="AA102" s="14"/>
      <c r="AB102" s="4"/>
      <c r="AC102" s="4"/>
      <c r="AD102" s="6"/>
      <c r="AE102" s="6"/>
      <c r="AF102" s="6"/>
      <c r="AG102" s="6"/>
      <c r="AH102" s="6"/>
      <c r="AI102" s="6"/>
      <c r="AJ102" s="7"/>
      <c r="AK102" s="5"/>
      <c r="AL102" s="5"/>
      <c r="AM102" s="8"/>
      <c r="AN102" s="8"/>
      <c r="AO102" s="9"/>
    </row>
    <row r="103" spans="1:41" ht="15">
      <c r="A103" s="3"/>
      <c r="B103" s="3"/>
      <c r="C103" s="3"/>
      <c r="D103" s="12"/>
      <c r="E103" s="12"/>
      <c r="F103" s="12"/>
      <c r="G103" s="12"/>
      <c r="H103" s="12"/>
      <c r="I103" s="12"/>
      <c r="J103" s="12"/>
      <c r="K103" s="12"/>
      <c r="L103" s="12"/>
      <c r="M103" s="12"/>
      <c r="N103" s="12"/>
      <c r="O103" s="12"/>
      <c r="P103" s="13"/>
      <c r="Q103" s="13"/>
      <c r="R103" s="12"/>
      <c r="S103" s="12"/>
      <c r="T103" s="12"/>
      <c r="U103" s="12"/>
      <c r="V103" s="12"/>
      <c r="W103" s="12"/>
      <c r="X103" s="12"/>
      <c r="Y103" s="12"/>
      <c r="Z103" s="14"/>
      <c r="AA103" s="14"/>
      <c r="AB103" s="4"/>
      <c r="AC103" s="4"/>
      <c r="AD103" s="6"/>
      <c r="AE103" s="6"/>
      <c r="AF103" s="6"/>
      <c r="AG103" s="6"/>
      <c r="AH103" s="6"/>
      <c r="AI103" s="6"/>
      <c r="AJ103" s="7"/>
      <c r="AK103" s="5"/>
      <c r="AL103" s="5"/>
      <c r="AM103" s="8"/>
      <c r="AN103" s="8"/>
      <c r="AO103" s="9"/>
    </row>
  </sheetData>
  <mergeCells count="32">
    <mergeCell ref="AJ5:AJ6"/>
    <mergeCell ref="AK5:AK6"/>
    <mergeCell ref="AL5:AL6"/>
    <mergeCell ref="AM5:AM6"/>
    <mergeCell ref="AF5:AF6"/>
    <mergeCell ref="AG5:AG6"/>
    <mergeCell ref="AH5:AH6"/>
    <mergeCell ref="AI5:AI6"/>
    <mergeCell ref="AN4:AN6"/>
    <mergeCell ref="AO4:AO6"/>
    <mergeCell ref="D5:E5"/>
    <mergeCell ref="F5:G5"/>
    <mergeCell ref="H5:I5"/>
    <mergeCell ref="J5:K5"/>
    <mergeCell ref="L5:M5"/>
    <mergeCell ref="N5:O5"/>
    <mergeCell ref="P5:Q5"/>
    <mergeCell ref="R5:S5"/>
    <mergeCell ref="R4:AA4"/>
    <mergeCell ref="AB4:AC5"/>
    <mergeCell ref="AD4:AJ4"/>
    <mergeCell ref="AK4:AM4"/>
    <mergeCell ref="T5:U5"/>
    <mergeCell ref="V5:W5"/>
    <mergeCell ref="X5:Y5"/>
    <mergeCell ref="Z5:AA5"/>
    <mergeCell ref="AD5:AD6"/>
    <mergeCell ref="AE5:AE6"/>
    <mergeCell ref="A4:A6"/>
    <mergeCell ref="B4:B6"/>
    <mergeCell ref="C4:C6"/>
    <mergeCell ref="D4:Q4"/>
  </mergeCells>
  <conditionalFormatting sqref="B7:B21 B23:B103">
    <cfRule type="expression" priority="1" dxfId="22" stopIfTrue="1">
      <formula>AND(NOT(ISBLANK($A7)),ISBLANK(B7))</formula>
    </cfRule>
  </conditionalFormatting>
  <conditionalFormatting sqref="C7:C21 C23:C103 B22">
    <cfRule type="expression" priority="2" dxfId="22" stopIfTrue="1">
      <formula>AND(NOT(ISBLANK(IV7)),ISBLANK(B7))</formula>
    </cfRule>
  </conditionalFormatting>
  <conditionalFormatting sqref="D7:D103 F7:F103 H7:H103 J7:J103 L7:L103 N7:N103 X7:X103 T7:T103 V7:V103 R7:R103 AD20:AN20">
    <cfRule type="expression" priority="3" dxfId="22" stopIfTrue="1">
      <formula>AND(NOT(ISBLANK(E7)),ISBLANK(D7))</formula>
    </cfRule>
  </conditionalFormatting>
  <conditionalFormatting sqref="E7:E103 G7:G103 I7:I103 K7:K103 M7:M103 O7:O103 S7:S103 U7:U103 W7:W103 Y7:Y103">
    <cfRule type="expression" priority="4" dxfId="22" stopIfTrue="1">
      <formula>AND(NOT(ISBLANK(D7)),ISBLANK(E7))</formula>
    </cfRule>
  </conditionalFormatting>
  <conditionalFormatting sqref="C22">
    <cfRule type="expression" priority="5" dxfId="23" stopIfTrue="1">
      <formula>AND(NOT(ISBLANK(A22)),ISBLANK(C22))</formula>
    </cfRule>
  </conditionalFormatting>
  <dataValidations count="4">
    <dataValidation type="decimal" operator="greaterThan" allowBlank="1" showInputMessage="1" showErrorMessage="1" sqref="AK21:AL103 AK7:AL19 AD7:AI19 AD21:AI103">
      <formula1>0</formula1>
    </dataValidation>
    <dataValidation operator="lessThanOrEqual" allowBlank="1" showInputMessage="1" showErrorMessage="1" error="FTE cannot be greater than Headcount&#10;" sqref="AP1:IV65536 R104:AN65536 AO4 AO7:AO65536 R4 A4:C4 P5 A104:O65536 P7:Q65536 AB6:AC103 AB4"/>
    <dataValidation type="custom" allowBlank="1" showInputMessage="1" showErrorMessage="1" errorTitle="Headcount" error="The value entered in the headcount field must be greater than or equal to the value entered in the FTE field." sqref="F7:F103 H7:H103 J7:J103 L7:L103 N7:N103 T7:T103 V7:V103 X7:X103 D7:D103 R7:R103 AD20:AN20">
      <formula1>F7&gt;=G7</formula1>
    </dataValidation>
    <dataValidation type="custom" allowBlank="1" showInputMessage="1" showErrorMessage="1" errorTitle="FTE" error="The value entered in the FTE field must be less than or equal to the value entered in the headcount field." sqref="M7:M103 G7:G103 I7:I103 K7:K103 O7:O103 U7:U103 W7:W103 Y7:Y103 S7:S103 E7:E103">
      <formula1>M7&lt;=L7</formula1>
    </dataValidation>
  </dataValidations>
  <printOptions/>
  <pageMargins left="0.75" right="0.75" top="1" bottom="1" header="0.5" footer="0.5"/>
  <pageSetup orientation="portrait" paperSize="9"/>
  <ignoredErrors>
    <ignoredError sqref="AJ7" formulaRange="1"/>
  </ignoredErrors>
</worksheet>
</file>

<file path=xl/worksheets/sheet3.xml><?xml version="1.0" encoding="utf-8"?>
<worksheet xmlns="http://schemas.openxmlformats.org/spreadsheetml/2006/main" xmlns:r="http://schemas.openxmlformats.org/officeDocument/2006/relationships">
  <dimension ref="A1:AO20"/>
  <sheetViews>
    <sheetView workbookViewId="0" topLeftCell="A1">
      <selection activeCell="A7" sqref="A7:AO20"/>
    </sheetView>
  </sheetViews>
  <sheetFormatPr defaultColWidth="8.88671875" defaultRowHeight="15"/>
  <cols>
    <col min="2" max="2" width="10.77734375" style="0" customWidth="1"/>
    <col min="3" max="3" width="10.10546875" style="0" customWidth="1"/>
    <col min="30" max="30" width="13.4453125" style="0" bestFit="1" customWidth="1"/>
    <col min="31" max="31" width="10.88671875" style="0" bestFit="1" customWidth="1"/>
    <col min="32" max="32" width="33.21484375" style="0" bestFit="1" customWidth="1"/>
    <col min="33" max="33" width="12.4453125" style="0" customWidth="1"/>
    <col min="34" max="34" width="14.21484375" style="0" customWidth="1"/>
    <col min="35" max="35" width="13.6640625" style="0" customWidth="1"/>
    <col min="36" max="36" width="14.21484375" style="0" customWidth="1"/>
    <col min="37" max="37" width="12.4453125" style="0" customWidth="1"/>
    <col min="38" max="38" width="15.3359375" style="0" customWidth="1"/>
    <col min="39" max="39" width="15.77734375" style="0" customWidth="1"/>
    <col min="40" max="40" width="14.6640625" style="0" customWidth="1"/>
  </cols>
  <sheetData>
    <row r="1" spans="1:41" ht="15">
      <c r="A1" s="2" t="s">
        <v>92</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row>
    <row r="2" spans="1:41" ht="15">
      <c r="A2" s="24" t="s">
        <v>93</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row>
    <row r="3" spans="1:41" ht="15">
      <c r="A3" s="24" t="s">
        <v>94</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row>
    <row r="4" spans="1:41" ht="15">
      <c r="A4" s="313" t="s">
        <v>26</v>
      </c>
      <c r="B4" s="328" t="s">
        <v>15</v>
      </c>
      <c r="C4" s="328" t="s">
        <v>14</v>
      </c>
      <c r="D4" s="315" t="s">
        <v>22</v>
      </c>
      <c r="E4" s="329"/>
      <c r="F4" s="329"/>
      <c r="G4" s="329"/>
      <c r="H4" s="329"/>
      <c r="I4" s="329"/>
      <c r="J4" s="329"/>
      <c r="K4" s="329"/>
      <c r="L4" s="329"/>
      <c r="M4" s="329"/>
      <c r="N4" s="329"/>
      <c r="O4" s="329"/>
      <c r="P4" s="329"/>
      <c r="Q4" s="316"/>
      <c r="R4" s="303" t="s">
        <v>29</v>
      </c>
      <c r="S4" s="304"/>
      <c r="T4" s="304"/>
      <c r="U4" s="304"/>
      <c r="V4" s="304"/>
      <c r="W4" s="304"/>
      <c r="X4" s="304"/>
      <c r="Y4" s="304"/>
      <c r="Z4" s="304"/>
      <c r="AA4" s="305"/>
      <c r="AB4" s="306" t="s">
        <v>39</v>
      </c>
      <c r="AC4" s="307"/>
      <c r="AD4" s="310" t="s">
        <v>25</v>
      </c>
      <c r="AE4" s="311"/>
      <c r="AF4" s="311"/>
      <c r="AG4" s="311"/>
      <c r="AH4" s="311"/>
      <c r="AI4" s="311"/>
      <c r="AJ4" s="312"/>
      <c r="AK4" s="322" t="s">
        <v>115</v>
      </c>
      <c r="AL4" s="323"/>
      <c r="AM4" s="323"/>
      <c r="AN4" s="318" t="s">
        <v>38</v>
      </c>
      <c r="AO4" s="313" t="s">
        <v>126</v>
      </c>
    </row>
    <row r="5" spans="1:41" ht="15">
      <c r="A5" s="326"/>
      <c r="B5" s="326"/>
      <c r="C5" s="326"/>
      <c r="D5" s="324" t="s">
        <v>116</v>
      </c>
      <c r="E5" s="325"/>
      <c r="F5" s="324" t="s">
        <v>117</v>
      </c>
      <c r="G5" s="325"/>
      <c r="H5" s="324" t="s">
        <v>118</v>
      </c>
      <c r="I5" s="325"/>
      <c r="J5" s="324" t="s">
        <v>20</v>
      </c>
      <c r="K5" s="325"/>
      <c r="L5" s="324" t="s">
        <v>119</v>
      </c>
      <c r="M5" s="325"/>
      <c r="N5" s="324" t="s">
        <v>19</v>
      </c>
      <c r="O5" s="325"/>
      <c r="P5" s="315" t="s">
        <v>23</v>
      </c>
      <c r="Q5" s="316"/>
      <c r="R5" s="315" t="s">
        <v>27</v>
      </c>
      <c r="S5" s="305"/>
      <c r="T5" s="303" t="s">
        <v>17</v>
      </c>
      <c r="U5" s="305"/>
      <c r="V5" s="303" t="s">
        <v>18</v>
      </c>
      <c r="W5" s="305"/>
      <c r="X5" s="303" t="s">
        <v>28</v>
      </c>
      <c r="Y5" s="305"/>
      <c r="Z5" s="315" t="s">
        <v>24</v>
      </c>
      <c r="AA5" s="316"/>
      <c r="AB5" s="308"/>
      <c r="AC5" s="309"/>
      <c r="AD5" s="313" t="s">
        <v>31</v>
      </c>
      <c r="AE5" s="313" t="s">
        <v>30</v>
      </c>
      <c r="AF5" s="313" t="s">
        <v>32</v>
      </c>
      <c r="AG5" s="313" t="s">
        <v>33</v>
      </c>
      <c r="AH5" s="313" t="s">
        <v>34</v>
      </c>
      <c r="AI5" s="313" t="s">
        <v>35</v>
      </c>
      <c r="AJ5" s="317" t="s">
        <v>37</v>
      </c>
      <c r="AK5" s="313" t="s">
        <v>120</v>
      </c>
      <c r="AL5" s="313" t="s">
        <v>121</v>
      </c>
      <c r="AM5" s="313" t="s">
        <v>36</v>
      </c>
      <c r="AN5" s="319"/>
      <c r="AO5" s="321"/>
    </row>
    <row r="6" spans="1:41" ht="60">
      <c r="A6" s="327"/>
      <c r="B6" s="327"/>
      <c r="C6" s="327"/>
      <c r="D6" s="175" t="s">
        <v>16</v>
      </c>
      <c r="E6" s="175" t="s">
        <v>21</v>
      </c>
      <c r="F6" s="175" t="s">
        <v>16</v>
      </c>
      <c r="G6" s="175" t="s">
        <v>21</v>
      </c>
      <c r="H6" s="175" t="s">
        <v>16</v>
      </c>
      <c r="I6" s="175" t="s">
        <v>21</v>
      </c>
      <c r="J6" s="175" t="s">
        <v>16</v>
      </c>
      <c r="K6" s="175" t="s">
        <v>21</v>
      </c>
      <c r="L6" s="175" t="s">
        <v>16</v>
      </c>
      <c r="M6" s="175" t="s">
        <v>21</v>
      </c>
      <c r="N6" s="175" t="s">
        <v>16</v>
      </c>
      <c r="O6" s="175" t="s">
        <v>21</v>
      </c>
      <c r="P6" s="175" t="s">
        <v>16</v>
      </c>
      <c r="Q6" s="175" t="s">
        <v>21</v>
      </c>
      <c r="R6" s="174" t="s">
        <v>16</v>
      </c>
      <c r="S6" s="174" t="s">
        <v>21</v>
      </c>
      <c r="T6" s="174" t="s">
        <v>16</v>
      </c>
      <c r="U6" s="174" t="s">
        <v>21</v>
      </c>
      <c r="V6" s="174" t="s">
        <v>16</v>
      </c>
      <c r="W6" s="174" t="s">
        <v>21</v>
      </c>
      <c r="X6" s="174" t="s">
        <v>16</v>
      </c>
      <c r="Y6" s="174" t="s">
        <v>21</v>
      </c>
      <c r="Z6" s="174" t="s">
        <v>16</v>
      </c>
      <c r="AA6" s="174" t="s">
        <v>21</v>
      </c>
      <c r="AB6" s="177" t="s">
        <v>16</v>
      </c>
      <c r="AC6" s="176" t="s">
        <v>21</v>
      </c>
      <c r="AD6" s="314"/>
      <c r="AE6" s="314"/>
      <c r="AF6" s="314"/>
      <c r="AG6" s="314"/>
      <c r="AH6" s="314"/>
      <c r="AI6" s="314"/>
      <c r="AJ6" s="317"/>
      <c r="AK6" s="314"/>
      <c r="AL6" s="314"/>
      <c r="AM6" s="314"/>
      <c r="AN6" s="320"/>
      <c r="AO6" s="314"/>
    </row>
    <row r="7" spans="1:41" ht="45">
      <c r="A7" s="182" t="s">
        <v>48</v>
      </c>
      <c r="B7" s="183" t="s">
        <v>49</v>
      </c>
      <c r="C7" s="182" t="s">
        <v>48</v>
      </c>
      <c r="D7" s="184">
        <v>963</v>
      </c>
      <c r="E7" s="185">
        <v>900.7208712820516</v>
      </c>
      <c r="F7" s="186">
        <v>932</v>
      </c>
      <c r="G7" s="185">
        <v>897.4830125225226</v>
      </c>
      <c r="H7" s="186">
        <v>1682</v>
      </c>
      <c r="I7" s="185">
        <v>1637.1734344444449</v>
      </c>
      <c r="J7" s="186">
        <v>796</v>
      </c>
      <c r="K7" s="185">
        <v>776.5968463963964</v>
      </c>
      <c r="L7" s="186">
        <v>121</v>
      </c>
      <c r="M7" s="185">
        <v>118.80514222222223</v>
      </c>
      <c r="N7" s="183">
        <v>0</v>
      </c>
      <c r="O7" s="187">
        <v>0</v>
      </c>
      <c r="P7" s="188">
        <f>SUM(D7,F7,H7,J7,L7,N7)</f>
        <v>4494</v>
      </c>
      <c r="Q7" s="189">
        <f>SUM(E7,G7,I7,K7,M7,O7)</f>
        <v>4330.779306867637</v>
      </c>
      <c r="R7" s="183">
        <v>162</v>
      </c>
      <c r="S7" s="183">
        <v>159.7</v>
      </c>
      <c r="T7" s="183">
        <v>13</v>
      </c>
      <c r="U7" s="187">
        <v>13</v>
      </c>
      <c r="V7" s="183">
        <v>202</v>
      </c>
      <c r="W7" s="187">
        <v>202</v>
      </c>
      <c r="X7" s="183">
        <v>0</v>
      </c>
      <c r="Y7" s="187">
        <v>0</v>
      </c>
      <c r="Z7" s="190">
        <f>SUM(R7,T7,V7,X7,)</f>
        <v>377</v>
      </c>
      <c r="AA7" s="203">
        <f>SUM(S7,U7,W7,Y7)</f>
        <v>374.7</v>
      </c>
      <c r="AB7" s="191">
        <f>P7+Z7</f>
        <v>4871</v>
      </c>
      <c r="AC7" s="192">
        <f>Q7+AA7</f>
        <v>4705.479306867637</v>
      </c>
      <c r="AD7" s="193">
        <v>14317632.914999995</v>
      </c>
      <c r="AE7" s="251">
        <v>-10518.39</v>
      </c>
      <c r="AF7" s="194">
        <v>21549</v>
      </c>
      <c r="AG7" s="194">
        <v>79460.24</v>
      </c>
      <c r="AH7" s="194">
        <v>2682455.3625</v>
      </c>
      <c r="AI7" s="194">
        <v>1161988.99</v>
      </c>
      <c r="AJ7" s="195">
        <f>SUM(AD7:AI7)</f>
        <v>18252568.117499992</v>
      </c>
      <c r="AK7" s="196">
        <v>2885161.84</v>
      </c>
      <c r="AL7" s="196">
        <v>1768299.08</v>
      </c>
      <c r="AM7" s="197">
        <f>SUM(AK7:AL7)</f>
        <v>4653460.92</v>
      </c>
      <c r="AN7" s="197">
        <f>SUM(AM7,AJ7)</f>
        <v>22906029.037499994</v>
      </c>
      <c r="AO7" s="198"/>
    </row>
    <row r="8" spans="1:41" ht="75">
      <c r="A8" s="182" t="s">
        <v>76</v>
      </c>
      <c r="B8" s="183" t="s">
        <v>51</v>
      </c>
      <c r="C8" s="182" t="s">
        <v>48</v>
      </c>
      <c r="D8" s="186">
        <v>13373</v>
      </c>
      <c r="E8" s="185">
        <v>11668.836220210233</v>
      </c>
      <c r="F8" s="186">
        <v>2866</v>
      </c>
      <c r="G8" s="185">
        <v>2689.846748648645</v>
      </c>
      <c r="H8" s="186">
        <v>2472</v>
      </c>
      <c r="I8" s="185">
        <v>2297.305034594588</v>
      </c>
      <c r="J8" s="186">
        <v>503</v>
      </c>
      <c r="K8" s="185">
        <v>490.00837777777775</v>
      </c>
      <c r="L8" s="186">
        <v>31</v>
      </c>
      <c r="M8" s="185">
        <v>31</v>
      </c>
      <c r="N8" s="183">
        <v>0</v>
      </c>
      <c r="O8" s="187">
        <v>0</v>
      </c>
      <c r="P8" s="188">
        <f aca="true" t="shared" si="0" ref="P8:Q19">SUM(D8,F8,H8,J8,L8,N8)</f>
        <v>19245</v>
      </c>
      <c r="Q8" s="189">
        <f t="shared" si="0"/>
        <v>17176.99638123124</v>
      </c>
      <c r="R8" s="183" t="s">
        <v>90</v>
      </c>
      <c r="S8" s="187">
        <v>818.12</v>
      </c>
      <c r="T8" s="183" t="s">
        <v>90</v>
      </c>
      <c r="U8" s="187" t="s">
        <v>90</v>
      </c>
      <c r="V8" s="183" t="s">
        <v>90</v>
      </c>
      <c r="W8" s="187" t="s">
        <v>90</v>
      </c>
      <c r="X8" s="183" t="s">
        <v>90</v>
      </c>
      <c r="Y8" s="187" t="s">
        <v>90</v>
      </c>
      <c r="Z8" s="190">
        <f aca="true" t="shared" si="1" ref="Z8:Z19">SUM(R8,T8,V8,X8,)</f>
        <v>0</v>
      </c>
      <c r="AA8" s="199">
        <f aca="true" t="shared" si="2" ref="AA8:AA19">SUM(S8,U8,W8,Y8)</f>
        <v>818.12</v>
      </c>
      <c r="AB8" s="191">
        <f aca="true" t="shared" si="3" ref="AB8:AC19">P8+Z8</f>
        <v>19245</v>
      </c>
      <c r="AC8" s="192">
        <f t="shared" si="3"/>
        <v>17995.11638123124</v>
      </c>
      <c r="AD8" s="193">
        <v>33988464.75</v>
      </c>
      <c r="AE8" s="257">
        <v>213878.77</v>
      </c>
      <c r="AF8" s="194">
        <v>56550.78</v>
      </c>
      <c r="AG8" s="194">
        <v>329543.76</v>
      </c>
      <c r="AH8" s="194">
        <v>5925424.17</v>
      </c>
      <c r="AI8" s="194">
        <v>2258294.64</v>
      </c>
      <c r="AJ8" s="195">
        <f aca="true" t="shared" si="4" ref="AJ8:AJ19">SUM(AD8:AI8)</f>
        <v>42772156.870000005</v>
      </c>
      <c r="AK8" s="196">
        <v>1957499.74</v>
      </c>
      <c r="AL8" s="196" t="s">
        <v>90</v>
      </c>
      <c r="AM8" s="197">
        <f aca="true" t="shared" si="5" ref="AM8:AM19">SUM(AK8:AL8)</f>
        <v>1957499.74</v>
      </c>
      <c r="AN8" s="197">
        <f aca="true" t="shared" si="6" ref="AN8:AN19">SUM(AM8,AJ8)</f>
        <v>44729656.61000001</v>
      </c>
      <c r="AO8" s="200" t="s">
        <v>122</v>
      </c>
    </row>
    <row r="9" spans="1:41" ht="30">
      <c r="A9" s="182" t="s">
        <v>55</v>
      </c>
      <c r="B9" s="183" t="s">
        <v>51</v>
      </c>
      <c r="C9" s="182" t="s">
        <v>48</v>
      </c>
      <c r="D9" s="183">
        <v>172</v>
      </c>
      <c r="E9" s="183">
        <v>152.79</v>
      </c>
      <c r="F9" s="183">
        <v>116</v>
      </c>
      <c r="G9" s="183">
        <v>110.91</v>
      </c>
      <c r="H9" s="183">
        <v>262</v>
      </c>
      <c r="I9" s="183">
        <v>256.23</v>
      </c>
      <c r="J9" s="183">
        <v>61</v>
      </c>
      <c r="K9" s="183">
        <v>60.33</v>
      </c>
      <c r="L9" s="183">
        <v>6</v>
      </c>
      <c r="M9" s="187">
        <v>6</v>
      </c>
      <c r="N9" s="183">
        <v>0</v>
      </c>
      <c r="O9" s="187">
        <v>0</v>
      </c>
      <c r="P9" s="188">
        <f t="shared" si="0"/>
        <v>617</v>
      </c>
      <c r="Q9" s="189">
        <f t="shared" si="0"/>
        <v>586.2600000000001</v>
      </c>
      <c r="R9" s="183">
        <v>2</v>
      </c>
      <c r="S9" s="187">
        <v>2</v>
      </c>
      <c r="T9" s="183">
        <v>0</v>
      </c>
      <c r="U9" s="187">
        <v>0</v>
      </c>
      <c r="V9" s="183">
        <v>10</v>
      </c>
      <c r="W9" s="187">
        <v>10</v>
      </c>
      <c r="X9" s="183">
        <v>0</v>
      </c>
      <c r="Y9" s="187">
        <v>0</v>
      </c>
      <c r="Z9" s="190">
        <f t="shared" si="1"/>
        <v>12</v>
      </c>
      <c r="AA9" s="199">
        <f t="shared" si="2"/>
        <v>12</v>
      </c>
      <c r="AB9" s="191">
        <f t="shared" si="3"/>
        <v>629</v>
      </c>
      <c r="AC9" s="192">
        <f t="shared" si="3"/>
        <v>598.2600000000001</v>
      </c>
      <c r="AD9" s="193">
        <v>1516661.9</v>
      </c>
      <c r="AE9" s="194">
        <v>14470.11</v>
      </c>
      <c r="AF9" s="194" t="s">
        <v>90</v>
      </c>
      <c r="AG9" s="194">
        <v>11158.7</v>
      </c>
      <c r="AH9" s="194">
        <v>263319.92</v>
      </c>
      <c r="AI9" s="194">
        <v>125041.53</v>
      </c>
      <c r="AJ9" s="195">
        <f t="shared" si="4"/>
        <v>1930652.16</v>
      </c>
      <c r="AK9" s="196">
        <v>75153.21</v>
      </c>
      <c r="AL9" s="196" t="s">
        <v>90</v>
      </c>
      <c r="AM9" s="197">
        <f t="shared" si="5"/>
        <v>75153.21</v>
      </c>
      <c r="AN9" s="197">
        <f t="shared" si="6"/>
        <v>2005805.3699999999</v>
      </c>
      <c r="AO9" s="198"/>
    </row>
    <row r="10" spans="1:41" ht="75">
      <c r="A10" s="23" t="s">
        <v>56</v>
      </c>
      <c r="B10" s="183" t="s">
        <v>51</v>
      </c>
      <c r="C10" s="182" t="s">
        <v>48</v>
      </c>
      <c r="D10" s="183">
        <v>30967</v>
      </c>
      <c r="E10" s="185">
        <v>29557.865948833165</v>
      </c>
      <c r="F10" s="183">
        <v>5771</v>
      </c>
      <c r="G10" s="185">
        <v>5538.682103834606</v>
      </c>
      <c r="H10" s="183">
        <v>4442</v>
      </c>
      <c r="I10" s="185">
        <v>4236.027525410029</v>
      </c>
      <c r="J10" s="183">
        <v>586</v>
      </c>
      <c r="K10" s="185">
        <v>575.6125375375376</v>
      </c>
      <c r="L10" s="183">
        <v>36</v>
      </c>
      <c r="M10" s="185">
        <v>36</v>
      </c>
      <c r="N10" s="183">
        <v>0</v>
      </c>
      <c r="O10" s="185">
        <v>0</v>
      </c>
      <c r="P10" s="188">
        <f t="shared" si="0"/>
        <v>41802</v>
      </c>
      <c r="Q10" s="189">
        <f t="shared" si="0"/>
        <v>39944.18811561533</v>
      </c>
      <c r="R10" s="156">
        <v>553.42</v>
      </c>
      <c r="S10" s="156" t="s">
        <v>90</v>
      </c>
      <c r="T10" s="156">
        <v>14.06</v>
      </c>
      <c r="U10" s="156" t="s">
        <v>90</v>
      </c>
      <c r="V10" s="156">
        <v>27.54</v>
      </c>
      <c r="W10" s="156" t="s">
        <v>90</v>
      </c>
      <c r="X10" s="156">
        <v>0</v>
      </c>
      <c r="Y10" s="156" t="s">
        <v>90</v>
      </c>
      <c r="Z10" s="190">
        <f t="shared" si="1"/>
        <v>595.0199999999999</v>
      </c>
      <c r="AA10" s="203">
        <f t="shared" si="2"/>
        <v>0</v>
      </c>
      <c r="AB10" s="191">
        <f t="shared" si="3"/>
        <v>42397.02</v>
      </c>
      <c r="AC10" s="192">
        <f t="shared" si="3"/>
        <v>39944.18811561533</v>
      </c>
      <c r="AD10" s="193">
        <v>95105889.16000003</v>
      </c>
      <c r="AE10" s="194">
        <v>0</v>
      </c>
      <c r="AF10" s="194">
        <v>0</v>
      </c>
      <c r="AG10" s="194">
        <v>4217036.27</v>
      </c>
      <c r="AH10" s="194">
        <v>17827110.5</v>
      </c>
      <c r="AI10" s="194">
        <v>7340883.290000001</v>
      </c>
      <c r="AJ10" s="195">
        <f t="shared" si="4"/>
        <v>124490919.22000003</v>
      </c>
      <c r="AK10" s="196">
        <v>2799471.31</v>
      </c>
      <c r="AL10" s="276">
        <v>6239.11</v>
      </c>
      <c r="AM10" s="197">
        <f t="shared" si="5"/>
        <v>2805710.42</v>
      </c>
      <c r="AN10" s="197">
        <f t="shared" si="6"/>
        <v>127296629.64000003</v>
      </c>
      <c r="AO10" s="200" t="s">
        <v>9</v>
      </c>
    </row>
    <row r="11" spans="1:41" ht="96">
      <c r="A11" s="182" t="s">
        <v>58</v>
      </c>
      <c r="B11" s="183" t="s">
        <v>51</v>
      </c>
      <c r="C11" s="182" t="s">
        <v>48</v>
      </c>
      <c r="D11" s="186">
        <v>303</v>
      </c>
      <c r="E11" s="185">
        <v>285.1361716216217</v>
      </c>
      <c r="F11" s="186">
        <v>138</v>
      </c>
      <c r="G11" s="185">
        <v>131.41319999999996</v>
      </c>
      <c r="H11" s="186">
        <v>73</v>
      </c>
      <c r="I11" s="185">
        <v>71.2770108108108</v>
      </c>
      <c r="J11" s="186">
        <v>10</v>
      </c>
      <c r="K11" s="185">
        <v>9.82222</v>
      </c>
      <c r="L11" s="186">
        <v>2</v>
      </c>
      <c r="M11" s="187">
        <v>1.7783799999999998</v>
      </c>
      <c r="N11" s="183">
        <v>0</v>
      </c>
      <c r="O11" s="185">
        <v>0</v>
      </c>
      <c r="P11" s="188">
        <f t="shared" si="0"/>
        <v>526</v>
      </c>
      <c r="Q11" s="189">
        <f t="shared" si="0"/>
        <v>499.4269824324325</v>
      </c>
      <c r="R11" s="183">
        <v>225</v>
      </c>
      <c r="S11" s="183">
        <v>163.99642289348168</v>
      </c>
      <c r="T11" s="183">
        <v>0</v>
      </c>
      <c r="U11" s="187">
        <v>0</v>
      </c>
      <c r="V11" s="183">
        <v>2</v>
      </c>
      <c r="W11" s="187">
        <v>2</v>
      </c>
      <c r="X11" s="183">
        <v>0</v>
      </c>
      <c r="Y11" s="187">
        <v>0</v>
      </c>
      <c r="Z11" s="190">
        <f t="shared" si="1"/>
        <v>227</v>
      </c>
      <c r="AA11" s="203">
        <f t="shared" si="2"/>
        <v>165.99642289348168</v>
      </c>
      <c r="AB11" s="191">
        <f t="shared" si="3"/>
        <v>753</v>
      </c>
      <c r="AC11" s="192">
        <f t="shared" si="3"/>
        <v>665.4234053259142</v>
      </c>
      <c r="AD11" s="193">
        <v>948137.03</v>
      </c>
      <c r="AE11" s="194">
        <v>14856.59</v>
      </c>
      <c r="AF11" s="257">
        <v>500</v>
      </c>
      <c r="AG11" s="194">
        <v>27824.57</v>
      </c>
      <c r="AH11" s="194">
        <v>165039.33</v>
      </c>
      <c r="AI11" s="194">
        <v>70142.68</v>
      </c>
      <c r="AJ11" s="195">
        <f t="shared" si="4"/>
        <v>1226500.2</v>
      </c>
      <c r="AK11" s="196">
        <v>439977.63</v>
      </c>
      <c r="AL11" s="196">
        <v>0</v>
      </c>
      <c r="AM11" s="197">
        <f t="shared" si="5"/>
        <v>439977.63</v>
      </c>
      <c r="AN11" s="197">
        <f t="shared" si="6"/>
        <v>1666477.83</v>
      </c>
      <c r="AO11" s="200" t="s">
        <v>5</v>
      </c>
    </row>
    <row r="12" spans="1:41" ht="75">
      <c r="A12" s="182" t="s">
        <v>6</v>
      </c>
      <c r="B12" s="183" t="s">
        <v>51</v>
      </c>
      <c r="C12" s="182" t="s">
        <v>48</v>
      </c>
      <c r="D12" s="186">
        <v>717</v>
      </c>
      <c r="E12" s="185">
        <v>679.4462100000001</v>
      </c>
      <c r="F12" s="186">
        <v>368</v>
      </c>
      <c r="G12" s="185">
        <v>348.07886</v>
      </c>
      <c r="H12" s="186">
        <v>381</v>
      </c>
      <c r="I12" s="185">
        <v>366.11772999999994</v>
      </c>
      <c r="J12" s="186">
        <v>83</v>
      </c>
      <c r="K12" s="185">
        <v>82.05713999999999</v>
      </c>
      <c r="L12" s="186">
        <v>13</v>
      </c>
      <c r="M12" s="187">
        <v>13</v>
      </c>
      <c r="N12" s="183">
        <v>0</v>
      </c>
      <c r="O12" s="185">
        <v>0</v>
      </c>
      <c r="P12" s="188">
        <f>SUM(D12,F12,H12,J12,L12,N12)</f>
        <v>1562</v>
      </c>
      <c r="Q12" s="189">
        <f>SUM(E12,G12,I12,K12,M12,O12)</f>
        <v>1488.69994</v>
      </c>
      <c r="R12" s="183">
        <v>34</v>
      </c>
      <c r="S12" s="183">
        <v>34</v>
      </c>
      <c r="T12" s="183">
        <v>0</v>
      </c>
      <c r="U12" s="187">
        <v>0</v>
      </c>
      <c r="V12" s="183">
        <v>45</v>
      </c>
      <c r="W12" s="187">
        <v>45</v>
      </c>
      <c r="X12" s="183">
        <v>0</v>
      </c>
      <c r="Y12" s="187">
        <v>0</v>
      </c>
      <c r="Z12" s="190">
        <f>SUM(R12,T12,V12,X12,)</f>
        <v>79</v>
      </c>
      <c r="AA12" s="203">
        <f>SUM(S12,U12,W12,Y12)</f>
        <v>79</v>
      </c>
      <c r="AB12" s="191">
        <f>P12+Z12</f>
        <v>1641</v>
      </c>
      <c r="AC12" s="192">
        <f>Q12+AA12</f>
        <v>1567.69994</v>
      </c>
      <c r="AD12" s="193">
        <v>3189489.92</v>
      </c>
      <c r="AE12" s="194">
        <v>48294.62</v>
      </c>
      <c r="AF12" s="257" t="s">
        <v>90</v>
      </c>
      <c r="AG12" s="194">
        <v>163696.63</v>
      </c>
      <c r="AH12" s="194">
        <v>601259.49</v>
      </c>
      <c r="AI12" s="194">
        <v>536523.08</v>
      </c>
      <c r="AJ12" s="195">
        <f>SUM(AD12:AI12)</f>
        <v>4539263.74</v>
      </c>
      <c r="AK12" s="196">
        <v>647321.19</v>
      </c>
      <c r="AL12" s="196" t="s">
        <v>90</v>
      </c>
      <c r="AM12" s="197">
        <f>SUM(AK12:AL12)</f>
        <v>647321.19</v>
      </c>
      <c r="AN12" s="197">
        <f>SUM(AM12,AJ12)</f>
        <v>5186584.93</v>
      </c>
      <c r="AO12" s="200"/>
    </row>
    <row r="13" spans="1:41" ht="264">
      <c r="A13" s="182" t="s">
        <v>62</v>
      </c>
      <c r="B13" s="183" t="s">
        <v>63</v>
      </c>
      <c r="C13" s="182" t="s">
        <v>48</v>
      </c>
      <c r="D13" s="183">
        <v>0</v>
      </c>
      <c r="E13" s="185">
        <v>0</v>
      </c>
      <c r="F13" s="183">
        <v>0</v>
      </c>
      <c r="G13" s="187">
        <v>0</v>
      </c>
      <c r="H13" s="183">
        <v>0</v>
      </c>
      <c r="I13" s="187">
        <v>0</v>
      </c>
      <c r="J13" s="183">
        <v>0</v>
      </c>
      <c r="K13" s="187">
        <v>0</v>
      </c>
      <c r="L13" s="183">
        <v>0</v>
      </c>
      <c r="M13" s="187">
        <v>0</v>
      </c>
      <c r="N13" s="183">
        <v>78</v>
      </c>
      <c r="O13" s="183">
        <v>71.05</v>
      </c>
      <c r="P13" s="188">
        <f t="shared" si="0"/>
        <v>78</v>
      </c>
      <c r="Q13" s="189">
        <f t="shared" si="0"/>
        <v>71.05</v>
      </c>
      <c r="R13" s="183">
        <v>3</v>
      </c>
      <c r="S13" s="187">
        <v>3</v>
      </c>
      <c r="T13" s="183">
        <v>3</v>
      </c>
      <c r="U13" s="187">
        <v>3</v>
      </c>
      <c r="V13" s="183">
        <v>0</v>
      </c>
      <c r="W13" s="187">
        <v>0</v>
      </c>
      <c r="X13" s="183">
        <v>0</v>
      </c>
      <c r="Y13" s="187">
        <v>0</v>
      </c>
      <c r="Z13" s="190">
        <f t="shared" si="1"/>
        <v>6</v>
      </c>
      <c r="AA13" s="199">
        <f t="shared" si="2"/>
        <v>6</v>
      </c>
      <c r="AB13" s="191">
        <f t="shared" si="3"/>
        <v>84</v>
      </c>
      <c r="AC13" s="192">
        <f t="shared" si="3"/>
        <v>77.05</v>
      </c>
      <c r="AD13" s="193">
        <v>201339</v>
      </c>
      <c r="AE13" s="194">
        <v>57</v>
      </c>
      <c r="AF13" s="194" t="s">
        <v>90</v>
      </c>
      <c r="AG13" s="194">
        <v>747</v>
      </c>
      <c r="AH13" s="194">
        <v>35391</v>
      </c>
      <c r="AI13" s="194">
        <v>16501</v>
      </c>
      <c r="AJ13" s="195">
        <f t="shared" si="4"/>
        <v>254035</v>
      </c>
      <c r="AK13" s="196">
        <v>19152</v>
      </c>
      <c r="AL13" s="196" t="s">
        <v>90</v>
      </c>
      <c r="AM13" s="197">
        <f t="shared" si="5"/>
        <v>19152</v>
      </c>
      <c r="AN13" s="197">
        <f t="shared" si="6"/>
        <v>273187</v>
      </c>
      <c r="AO13" s="200" t="s">
        <v>64</v>
      </c>
    </row>
    <row r="14" spans="1:41" ht="75">
      <c r="A14" s="182" t="s">
        <v>66</v>
      </c>
      <c r="B14" s="183" t="s">
        <v>63</v>
      </c>
      <c r="C14" s="182" t="s">
        <v>48</v>
      </c>
      <c r="D14" s="183">
        <v>0</v>
      </c>
      <c r="E14" s="185">
        <v>0</v>
      </c>
      <c r="F14" s="183">
        <v>0</v>
      </c>
      <c r="G14" s="187">
        <v>0</v>
      </c>
      <c r="H14" s="183">
        <v>0</v>
      </c>
      <c r="I14" s="187">
        <v>0</v>
      </c>
      <c r="J14" s="183">
        <v>0</v>
      </c>
      <c r="K14" s="187">
        <v>0</v>
      </c>
      <c r="L14" s="183">
        <v>0</v>
      </c>
      <c r="M14" s="187">
        <v>0</v>
      </c>
      <c r="N14" s="183">
        <v>398</v>
      </c>
      <c r="O14" s="185">
        <v>366.2</v>
      </c>
      <c r="P14" s="188">
        <f t="shared" si="0"/>
        <v>398</v>
      </c>
      <c r="Q14" s="189">
        <f t="shared" si="0"/>
        <v>366.2</v>
      </c>
      <c r="R14" s="183">
        <v>14</v>
      </c>
      <c r="S14" s="187">
        <v>14</v>
      </c>
      <c r="T14" s="183">
        <v>0</v>
      </c>
      <c r="U14" s="187">
        <v>0</v>
      </c>
      <c r="V14" s="183">
        <v>1</v>
      </c>
      <c r="W14" s="187">
        <v>1</v>
      </c>
      <c r="X14" s="183">
        <v>0</v>
      </c>
      <c r="Y14" s="187">
        <v>0</v>
      </c>
      <c r="Z14" s="190">
        <f t="shared" si="1"/>
        <v>15</v>
      </c>
      <c r="AA14" s="199">
        <f t="shared" si="2"/>
        <v>15</v>
      </c>
      <c r="AB14" s="191">
        <f t="shared" si="3"/>
        <v>413</v>
      </c>
      <c r="AC14" s="192">
        <f t="shared" si="3"/>
        <v>381.2</v>
      </c>
      <c r="AD14" s="193">
        <v>809217.8</v>
      </c>
      <c r="AE14" s="194">
        <v>1335.49</v>
      </c>
      <c r="AF14" s="194" t="s">
        <v>90</v>
      </c>
      <c r="AG14" s="194">
        <v>4352.46</v>
      </c>
      <c r="AH14" s="194">
        <v>145811.14</v>
      </c>
      <c r="AI14" s="194">
        <v>54656.34</v>
      </c>
      <c r="AJ14" s="195">
        <f t="shared" si="4"/>
        <v>1015373.23</v>
      </c>
      <c r="AK14" s="196">
        <v>25546.9</v>
      </c>
      <c r="AL14" s="196" t="s">
        <v>90</v>
      </c>
      <c r="AM14" s="197">
        <f t="shared" si="5"/>
        <v>25546.9</v>
      </c>
      <c r="AN14" s="197">
        <f t="shared" si="6"/>
        <v>1040920.13</v>
      </c>
      <c r="AO14" s="198"/>
    </row>
    <row r="15" spans="1:41" ht="75">
      <c r="A15" s="182" t="s">
        <v>67</v>
      </c>
      <c r="B15" s="183" t="s">
        <v>63</v>
      </c>
      <c r="C15" s="182" t="s">
        <v>48</v>
      </c>
      <c r="D15" s="183">
        <v>15</v>
      </c>
      <c r="E15" s="185">
        <v>14.54</v>
      </c>
      <c r="F15" s="183">
        <v>16</v>
      </c>
      <c r="G15" s="187">
        <v>14.94</v>
      </c>
      <c r="H15" s="183">
        <v>24</v>
      </c>
      <c r="I15" s="183">
        <v>23.69</v>
      </c>
      <c r="J15" s="183">
        <v>12</v>
      </c>
      <c r="K15" s="187">
        <v>10.95</v>
      </c>
      <c r="L15" s="183">
        <v>3</v>
      </c>
      <c r="M15" s="187">
        <v>3</v>
      </c>
      <c r="N15" s="183">
        <v>1</v>
      </c>
      <c r="O15" s="187">
        <v>0.4</v>
      </c>
      <c r="P15" s="188">
        <f t="shared" si="0"/>
        <v>71</v>
      </c>
      <c r="Q15" s="189">
        <f t="shared" si="0"/>
        <v>67.52000000000001</v>
      </c>
      <c r="R15" s="183">
        <v>6</v>
      </c>
      <c r="S15" s="187">
        <v>6</v>
      </c>
      <c r="T15" s="183">
        <v>0</v>
      </c>
      <c r="U15" s="187">
        <v>0</v>
      </c>
      <c r="V15" s="183">
        <v>0</v>
      </c>
      <c r="W15" s="187">
        <v>0</v>
      </c>
      <c r="X15" s="183">
        <v>0</v>
      </c>
      <c r="Y15" s="187">
        <v>0</v>
      </c>
      <c r="Z15" s="190">
        <f t="shared" si="1"/>
        <v>6</v>
      </c>
      <c r="AA15" s="199">
        <f t="shared" si="2"/>
        <v>6</v>
      </c>
      <c r="AB15" s="191">
        <f t="shared" si="3"/>
        <v>77</v>
      </c>
      <c r="AC15" s="192">
        <f t="shared" si="3"/>
        <v>73.52000000000001</v>
      </c>
      <c r="AD15" s="193">
        <v>181599.91</v>
      </c>
      <c r="AE15" s="194">
        <v>1700.67</v>
      </c>
      <c r="AF15" s="194">
        <v>1400</v>
      </c>
      <c r="AG15" s="194" t="s">
        <v>90</v>
      </c>
      <c r="AH15" s="194">
        <v>35600.08</v>
      </c>
      <c r="AI15" s="194">
        <v>15692.43</v>
      </c>
      <c r="AJ15" s="195">
        <f t="shared" si="4"/>
        <v>235993.09000000003</v>
      </c>
      <c r="AK15" s="196">
        <v>12341.57</v>
      </c>
      <c r="AL15" s="196" t="s">
        <v>90</v>
      </c>
      <c r="AM15" s="197">
        <f t="shared" si="5"/>
        <v>12341.57</v>
      </c>
      <c r="AN15" s="197">
        <f t="shared" si="6"/>
        <v>248334.66000000003</v>
      </c>
      <c r="AO15" s="198"/>
    </row>
    <row r="16" spans="1:41" ht="156">
      <c r="A16" s="182" t="s">
        <v>68</v>
      </c>
      <c r="B16" s="183" t="s">
        <v>63</v>
      </c>
      <c r="C16" s="182" t="s">
        <v>48</v>
      </c>
      <c r="D16" s="183">
        <v>0</v>
      </c>
      <c r="E16" s="185">
        <v>0</v>
      </c>
      <c r="F16" s="183">
        <v>0</v>
      </c>
      <c r="G16" s="187">
        <v>0</v>
      </c>
      <c r="H16" s="183">
        <v>0</v>
      </c>
      <c r="I16" s="187">
        <v>0</v>
      </c>
      <c r="J16" s="183">
        <v>0</v>
      </c>
      <c r="K16" s="187">
        <v>0</v>
      </c>
      <c r="L16" s="183">
        <v>0</v>
      </c>
      <c r="M16" s="187">
        <v>0</v>
      </c>
      <c r="N16" s="96">
        <v>30</v>
      </c>
      <c r="O16" s="105">
        <v>29.8</v>
      </c>
      <c r="P16" s="188">
        <f t="shared" si="0"/>
        <v>30</v>
      </c>
      <c r="Q16" s="189">
        <f t="shared" si="0"/>
        <v>29.8</v>
      </c>
      <c r="R16" s="183">
        <v>0</v>
      </c>
      <c r="S16" s="187">
        <v>0</v>
      </c>
      <c r="T16" s="183">
        <v>0</v>
      </c>
      <c r="U16" s="187">
        <v>0</v>
      </c>
      <c r="V16" s="183">
        <v>0</v>
      </c>
      <c r="W16" s="187">
        <v>0</v>
      </c>
      <c r="X16" s="183">
        <v>0</v>
      </c>
      <c r="Y16" s="187">
        <v>0</v>
      </c>
      <c r="Z16" s="190">
        <f t="shared" si="1"/>
        <v>0</v>
      </c>
      <c r="AA16" s="199">
        <f t="shared" si="2"/>
        <v>0</v>
      </c>
      <c r="AB16" s="191">
        <f t="shared" si="3"/>
        <v>30</v>
      </c>
      <c r="AC16" s="192">
        <f t="shared" si="3"/>
        <v>29.8</v>
      </c>
      <c r="AD16" s="193">
        <v>138871.04</v>
      </c>
      <c r="AE16" s="194" t="s">
        <v>90</v>
      </c>
      <c r="AF16" s="194" t="s">
        <v>90</v>
      </c>
      <c r="AG16" s="194" t="s">
        <v>90</v>
      </c>
      <c r="AH16" s="194">
        <v>27517.48</v>
      </c>
      <c r="AI16" s="194">
        <v>16597.26</v>
      </c>
      <c r="AJ16" s="195">
        <f t="shared" si="4"/>
        <v>182985.78000000003</v>
      </c>
      <c r="AK16" s="196" t="s">
        <v>90</v>
      </c>
      <c r="AL16" s="196" t="s">
        <v>90</v>
      </c>
      <c r="AM16" s="197">
        <f t="shared" si="5"/>
        <v>0</v>
      </c>
      <c r="AN16" s="197">
        <f t="shared" si="6"/>
        <v>182985.78000000003</v>
      </c>
      <c r="AO16" s="200" t="s">
        <v>69</v>
      </c>
    </row>
    <row r="17" spans="1:41" ht="75">
      <c r="A17" s="182" t="s">
        <v>71</v>
      </c>
      <c r="B17" s="183" t="s">
        <v>63</v>
      </c>
      <c r="C17" s="182" t="s">
        <v>48</v>
      </c>
      <c r="D17" s="183">
        <v>18</v>
      </c>
      <c r="E17" s="183">
        <v>16.9</v>
      </c>
      <c r="F17" s="183">
        <v>46</v>
      </c>
      <c r="G17" s="183">
        <v>44.7</v>
      </c>
      <c r="H17" s="183">
        <v>17</v>
      </c>
      <c r="I17" s="183">
        <v>16.6</v>
      </c>
      <c r="J17" s="183">
        <v>3</v>
      </c>
      <c r="K17" s="187">
        <v>3</v>
      </c>
      <c r="L17" s="183">
        <v>2</v>
      </c>
      <c r="M17" s="187">
        <v>1.4</v>
      </c>
      <c r="N17" s="183">
        <v>0</v>
      </c>
      <c r="O17" s="187">
        <v>0</v>
      </c>
      <c r="P17" s="188">
        <f t="shared" si="0"/>
        <v>86</v>
      </c>
      <c r="Q17" s="189">
        <f t="shared" si="0"/>
        <v>82.60000000000001</v>
      </c>
      <c r="R17" s="183">
        <v>9</v>
      </c>
      <c r="S17" s="187">
        <v>9</v>
      </c>
      <c r="T17" s="183">
        <v>0</v>
      </c>
      <c r="U17" s="187">
        <v>0</v>
      </c>
      <c r="V17" s="183">
        <v>0</v>
      </c>
      <c r="W17" s="187">
        <v>0</v>
      </c>
      <c r="X17" s="183">
        <v>0</v>
      </c>
      <c r="Y17" s="187">
        <v>0</v>
      </c>
      <c r="Z17" s="190">
        <f t="shared" si="1"/>
        <v>9</v>
      </c>
      <c r="AA17" s="199">
        <f t="shared" si="2"/>
        <v>9</v>
      </c>
      <c r="AB17" s="191">
        <f t="shared" si="3"/>
        <v>95</v>
      </c>
      <c r="AC17" s="192">
        <f t="shared" si="3"/>
        <v>91.60000000000001</v>
      </c>
      <c r="AD17" s="193">
        <v>223230.3</v>
      </c>
      <c r="AE17" s="194">
        <v>20419.93</v>
      </c>
      <c r="AF17" s="194" t="s">
        <v>90</v>
      </c>
      <c r="AG17" s="194">
        <v>1266.61</v>
      </c>
      <c r="AH17" s="194">
        <v>31589.82</v>
      </c>
      <c r="AI17" s="194">
        <v>14392.1</v>
      </c>
      <c r="AJ17" s="195">
        <f t="shared" si="4"/>
        <v>290898.75999999995</v>
      </c>
      <c r="AK17" s="196">
        <v>33962.56</v>
      </c>
      <c r="AL17" s="196" t="s">
        <v>90</v>
      </c>
      <c r="AM17" s="197">
        <f t="shared" si="5"/>
        <v>33962.56</v>
      </c>
      <c r="AN17" s="197">
        <f t="shared" si="6"/>
        <v>324861.31999999995</v>
      </c>
      <c r="AO17" s="200"/>
    </row>
    <row r="18" spans="1:41" ht="409.5">
      <c r="A18" s="264" t="s">
        <v>72</v>
      </c>
      <c r="B18" s="156" t="s">
        <v>63</v>
      </c>
      <c r="C18" s="23" t="s">
        <v>48</v>
      </c>
      <c r="D18" s="183">
        <v>0</v>
      </c>
      <c r="E18" s="185">
        <v>0</v>
      </c>
      <c r="F18" s="183">
        <v>0</v>
      </c>
      <c r="G18" s="187">
        <v>0</v>
      </c>
      <c r="H18" s="183">
        <v>0</v>
      </c>
      <c r="I18" s="187">
        <v>0</v>
      </c>
      <c r="J18" s="183">
        <v>0</v>
      </c>
      <c r="K18" s="187">
        <v>0</v>
      </c>
      <c r="L18" s="183">
        <v>0</v>
      </c>
      <c r="M18" s="187">
        <v>0</v>
      </c>
      <c r="N18" s="264">
        <v>18117</v>
      </c>
      <c r="O18" s="266">
        <v>16336</v>
      </c>
      <c r="P18" s="267">
        <f t="shared" si="0"/>
        <v>18117</v>
      </c>
      <c r="Q18" s="265">
        <f t="shared" si="0"/>
        <v>16336</v>
      </c>
      <c r="R18" s="264">
        <v>1351</v>
      </c>
      <c r="S18" s="266">
        <v>1351</v>
      </c>
      <c r="T18" s="264">
        <v>6</v>
      </c>
      <c r="U18" s="266">
        <v>6</v>
      </c>
      <c r="V18" s="264">
        <v>0</v>
      </c>
      <c r="W18" s="264">
        <v>0</v>
      </c>
      <c r="X18" s="264">
        <v>0</v>
      </c>
      <c r="Y18" s="264">
        <v>0</v>
      </c>
      <c r="Z18" s="269">
        <f t="shared" si="1"/>
        <v>1357</v>
      </c>
      <c r="AA18" s="270">
        <f t="shared" si="2"/>
        <v>1357</v>
      </c>
      <c r="AB18" s="271">
        <f t="shared" si="3"/>
        <v>19474</v>
      </c>
      <c r="AC18" s="268">
        <f t="shared" si="3"/>
        <v>17693</v>
      </c>
      <c r="AD18" s="417" t="s">
        <v>90</v>
      </c>
      <c r="AE18" s="418" t="s">
        <v>90</v>
      </c>
      <c r="AF18" s="418" t="s">
        <v>90</v>
      </c>
      <c r="AG18" s="418" t="s">
        <v>90</v>
      </c>
      <c r="AH18" s="418" t="s">
        <v>90</v>
      </c>
      <c r="AI18" s="418" t="s">
        <v>90</v>
      </c>
      <c r="AJ18" s="274">
        <f t="shared" si="4"/>
        <v>0</v>
      </c>
      <c r="AK18" s="417" t="s">
        <v>90</v>
      </c>
      <c r="AL18" s="417" t="s">
        <v>90</v>
      </c>
      <c r="AM18" s="273">
        <f t="shared" si="5"/>
        <v>0</v>
      </c>
      <c r="AN18" s="273">
        <f t="shared" si="6"/>
        <v>0</v>
      </c>
      <c r="AO18" s="204" t="s">
        <v>149</v>
      </c>
    </row>
    <row r="19" spans="1:41" ht="90">
      <c r="A19" s="183" t="s">
        <v>124</v>
      </c>
      <c r="B19" s="183" t="s">
        <v>63</v>
      </c>
      <c r="C19" s="205" t="s">
        <v>48</v>
      </c>
      <c r="D19" s="183">
        <v>15</v>
      </c>
      <c r="E19" s="183">
        <v>14.35</v>
      </c>
      <c r="F19" s="183">
        <v>42</v>
      </c>
      <c r="G19" s="183">
        <v>40.66</v>
      </c>
      <c r="H19" s="183">
        <v>113</v>
      </c>
      <c r="I19" s="183">
        <v>109.99</v>
      </c>
      <c r="J19" s="183">
        <v>41</v>
      </c>
      <c r="K19" s="185">
        <v>39.86</v>
      </c>
      <c r="L19" s="183">
        <v>5</v>
      </c>
      <c r="M19" s="185">
        <v>4.6</v>
      </c>
      <c r="N19" s="183">
        <v>9</v>
      </c>
      <c r="O19" s="185">
        <v>9</v>
      </c>
      <c r="P19" s="188">
        <f t="shared" si="0"/>
        <v>225</v>
      </c>
      <c r="Q19" s="189">
        <f t="shared" si="0"/>
        <v>218.46</v>
      </c>
      <c r="R19" s="183">
        <v>4</v>
      </c>
      <c r="S19" s="187">
        <v>4</v>
      </c>
      <c r="T19" s="183">
        <v>0</v>
      </c>
      <c r="U19" s="187">
        <v>0</v>
      </c>
      <c r="V19" s="183">
        <v>0</v>
      </c>
      <c r="W19" s="187">
        <v>0</v>
      </c>
      <c r="X19" s="183">
        <v>0</v>
      </c>
      <c r="Y19" s="187">
        <v>0</v>
      </c>
      <c r="Z19" s="190">
        <f t="shared" si="1"/>
        <v>4</v>
      </c>
      <c r="AA19" s="199">
        <f t="shared" si="2"/>
        <v>4</v>
      </c>
      <c r="AB19" s="191">
        <f t="shared" si="3"/>
        <v>229</v>
      </c>
      <c r="AC19" s="192">
        <f t="shared" si="3"/>
        <v>222.46</v>
      </c>
      <c r="AD19" s="251">
        <v>664093.04</v>
      </c>
      <c r="AE19" s="251">
        <v>45496.4</v>
      </c>
      <c r="AF19" s="194">
        <v>14000</v>
      </c>
      <c r="AG19" s="194">
        <v>3489.73</v>
      </c>
      <c r="AH19" s="251">
        <v>133399.58</v>
      </c>
      <c r="AI19" s="251">
        <v>63332.37</v>
      </c>
      <c r="AJ19" s="195">
        <f t="shared" si="4"/>
        <v>923811.12</v>
      </c>
      <c r="AK19" s="248">
        <v>18535.46</v>
      </c>
      <c r="AL19" s="196" t="s">
        <v>90</v>
      </c>
      <c r="AM19" s="197">
        <f t="shared" si="5"/>
        <v>18535.46</v>
      </c>
      <c r="AN19" s="197">
        <f t="shared" si="6"/>
        <v>942346.58</v>
      </c>
      <c r="AO19" s="198" t="s">
        <v>2</v>
      </c>
    </row>
    <row r="20" spans="1:41" ht="90">
      <c r="A20" s="183" t="s">
        <v>124</v>
      </c>
      <c r="B20" s="183" t="s">
        <v>63</v>
      </c>
      <c r="C20" s="205" t="s">
        <v>48</v>
      </c>
      <c r="D20" s="183">
        <v>15</v>
      </c>
      <c r="E20" s="183">
        <v>14.35</v>
      </c>
      <c r="F20" s="183">
        <v>43</v>
      </c>
      <c r="G20" s="183">
        <v>41.66</v>
      </c>
      <c r="H20" s="183">
        <v>112</v>
      </c>
      <c r="I20" s="183">
        <v>108.99</v>
      </c>
      <c r="J20" s="183">
        <v>40</v>
      </c>
      <c r="K20" s="185">
        <v>38.86</v>
      </c>
      <c r="L20" s="183">
        <v>5</v>
      </c>
      <c r="M20" s="185">
        <v>4.6</v>
      </c>
      <c r="N20" s="183">
        <v>9</v>
      </c>
      <c r="O20" s="185">
        <v>9</v>
      </c>
      <c r="P20" s="188">
        <v>224</v>
      </c>
      <c r="Q20" s="189">
        <v>217.46</v>
      </c>
      <c r="R20" s="183">
        <v>4</v>
      </c>
      <c r="S20" s="187">
        <v>4</v>
      </c>
      <c r="T20" s="183">
        <v>0</v>
      </c>
      <c r="U20" s="187">
        <v>0</v>
      </c>
      <c r="V20" s="183">
        <v>0</v>
      </c>
      <c r="W20" s="187">
        <v>0</v>
      </c>
      <c r="X20" s="183">
        <v>0</v>
      </c>
      <c r="Y20" s="187">
        <v>0</v>
      </c>
      <c r="Z20" s="190">
        <v>4</v>
      </c>
      <c r="AA20" s="199">
        <v>4</v>
      </c>
      <c r="AB20" s="191">
        <v>228</v>
      </c>
      <c r="AC20" s="192">
        <v>221.46</v>
      </c>
      <c r="AD20" s="193">
        <v>609158.31</v>
      </c>
      <c r="AE20" s="194">
        <v>56419.67</v>
      </c>
      <c r="AF20" s="196" t="s">
        <v>90</v>
      </c>
      <c r="AG20" s="194">
        <v>3006.25</v>
      </c>
      <c r="AH20" s="194">
        <v>128042.77</v>
      </c>
      <c r="AI20" s="194">
        <v>58562.23</v>
      </c>
      <c r="AJ20" s="195">
        <v>855189.23</v>
      </c>
      <c r="AK20" s="196" t="s">
        <v>90</v>
      </c>
      <c r="AL20" s="196" t="s">
        <v>90</v>
      </c>
      <c r="AM20" s="197">
        <v>0</v>
      </c>
      <c r="AN20" s="197">
        <v>855189.23</v>
      </c>
      <c r="AO20" s="198"/>
    </row>
  </sheetData>
  <sheetProtection selectLockedCells="1"/>
  <mergeCells count="32">
    <mergeCell ref="R4:AA4"/>
    <mergeCell ref="AB4:AC5"/>
    <mergeCell ref="AD4:AJ4"/>
    <mergeCell ref="AH5:AH6"/>
    <mergeCell ref="AI5:AI6"/>
    <mergeCell ref="AE5:AE6"/>
    <mergeCell ref="X5:Y5"/>
    <mergeCell ref="Z5:AA5"/>
    <mergeCell ref="AD5:AD6"/>
    <mergeCell ref="AJ5:AJ6"/>
    <mergeCell ref="AN4:AN6"/>
    <mergeCell ref="AO4:AO6"/>
    <mergeCell ref="AK4:AM4"/>
    <mergeCell ref="AM5:AM6"/>
    <mergeCell ref="AF5:AF6"/>
    <mergeCell ref="AG5:AG6"/>
    <mergeCell ref="AK5:AK6"/>
    <mergeCell ref="AL5:AL6"/>
    <mergeCell ref="D5:E5"/>
    <mergeCell ref="F5:G5"/>
    <mergeCell ref="H5:I5"/>
    <mergeCell ref="J5:K5"/>
    <mergeCell ref="V5:W5"/>
    <mergeCell ref="T5:U5"/>
    <mergeCell ref="A4:A6"/>
    <mergeCell ref="B4:B6"/>
    <mergeCell ref="C4:C6"/>
    <mergeCell ref="D4:Q4"/>
    <mergeCell ref="L5:M5"/>
    <mergeCell ref="N5:O5"/>
    <mergeCell ref="P5:Q5"/>
    <mergeCell ref="R5:S5"/>
  </mergeCells>
  <conditionalFormatting sqref="C20 B7:B19">
    <cfRule type="expression" priority="1" dxfId="22" stopIfTrue="1">
      <formula>AND(NOT(ISBLANK($A7)),ISBLANK(B7))</formula>
    </cfRule>
  </conditionalFormatting>
  <conditionalFormatting sqref="D20 C7:C19">
    <cfRule type="expression" priority="2" dxfId="22" stopIfTrue="1">
      <formula>AND(NOT(ISBLANK(A7)),ISBLANK(C7))</formula>
    </cfRule>
  </conditionalFormatting>
  <conditionalFormatting sqref="S20 M20 K20 E20 I20 W20 G20 O20 D7:D19 V7:V19 X7:X19 T7:T19 L7:L19 R7:R19 F7:F19 H7:H19 J7:J19 N7:N19">
    <cfRule type="expression" priority="3" dxfId="22" stopIfTrue="1">
      <formula>AND(NOT(ISBLANK(E7)),ISBLANK(D7))</formula>
    </cfRule>
  </conditionalFormatting>
  <conditionalFormatting sqref="T20 F20 J20 H20 X20 P20 N20 L20 W7:W19 Y7:Y19 U7:U19 E7:E19 S7:S19 G7:G19 I7:I19 K7:K19 M7:M19 O7:O19">
    <cfRule type="expression" priority="4" dxfId="22" stopIfTrue="1">
      <formula>AND(NOT(ISBLANK(D7)),ISBLANK(E7))</formula>
    </cfRule>
  </conditionalFormatting>
  <dataValidations count="8">
    <dataValidation type="custom" allowBlank="1" showInputMessage="1" showErrorMessage="1" errorTitle="Headcount" error="The value entered in the headcount field must be greater than or equal to the value entered in the FTE field." sqref="D7:D18 F7:F18 L7:L18 J7:J18 H7:H18 R7:R18 V7:V18 X7:X18 T7:T18 N7:N18">
      <formula1>D7&gt;=E7</formula1>
    </dataValidation>
    <dataValidation type="custom" allowBlank="1" showInputMessage="1" showErrorMessage="1" errorTitle="FTE" error="The value entered in the FTE field must be less than or equal to the value entered in the headcount field." sqref="S7:S18 M7:M18 K7:K18 I7:I18 G7:G18 E7:E18 U7:U18 W7:W18 Y7:Y18 O7:O18">
      <formula1>S7&lt;=R7</formula1>
    </dataValidation>
    <dataValidation type="decimal" operator="greaterThanOrEqual" allowBlank="1" showInputMessage="1" showErrorMessage="1" sqref="AK20:AM20 AF20 U20:V20 Y20:Z20 AD7:AI18 AK12:AK18 AL12:AL19 AK7:AL11">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D20 C7:C19">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C20 B7:B19">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20:B20 A7:A11 A13:A19">
      <formula1>INDIRECT("List_of_organisations")</formula1>
    </dataValidation>
    <dataValidation operator="lessThanOrEqual" allowBlank="1" showInputMessage="1" showErrorMessage="1" error="FTE cannot be greater than Headcount&#10;" sqref="AO4 AC20:AD20 AB4 R4 Q20:R20 P5 A4:C4 AB6:AC19 AO7:AO19 P7:Q19"/>
    <dataValidation type="decimal" operator="greaterThan" allowBlank="1" showInputMessage="1" showErrorMessage="1" sqref="AE20 AG20:AJ20 AD19:AI19">
      <formula1>0</formula1>
    </dataValidation>
  </dataValidations>
  <printOptions/>
  <pageMargins left="0.75" right="0.75" top="1" bottom="1" header="0.5" footer="0.5"/>
  <pageSetup horizontalDpi="600" verticalDpi="600" orientation="portrait" paperSize="9" r:id="rId3"/>
  <legacyDrawing r:id="rId2"/>
</worksheet>
</file>

<file path=xl/worksheets/sheet30.xml><?xml version="1.0" encoding="utf-8"?>
<worksheet xmlns="http://schemas.openxmlformats.org/spreadsheetml/2006/main" xmlns:r="http://schemas.openxmlformats.org/officeDocument/2006/relationships">
  <dimension ref="A1:AO103"/>
  <sheetViews>
    <sheetView zoomScale="70" zoomScaleNormal="70" workbookViewId="0" topLeftCell="A1">
      <selection activeCell="A1" sqref="A1"/>
    </sheetView>
  </sheetViews>
  <sheetFormatPr defaultColWidth="8.88671875" defaultRowHeight="15"/>
  <cols>
    <col min="1" max="1" width="23.5546875" style="2" customWidth="1"/>
    <col min="2" max="3" width="14.99609375" style="2" customWidth="1"/>
    <col min="4" max="4" width="10.99609375" style="15" customWidth="1"/>
    <col min="5" max="5" width="10.4453125" style="15" customWidth="1"/>
    <col min="6" max="6" width="10.88671875" style="15" customWidth="1"/>
    <col min="7" max="7" width="10.4453125" style="15" customWidth="1"/>
    <col min="8" max="8" width="10.88671875" style="15" customWidth="1"/>
    <col min="9" max="9" width="10.4453125" style="15" customWidth="1"/>
    <col min="10" max="10" width="10.88671875" style="15" customWidth="1"/>
    <col min="11" max="11" width="10.4453125" style="15" customWidth="1"/>
    <col min="12" max="12" width="10.88671875" style="15" customWidth="1"/>
    <col min="13" max="13" width="10.4453125" style="15" customWidth="1"/>
    <col min="14" max="14" width="10.88671875" style="15" customWidth="1"/>
    <col min="15" max="15" width="10.4453125" style="15" customWidth="1"/>
    <col min="16" max="16" width="11.10546875" style="15" customWidth="1"/>
    <col min="17"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ht="15">
      <c r="A1" s="2" t="s">
        <v>92</v>
      </c>
    </row>
    <row r="2" ht="15">
      <c r="A2" s="24" t="s">
        <v>93</v>
      </c>
    </row>
    <row r="3" ht="15">
      <c r="A3" s="24" t="s">
        <v>94</v>
      </c>
    </row>
    <row r="4" spans="1:41" s="1" customFormat="1" ht="15" customHeight="1">
      <c r="A4" s="387" t="s">
        <v>26</v>
      </c>
      <c r="B4" s="387" t="s">
        <v>15</v>
      </c>
      <c r="C4" s="387" t="s">
        <v>14</v>
      </c>
      <c r="D4" s="390" t="s">
        <v>22</v>
      </c>
      <c r="E4" s="391"/>
      <c r="F4" s="391"/>
      <c r="G4" s="391"/>
      <c r="H4" s="391"/>
      <c r="I4" s="391"/>
      <c r="J4" s="391"/>
      <c r="K4" s="391"/>
      <c r="L4" s="391"/>
      <c r="M4" s="391"/>
      <c r="N4" s="391"/>
      <c r="O4" s="391"/>
      <c r="P4" s="391"/>
      <c r="Q4" s="392"/>
      <c r="R4" s="393" t="s">
        <v>29</v>
      </c>
      <c r="S4" s="394"/>
      <c r="T4" s="394"/>
      <c r="U4" s="394"/>
      <c r="V4" s="394"/>
      <c r="W4" s="394"/>
      <c r="X4" s="394"/>
      <c r="Y4" s="394"/>
      <c r="Z4" s="394"/>
      <c r="AA4" s="395"/>
      <c r="AB4" s="396" t="s">
        <v>39</v>
      </c>
      <c r="AC4" s="397"/>
      <c r="AD4" s="400" t="s">
        <v>25</v>
      </c>
      <c r="AE4" s="401"/>
      <c r="AF4" s="401"/>
      <c r="AG4" s="401"/>
      <c r="AH4" s="401"/>
      <c r="AI4" s="401"/>
      <c r="AJ4" s="402"/>
      <c r="AK4" s="385" t="s">
        <v>46</v>
      </c>
      <c r="AL4" s="385"/>
      <c r="AM4" s="385"/>
      <c r="AN4" s="404" t="s">
        <v>38</v>
      </c>
      <c r="AO4" s="387" t="s">
        <v>47</v>
      </c>
    </row>
    <row r="5" spans="1:41" s="1" customFormat="1" ht="53.25" customHeight="1">
      <c r="A5" s="388"/>
      <c r="B5" s="388"/>
      <c r="C5" s="388"/>
      <c r="D5" s="408" t="s">
        <v>42</v>
      </c>
      <c r="E5" s="409"/>
      <c r="F5" s="408" t="s">
        <v>43</v>
      </c>
      <c r="G5" s="409"/>
      <c r="H5" s="408" t="s">
        <v>44</v>
      </c>
      <c r="I5" s="409"/>
      <c r="J5" s="408" t="s">
        <v>20</v>
      </c>
      <c r="K5" s="409"/>
      <c r="L5" s="408" t="s">
        <v>45</v>
      </c>
      <c r="M5" s="409"/>
      <c r="N5" s="408" t="s">
        <v>19</v>
      </c>
      <c r="O5" s="409"/>
      <c r="P5" s="390" t="s">
        <v>23</v>
      </c>
      <c r="Q5" s="392"/>
      <c r="R5" s="390" t="s">
        <v>27</v>
      </c>
      <c r="S5" s="395"/>
      <c r="T5" s="393" t="s">
        <v>17</v>
      </c>
      <c r="U5" s="395"/>
      <c r="V5" s="393" t="s">
        <v>18</v>
      </c>
      <c r="W5" s="395"/>
      <c r="X5" s="393" t="s">
        <v>28</v>
      </c>
      <c r="Y5" s="395"/>
      <c r="Z5" s="390" t="s">
        <v>24</v>
      </c>
      <c r="AA5" s="392"/>
      <c r="AB5" s="398"/>
      <c r="AC5" s="399"/>
      <c r="AD5" s="387" t="s">
        <v>31</v>
      </c>
      <c r="AE5" s="387" t="s">
        <v>30</v>
      </c>
      <c r="AF5" s="387" t="s">
        <v>32</v>
      </c>
      <c r="AG5" s="387" t="s">
        <v>33</v>
      </c>
      <c r="AH5" s="387" t="s">
        <v>34</v>
      </c>
      <c r="AI5" s="387" t="s">
        <v>35</v>
      </c>
      <c r="AJ5" s="383" t="s">
        <v>37</v>
      </c>
      <c r="AK5" s="387" t="s">
        <v>40</v>
      </c>
      <c r="AL5" s="387" t="s">
        <v>41</v>
      </c>
      <c r="AM5" s="387" t="s">
        <v>36</v>
      </c>
      <c r="AN5" s="405"/>
      <c r="AO5" s="407"/>
    </row>
    <row r="6" spans="1:41" ht="57.75" customHeight="1">
      <c r="A6" s="389"/>
      <c r="B6" s="389"/>
      <c r="C6" s="389"/>
      <c r="D6" s="10" t="s">
        <v>16</v>
      </c>
      <c r="E6" s="10" t="s">
        <v>21</v>
      </c>
      <c r="F6" s="10" t="s">
        <v>16</v>
      </c>
      <c r="G6" s="10" t="s">
        <v>21</v>
      </c>
      <c r="H6" s="10" t="s">
        <v>16</v>
      </c>
      <c r="I6" s="10" t="s">
        <v>21</v>
      </c>
      <c r="J6" s="10" t="s">
        <v>16</v>
      </c>
      <c r="K6" s="10" t="s">
        <v>21</v>
      </c>
      <c r="L6" s="10" t="s">
        <v>16</v>
      </c>
      <c r="M6" s="10" t="s">
        <v>21</v>
      </c>
      <c r="N6" s="10" t="s">
        <v>16</v>
      </c>
      <c r="O6" s="10" t="s">
        <v>21</v>
      </c>
      <c r="P6" s="10" t="s">
        <v>16</v>
      </c>
      <c r="Q6" s="10" t="s">
        <v>21</v>
      </c>
      <c r="R6" s="11" t="s">
        <v>16</v>
      </c>
      <c r="S6" s="11" t="s">
        <v>21</v>
      </c>
      <c r="T6" s="11" t="s">
        <v>16</v>
      </c>
      <c r="U6" s="11" t="s">
        <v>21</v>
      </c>
      <c r="V6" s="11" t="s">
        <v>16</v>
      </c>
      <c r="W6" s="11" t="s">
        <v>21</v>
      </c>
      <c r="X6" s="11" t="s">
        <v>16</v>
      </c>
      <c r="Y6" s="11" t="s">
        <v>21</v>
      </c>
      <c r="Z6" s="11" t="s">
        <v>16</v>
      </c>
      <c r="AA6" s="11" t="s">
        <v>21</v>
      </c>
      <c r="AB6" s="17" t="s">
        <v>16</v>
      </c>
      <c r="AC6" s="16" t="s">
        <v>21</v>
      </c>
      <c r="AD6" s="403"/>
      <c r="AE6" s="403"/>
      <c r="AF6" s="403"/>
      <c r="AG6" s="403"/>
      <c r="AH6" s="403"/>
      <c r="AI6" s="403"/>
      <c r="AJ6" s="383"/>
      <c r="AK6" s="403"/>
      <c r="AL6" s="403"/>
      <c r="AM6" s="403"/>
      <c r="AN6" s="406"/>
      <c r="AO6" s="403"/>
    </row>
    <row r="7" spans="1:41" ht="30">
      <c r="A7" s="3" t="s">
        <v>48</v>
      </c>
      <c r="B7" s="3" t="s">
        <v>49</v>
      </c>
      <c r="C7" s="3" t="s">
        <v>48</v>
      </c>
      <c r="D7" s="12">
        <v>1152</v>
      </c>
      <c r="E7" s="12">
        <v>1080.31</v>
      </c>
      <c r="F7" s="12">
        <v>900</v>
      </c>
      <c r="G7" s="12">
        <v>863.88</v>
      </c>
      <c r="H7" s="12">
        <v>1723</v>
      </c>
      <c r="I7" s="12">
        <v>1666.12</v>
      </c>
      <c r="J7" s="12">
        <v>881</v>
      </c>
      <c r="K7" s="12">
        <v>849.07</v>
      </c>
      <c r="L7" s="12">
        <v>131</v>
      </c>
      <c r="M7" s="12">
        <v>127.63</v>
      </c>
      <c r="N7" s="12">
        <v>0</v>
      </c>
      <c r="O7" s="12">
        <v>0</v>
      </c>
      <c r="P7" s="13">
        <v>4787</v>
      </c>
      <c r="Q7" s="13">
        <v>4587.01</v>
      </c>
      <c r="R7" s="12">
        <v>183</v>
      </c>
      <c r="S7" s="12">
        <v>183</v>
      </c>
      <c r="T7" s="12">
        <v>22</v>
      </c>
      <c r="U7" s="12">
        <v>22</v>
      </c>
      <c r="V7" s="12">
        <v>126</v>
      </c>
      <c r="W7" s="12">
        <v>126</v>
      </c>
      <c r="X7" s="12">
        <v>0</v>
      </c>
      <c r="Y7" s="12">
        <v>0</v>
      </c>
      <c r="Z7" s="14">
        <v>331</v>
      </c>
      <c r="AA7" s="14">
        <v>331</v>
      </c>
      <c r="AB7" s="4">
        <v>5118</v>
      </c>
      <c r="AC7" s="4">
        <v>4918.01</v>
      </c>
      <c r="AD7" s="19">
        <v>12034754.16333333</v>
      </c>
      <c r="AE7" s="20">
        <v>202755.938333333</v>
      </c>
      <c r="AF7" s="20">
        <v>21220.33333333333</v>
      </c>
      <c r="AG7" s="20">
        <v>88879.9233333333</v>
      </c>
      <c r="AH7" s="20">
        <v>2323229.32916667</v>
      </c>
      <c r="AI7" s="20">
        <v>1019414.0958333339</v>
      </c>
      <c r="AJ7" s="21">
        <f>SUM(AD7:AI7)</f>
        <v>15690253.783333333</v>
      </c>
      <c r="AK7" s="19">
        <v>1265055.93</v>
      </c>
      <c r="AL7" s="19">
        <v>-1037720.02</v>
      </c>
      <c r="AM7" s="22">
        <f>SUM(AK7:AL7)</f>
        <v>227335.90999999992</v>
      </c>
      <c r="AN7" s="22">
        <f>SUM(AM7,AJ7)</f>
        <v>15917589.693333333</v>
      </c>
      <c r="AO7" s="18"/>
    </row>
    <row r="8" spans="1:41" ht="30">
      <c r="A8" s="3" t="s">
        <v>76</v>
      </c>
      <c r="B8" s="3" t="s">
        <v>51</v>
      </c>
      <c r="C8" s="3" t="s">
        <v>48</v>
      </c>
      <c r="D8" s="12">
        <v>14712</v>
      </c>
      <c r="E8" s="12">
        <v>12856.83</v>
      </c>
      <c r="F8" s="12">
        <v>3874</v>
      </c>
      <c r="G8" s="12">
        <v>3607.19</v>
      </c>
      <c r="H8" s="12">
        <v>3080</v>
      </c>
      <c r="I8" s="12">
        <v>2870.51</v>
      </c>
      <c r="J8" s="12">
        <v>761</v>
      </c>
      <c r="K8" s="12">
        <v>744.25</v>
      </c>
      <c r="L8" s="12">
        <v>46</v>
      </c>
      <c r="M8" s="12">
        <v>45.82</v>
      </c>
      <c r="N8" s="12">
        <v>0</v>
      </c>
      <c r="O8" s="12">
        <v>0</v>
      </c>
      <c r="P8" s="13">
        <v>22473</v>
      </c>
      <c r="Q8" s="13">
        <v>20124.6</v>
      </c>
      <c r="R8" s="23" t="s">
        <v>90</v>
      </c>
      <c r="S8" s="12">
        <v>247.05</v>
      </c>
      <c r="T8" s="12">
        <v>0</v>
      </c>
      <c r="U8" s="12">
        <v>0</v>
      </c>
      <c r="V8" s="12">
        <v>0</v>
      </c>
      <c r="W8" s="12">
        <v>0</v>
      </c>
      <c r="X8" s="12">
        <v>0</v>
      </c>
      <c r="Y8" s="12">
        <v>0</v>
      </c>
      <c r="Z8" s="14">
        <v>0</v>
      </c>
      <c r="AA8" s="14">
        <v>247.05</v>
      </c>
      <c r="AB8" s="4">
        <v>22473</v>
      </c>
      <c r="AC8" s="4">
        <v>20371.65</v>
      </c>
      <c r="AD8" s="20">
        <v>38619123.88999999</v>
      </c>
      <c r="AE8" s="20">
        <v>400320.3</v>
      </c>
      <c r="AF8" s="20">
        <v>-146868.58</v>
      </c>
      <c r="AG8" s="20">
        <v>182863.89</v>
      </c>
      <c r="AH8" s="20">
        <v>6665153.39</v>
      </c>
      <c r="AI8" s="20">
        <v>2565168.85</v>
      </c>
      <c r="AJ8" s="21">
        <v>48285761.739999995</v>
      </c>
      <c r="AK8" s="19">
        <v>366943.41</v>
      </c>
      <c r="AL8" s="19">
        <v>0</v>
      </c>
      <c r="AM8" s="22">
        <v>366943.41</v>
      </c>
      <c r="AN8" s="22">
        <v>48652705.14999999</v>
      </c>
      <c r="AO8" s="3"/>
    </row>
    <row r="9" spans="1:41" ht="30">
      <c r="A9" s="3" t="s">
        <v>52</v>
      </c>
      <c r="B9" s="3" t="s">
        <v>53</v>
      </c>
      <c r="C9" s="3" t="s">
        <v>48</v>
      </c>
      <c r="D9" s="12">
        <v>326</v>
      </c>
      <c r="E9" s="12">
        <v>287.32</v>
      </c>
      <c r="F9" s="12">
        <v>2649</v>
      </c>
      <c r="G9" s="12">
        <v>2320.02</v>
      </c>
      <c r="H9" s="12">
        <v>2117</v>
      </c>
      <c r="I9" s="12">
        <v>1960.61</v>
      </c>
      <c r="J9" s="12">
        <v>195</v>
      </c>
      <c r="K9" s="12">
        <v>183.55</v>
      </c>
      <c r="L9" s="12">
        <v>24</v>
      </c>
      <c r="M9" s="12">
        <v>23.41</v>
      </c>
      <c r="N9" s="12">
        <v>0</v>
      </c>
      <c r="O9" s="12">
        <v>0</v>
      </c>
      <c r="P9" s="13">
        <v>5311</v>
      </c>
      <c r="Q9" s="13">
        <v>4774.91</v>
      </c>
      <c r="R9" s="12">
        <v>0</v>
      </c>
      <c r="S9" s="12">
        <v>0</v>
      </c>
      <c r="T9" s="12">
        <v>4</v>
      </c>
      <c r="U9" s="12">
        <v>3</v>
      </c>
      <c r="V9" s="12">
        <v>0</v>
      </c>
      <c r="W9" s="12">
        <v>0</v>
      </c>
      <c r="X9" s="12">
        <v>0</v>
      </c>
      <c r="Y9" s="12">
        <v>0</v>
      </c>
      <c r="Z9" s="14">
        <v>4</v>
      </c>
      <c r="AA9" s="14">
        <v>3</v>
      </c>
      <c r="AB9" s="4">
        <v>5315</v>
      </c>
      <c r="AC9" s="4">
        <v>4777.91</v>
      </c>
      <c r="AD9" s="20">
        <v>11090148.72</v>
      </c>
      <c r="AE9" s="20">
        <v>221029.78</v>
      </c>
      <c r="AF9" s="20">
        <v>0</v>
      </c>
      <c r="AG9" s="20">
        <v>28851.159999999996</v>
      </c>
      <c r="AH9" s="20">
        <v>2156226.85</v>
      </c>
      <c r="AI9" s="20">
        <v>829218.2799999999</v>
      </c>
      <c r="AJ9" s="21">
        <v>14325474.79</v>
      </c>
      <c r="AK9" s="19">
        <v>1093.2</v>
      </c>
      <c r="AL9" s="19">
        <v>153751.09</v>
      </c>
      <c r="AM9" s="22">
        <v>154844.29</v>
      </c>
      <c r="AN9" s="22">
        <v>14480319.079999998</v>
      </c>
      <c r="AO9" s="3"/>
    </row>
    <row r="10" spans="1:41" ht="15">
      <c r="A10" s="3" t="s">
        <v>55</v>
      </c>
      <c r="B10" s="3" t="s">
        <v>51</v>
      </c>
      <c r="C10" s="3" t="s">
        <v>48</v>
      </c>
      <c r="D10" s="12">
        <v>172</v>
      </c>
      <c r="E10" s="12">
        <v>152.19</v>
      </c>
      <c r="F10" s="12">
        <v>126</v>
      </c>
      <c r="G10" s="12">
        <v>120.68</v>
      </c>
      <c r="H10" s="12">
        <v>241</v>
      </c>
      <c r="I10" s="12">
        <v>234.84</v>
      </c>
      <c r="J10" s="12">
        <v>63</v>
      </c>
      <c r="K10" s="12">
        <v>62.27</v>
      </c>
      <c r="L10" s="12">
        <v>6</v>
      </c>
      <c r="M10" s="12">
        <v>6</v>
      </c>
      <c r="N10" s="12">
        <v>0</v>
      </c>
      <c r="O10" s="12">
        <v>0</v>
      </c>
      <c r="P10" s="13">
        <v>608</v>
      </c>
      <c r="Q10" s="13">
        <v>575.98</v>
      </c>
      <c r="R10" s="12">
        <v>6</v>
      </c>
      <c r="S10" s="12">
        <v>5.2</v>
      </c>
      <c r="T10" s="12">
        <v>0</v>
      </c>
      <c r="U10" s="12">
        <v>0</v>
      </c>
      <c r="V10" s="12">
        <v>3</v>
      </c>
      <c r="W10" s="12">
        <v>3</v>
      </c>
      <c r="X10" s="12">
        <v>0</v>
      </c>
      <c r="Y10" s="12">
        <v>0</v>
      </c>
      <c r="Z10" s="14">
        <v>9</v>
      </c>
      <c r="AA10" s="14">
        <v>8.2</v>
      </c>
      <c r="AB10" s="4">
        <v>617</v>
      </c>
      <c r="AC10" s="4">
        <v>584.18</v>
      </c>
      <c r="AD10" s="20">
        <v>1469530.13</v>
      </c>
      <c r="AE10" s="20">
        <v>7532.87</v>
      </c>
      <c r="AF10" s="20">
        <v>0.001</v>
      </c>
      <c r="AG10" s="20">
        <v>22016</v>
      </c>
      <c r="AH10" s="20">
        <v>270448</v>
      </c>
      <c r="AI10" s="20">
        <v>123584</v>
      </c>
      <c r="AJ10" s="21">
        <v>1893111.001</v>
      </c>
      <c r="AK10" s="19">
        <v>26395</v>
      </c>
      <c r="AL10" s="19">
        <v>0</v>
      </c>
      <c r="AM10" s="22">
        <v>26395</v>
      </c>
      <c r="AN10" s="22">
        <v>1919506.001</v>
      </c>
      <c r="AO10" s="3"/>
    </row>
    <row r="11" spans="1:41" ht="30">
      <c r="A11" s="3" t="s">
        <v>56</v>
      </c>
      <c r="B11" s="3" t="s">
        <v>51</v>
      </c>
      <c r="C11" s="3" t="s">
        <v>48</v>
      </c>
      <c r="D11" s="12">
        <v>36864</v>
      </c>
      <c r="E11" s="12">
        <v>35340.25</v>
      </c>
      <c r="F11" s="12">
        <v>7531</v>
      </c>
      <c r="G11" s="12">
        <v>7235.52</v>
      </c>
      <c r="H11" s="12">
        <v>3349</v>
      </c>
      <c r="I11" s="12">
        <v>3162.1</v>
      </c>
      <c r="J11" s="12">
        <v>698</v>
      </c>
      <c r="K11" s="12">
        <v>678.4</v>
      </c>
      <c r="L11" s="12">
        <v>47</v>
      </c>
      <c r="M11" s="12">
        <v>47</v>
      </c>
      <c r="N11" s="12">
        <v>0</v>
      </c>
      <c r="O11" s="12">
        <v>0</v>
      </c>
      <c r="P11" s="13">
        <v>48489</v>
      </c>
      <c r="Q11" s="13">
        <v>46463.27</v>
      </c>
      <c r="R11" s="12">
        <v>378</v>
      </c>
      <c r="S11" s="12">
        <v>378</v>
      </c>
      <c r="T11" s="12">
        <v>0</v>
      </c>
      <c r="U11" s="12">
        <v>0</v>
      </c>
      <c r="V11" s="12">
        <v>0</v>
      </c>
      <c r="W11" s="12">
        <v>0</v>
      </c>
      <c r="X11" s="12">
        <v>0</v>
      </c>
      <c r="Y11" s="12">
        <v>0</v>
      </c>
      <c r="Z11" s="14">
        <v>378</v>
      </c>
      <c r="AA11" s="14">
        <v>378</v>
      </c>
      <c r="AB11" s="4">
        <v>48867</v>
      </c>
      <c r="AC11" s="4">
        <v>46841.27</v>
      </c>
      <c r="AD11" s="20">
        <v>103396313.13000001</v>
      </c>
      <c r="AE11" s="20">
        <v>0</v>
      </c>
      <c r="AF11" s="20">
        <v>0</v>
      </c>
      <c r="AG11" s="20">
        <v>562360.95</v>
      </c>
      <c r="AH11" s="20">
        <v>19714946.470000006</v>
      </c>
      <c r="AI11" s="20">
        <v>8529286.649999997</v>
      </c>
      <c r="AJ11" s="21">
        <v>132202907.2</v>
      </c>
      <c r="AK11" s="19">
        <v>1938590.19</v>
      </c>
      <c r="AL11" s="19">
        <v>0</v>
      </c>
      <c r="AM11" s="22">
        <v>1938590.19</v>
      </c>
      <c r="AN11" s="22">
        <v>134141497.39</v>
      </c>
      <c r="AO11" s="18"/>
    </row>
    <row r="12" spans="1:41" ht="30">
      <c r="A12" s="3" t="s">
        <v>58</v>
      </c>
      <c r="B12" s="3" t="s">
        <v>51</v>
      </c>
      <c r="C12" s="3" t="s">
        <v>48</v>
      </c>
      <c r="D12" s="12">
        <v>253</v>
      </c>
      <c r="E12" s="12">
        <v>234.43</v>
      </c>
      <c r="F12" s="12">
        <v>117</v>
      </c>
      <c r="G12" s="12">
        <v>111.2</v>
      </c>
      <c r="H12" s="12">
        <v>63</v>
      </c>
      <c r="I12" s="12">
        <v>62.11</v>
      </c>
      <c r="J12" s="12">
        <v>10</v>
      </c>
      <c r="K12" s="12">
        <v>9.74</v>
      </c>
      <c r="L12" s="12">
        <v>2</v>
      </c>
      <c r="M12" s="12">
        <v>1.8</v>
      </c>
      <c r="N12" s="12">
        <v>0</v>
      </c>
      <c r="O12" s="12">
        <v>0</v>
      </c>
      <c r="P12" s="13">
        <v>445</v>
      </c>
      <c r="Q12" s="13">
        <v>419.28</v>
      </c>
      <c r="R12" s="12">
        <v>154</v>
      </c>
      <c r="S12" s="12">
        <v>98</v>
      </c>
      <c r="T12" s="12">
        <v>0</v>
      </c>
      <c r="U12" s="12">
        <v>0</v>
      </c>
      <c r="V12" s="12">
        <v>0</v>
      </c>
      <c r="W12" s="12">
        <v>0</v>
      </c>
      <c r="X12" s="12">
        <v>0</v>
      </c>
      <c r="Y12" s="12">
        <v>0</v>
      </c>
      <c r="Z12" s="14">
        <v>154</v>
      </c>
      <c r="AA12" s="14">
        <v>98</v>
      </c>
      <c r="AB12" s="4">
        <v>599</v>
      </c>
      <c r="AC12" s="4">
        <v>517.28</v>
      </c>
      <c r="AD12" s="20">
        <v>858715.03</v>
      </c>
      <c r="AE12" s="20">
        <v>20792.86</v>
      </c>
      <c r="AF12" s="20">
        <v>0</v>
      </c>
      <c r="AG12" s="20">
        <v>36814.98</v>
      </c>
      <c r="AH12" s="20">
        <v>131577.34</v>
      </c>
      <c r="AI12" s="20">
        <v>67695.14</v>
      </c>
      <c r="AJ12" s="21">
        <v>1113595.35</v>
      </c>
      <c r="AK12" s="19">
        <v>152347.83</v>
      </c>
      <c r="AL12" s="19">
        <v>0</v>
      </c>
      <c r="AM12" s="22">
        <v>152347.83</v>
      </c>
      <c r="AN12" s="22">
        <v>1265943.18</v>
      </c>
      <c r="AO12" s="3"/>
    </row>
    <row r="13" spans="1:41" ht="120">
      <c r="A13" s="3" t="s">
        <v>60</v>
      </c>
      <c r="B13" s="3" t="s">
        <v>53</v>
      </c>
      <c r="C13" s="3" t="s">
        <v>48</v>
      </c>
      <c r="D13" s="12">
        <v>5</v>
      </c>
      <c r="E13" s="12">
        <v>5</v>
      </c>
      <c r="F13" s="12">
        <v>16</v>
      </c>
      <c r="G13" s="12">
        <v>15.6</v>
      </c>
      <c r="H13" s="12">
        <v>17</v>
      </c>
      <c r="I13" s="12">
        <v>17</v>
      </c>
      <c r="J13" s="12">
        <v>7</v>
      </c>
      <c r="K13" s="12">
        <v>6.47</v>
      </c>
      <c r="L13" s="12">
        <v>2</v>
      </c>
      <c r="M13" s="12">
        <v>2</v>
      </c>
      <c r="N13" s="12">
        <v>0</v>
      </c>
      <c r="O13" s="12">
        <v>0</v>
      </c>
      <c r="P13" s="13">
        <v>47</v>
      </c>
      <c r="Q13" s="13">
        <v>46.07</v>
      </c>
      <c r="R13" s="12">
        <v>0</v>
      </c>
      <c r="S13" s="12">
        <v>0</v>
      </c>
      <c r="T13" s="12">
        <v>0</v>
      </c>
      <c r="U13" s="12">
        <v>0</v>
      </c>
      <c r="V13" s="12">
        <v>0</v>
      </c>
      <c r="W13" s="12">
        <v>0</v>
      </c>
      <c r="X13" s="12">
        <v>0</v>
      </c>
      <c r="Y13" s="12">
        <v>0</v>
      </c>
      <c r="Z13" s="14">
        <v>0</v>
      </c>
      <c r="AA13" s="14">
        <v>0</v>
      </c>
      <c r="AB13" s="4">
        <v>47</v>
      </c>
      <c r="AC13" s="4">
        <v>46.07</v>
      </c>
      <c r="AD13" s="20">
        <v>136813.28</v>
      </c>
      <c r="AE13" s="20">
        <v>206.43</v>
      </c>
      <c r="AF13" s="20">
        <v>99</v>
      </c>
      <c r="AG13" s="20">
        <v>510.56</v>
      </c>
      <c r="AH13" s="20">
        <v>26695</v>
      </c>
      <c r="AI13" s="20">
        <v>12005.01</v>
      </c>
      <c r="AJ13" s="21">
        <v>176329.28</v>
      </c>
      <c r="AK13" s="19">
        <v>0</v>
      </c>
      <c r="AL13" s="19">
        <v>0</v>
      </c>
      <c r="AM13" s="22">
        <v>0</v>
      </c>
      <c r="AN13" s="22">
        <v>176329.28</v>
      </c>
      <c r="AO13" s="3" t="s">
        <v>77</v>
      </c>
    </row>
    <row r="14" spans="1:41" ht="210">
      <c r="A14" s="3" t="s">
        <v>62</v>
      </c>
      <c r="B14" s="3" t="s">
        <v>63</v>
      </c>
      <c r="C14" s="3" t="s">
        <v>48</v>
      </c>
      <c r="D14" s="12">
        <v>0</v>
      </c>
      <c r="E14" s="12">
        <v>0</v>
      </c>
      <c r="F14" s="12">
        <v>0</v>
      </c>
      <c r="G14" s="12">
        <v>0</v>
      </c>
      <c r="H14" s="12">
        <v>0</v>
      </c>
      <c r="I14" s="12">
        <v>0</v>
      </c>
      <c r="J14" s="12">
        <v>0</v>
      </c>
      <c r="K14" s="12">
        <v>0</v>
      </c>
      <c r="L14" s="12">
        <v>0</v>
      </c>
      <c r="M14" s="12">
        <v>0</v>
      </c>
      <c r="N14" s="12">
        <v>78</v>
      </c>
      <c r="O14" s="12">
        <v>72.03</v>
      </c>
      <c r="P14" s="13">
        <v>78</v>
      </c>
      <c r="Q14" s="13">
        <v>72.03</v>
      </c>
      <c r="R14" s="12">
        <v>2</v>
      </c>
      <c r="S14" s="12">
        <v>2</v>
      </c>
      <c r="T14" s="12">
        <v>0</v>
      </c>
      <c r="U14" s="12">
        <v>0</v>
      </c>
      <c r="V14" s="12">
        <v>0</v>
      </c>
      <c r="W14" s="12">
        <v>0</v>
      </c>
      <c r="X14" s="12">
        <v>0</v>
      </c>
      <c r="Y14" s="12">
        <v>0</v>
      </c>
      <c r="Z14" s="14">
        <v>2</v>
      </c>
      <c r="AA14" s="14">
        <v>2</v>
      </c>
      <c r="AB14" s="4">
        <v>80</v>
      </c>
      <c r="AC14" s="4">
        <v>74.03</v>
      </c>
      <c r="AD14" s="20">
        <v>203333</v>
      </c>
      <c r="AE14" s="20">
        <v>33</v>
      </c>
      <c r="AF14" s="20">
        <v>0</v>
      </c>
      <c r="AG14" s="20">
        <v>589</v>
      </c>
      <c r="AH14" s="20">
        <v>38878</v>
      </c>
      <c r="AI14" s="20">
        <v>16383</v>
      </c>
      <c r="AJ14" s="21">
        <v>259216</v>
      </c>
      <c r="AK14" s="19">
        <v>5147</v>
      </c>
      <c r="AL14" s="19">
        <v>0</v>
      </c>
      <c r="AM14" s="22">
        <v>5147</v>
      </c>
      <c r="AN14" s="22">
        <v>264363</v>
      </c>
      <c r="AO14" s="3" t="s">
        <v>64</v>
      </c>
    </row>
    <row r="15" spans="1:41" ht="45">
      <c r="A15" s="3" t="s">
        <v>66</v>
      </c>
      <c r="B15" s="3" t="s">
        <v>63</v>
      </c>
      <c r="C15" s="3" t="s">
        <v>48</v>
      </c>
      <c r="D15" s="12">
        <v>0</v>
      </c>
      <c r="E15" s="12">
        <v>0</v>
      </c>
      <c r="F15" s="12">
        <v>0</v>
      </c>
      <c r="G15" s="12">
        <v>0</v>
      </c>
      <c r="H15" s="12">
        <v>0</v>
      </c>
      <c r="I15" s="12">
        <v>0</v>
      </c>
      <c r="J15" s="12">
        <v>0</v>
      </c>
      <c r="K15" s="12">
        <v>0</v>
      </c>
      <c r="L15" s="12">
        <v>0</v>
      </c>
      <c r="M15" s="12">
        <v>0</v>
      </c>
      <c r="N15" s="12">
        <v>350</v>
      </c>
      <c r="O15" s="12">
        <v>326.99</v>
      </c>
      <c r="P15" s="13">
        <v>350</v>
      </c>
      <c r="Q15" s="13">
        <v>326.99</v>
      </c>
      <c r="R15" s="12">
        <v>4</v>
      </c>
      <c r="S15" s="12">
        <v>3.54</v>
      </c>
      <c r="T15" s="12">
        <v>0</v>
      </c>
      <c r="U15" s="12">
        <v>0</v>
      </c>
      <c r="V15" s="12">
        <v>0</v>
      </c>
      <c r="W15" s="12">
        <v>0</v>
      </c>
      <c r="X15" s="12">
        <v>0</v>
      </c>
      <c r="Y15" s="12">
        <v>0</v>
      </c>
      <c r="Z15" s="14">
        <v>4</v>
      </c>
      <c r="AA15" s="14">
        <v>3.54</v>
      </c>
      <c r="AB15" s="4">
        <v>354</v>
      </c>
      <c r="AC15" s="4">
        <v>330.53</v>
      </c>
      <c r="AD15" s="20">
        <v>735020</v>
      </c>
      <c r="AE15" s="20">
        <v>1355</v>
      </c>
      <c r="AF15" s="20">
        <v>394</v>
      </c>
      <c r="AG15" s="20">
        <v>7612</v>
      </c>
      <c r="AH15" s="20">
        <v>131396</v>
      </c>
      <c r="AI15" s="20">
        <v>48537</v>
      </c>
      <c r="AJ15" s="21">
        <v>924314</v>
      </c>
      <c r="AK15" s="19">
        <v>9250</v>
      </c>
      <c r="AL15" s="19">
        <v>0</v>
      </c>
      <c r="AM15" s="22">
        <v>9250</v>
      </c>
      <c r="AN15" s="22">
        <v>933564</v>
      </c>
      <c r="AO15" s="3"/>
    </row>
    <row r="16" spans="1:41" ht="45">
      <c r="A16" s="3" t="s">
        <v>67</v>
      </c>
      <c r="B16" s="3" t="s">
        <v>63</v>
      </c>
      <c r="C16" s="3" t="s">
        <v>48</v>
      </c>
      <c r="D16" s="12">
        <v>12</v>
      </c>
      <c r="E16" s="12">
        <v>12</v>
      </c>
      <c r="F16" s="12">
        <v>18</v>
      </c>
      <c r="G16" s="12">
        <v>17.2</v>
      </c>
      <c r="H16" s="12">
        <v>28</v>
      </c>
      <c r="I16" s="12">
        <v>27.6</v>
      </c>
      <c r="J16" s="12">
        <v>15</v>
      </c>
      <c r="K16" s="12">
        <v>14.4</v>
      </c>
      <c r="L16" s="12">
        <v>4</v>
      </c>
      <c r="M16" s="12">
        <v>4</v>
      </c>
      <c r="N16" s="12">
        <v>1</v>
      </c>
      <c r="O16" s="12">
        <v>0.6</v>
      </c>
      <c r="P16" s="13">
        <v>78</v>
      </c>
      <c r="Q16" s="13">
        <v>75.8</v>
      </c>
      <c r="R16" s="12">
        <v>0</v>
      </c>
      <c r="S16" s="12">
        <v>0</v>
      </c>
      <c r="T16" s="12">
        <v>0</v>
      </c>
      <c r="U16" s="12">
        <v>0</v>
      </c>
      <c r="V16" s="12">
        <v>0</v>
      </c>
      <c r="W16" s="12">
        <v>0</v>
      </c>
      <c r="X16" s="12">
        <v>0</v>
      </c>
      <c r="Y16" s="12">
        <v>0</v>
      </c>
      <c r="Z16" s="14">
        <v>0</v>
      </c>
      <c r="AA16" s="14">
        <v>0</v>
      </c>
      <c r="AB16" s="4">
        <v>78</v>
      </c>
      <c r="AC16" s="4">
        <v>75.8</v>
      </c>
      <c r="AD16" s="20">
        <v>228185</v>
      </c>
      <c r="AE16" s="20">
        <v>1930</v>
      </c>
      <c r="AF16" s="20">
        <v>0</v>
      </c>
      <c r="AG16" s="20">
        <v>0</v>
      </c>
      <c r="AH16" s="20">
        <v>42120</v>
      </c>
      <c r="AI16" s="20">
        <v>17979</v>
      </c>
      <c r="AJ16" s="21">
        <v>290214</v>
      </c>
      <c r="AK16" s="19">
        <v>0</v>
      </c>
      <c r="AL16" s="19">
        <v>0</v>
      </c>
      <c r="AM16" s="22">
        <v>0</v>
      </c>
      <c r="AN16" s="22">
        <v>290214</v>
      </c>
      <c r="AO16" s="3"/>
    </row>
    <row r="17" spans="1:41" ht="45">
      <c r="A17" s="3" t="s">
        <v>68</v>
      </c>
      <c r="B17" s="3" t="s">
        <v>63</v>
      </c>
      <c r="C17" s="3" t="s">
        <v>48</v>
      </c>
      <c r="D17" s="12">
        <v>0</v>
      </c>
      <c r="E17" s="12">
        <v>0</v>
      </c>
      <c r="F17" s="12">
        <v>0</v>
      </c>
      <c r="G17" s="12">
        <v>0</v>
      </c>
      <c r="H17" s="12">
        <v>0</v>
      </c>
      <c r="I17" s="12">
        <v>0</v>
      </c>
      <c r="J17" s="12">
        <v>0</v>
      </c>
      <c r="K17" s="12">
        <v>0</v>
      </c>
      <c r="L17" s="12">
        <v>0</v>
      </c>
      <c r="M17" s="12">
        <v>0</v>
      </c>
      <c r="N17" s="12">
        <v>33</v>
      </c>
      <c r="O17" s="12">
        <v>32.7</v>
      </c>
      <c r="P17" s="13">
        <v>33</v>
      </c>
      <c r="Q17" s="13">
        <v>32.7</v>
      </c>
      <c r="R17" s="12">
        <v>0</v>
      </c>
      <c r="S17" s="12">
        <v>0</v>
      </c>
      <c r="T17" s="12">
        <v>0</v>
      </c>
      <c r="U17" s="12">
        <v>0</v>
      </c>
      <c r="V17" s="12">
        <v>0</v>
      </c>
      <c r="W17" s="12">
        <v>0</v>
      </c>
      <c r="X17" s="12">
        <v>0</v>
      </c>
      <c r="Y17" s="12">
        <v>0</v>
      </c>
      <c r="Z17" s="14">
        <v>0</v>
      </c>
      <c r="AA17" s="14">
        <v>0</v>
      </c>
      <c r="AB17" s="4">
        <v>33</v>
      </c>
      <c r="AC17" s="4">
        <v>32.7</v>
      </c>
      <c r="AD17" s="20">
        <v>154977</v>
      </c>
      <c r="AE17" s="20">
        <v>0</v>
      </c>
      <c r="AF17" s="20">
        <v>0</v>
      </c>
      <c r="AG17" s="20">
        <v>0</v>
      </c>
      <c r="AH17" s="20">
        <v>31427</v>
      </c>
      <c r="AI17" s="20">
        <v>18704</v>
      </c>
      <c r="AJ17" s="21">
        <v>205108</v>
      </c>
      <c r="AK17" s="19">
        <v>0</v>
      </c>
      <c r="AL17" s="19">
        <v>0</v>
      </c>
      <c r="AM17" s="22">
        <v>0</v>
      </c>
      <c r="AN17" s="22">
        <v>205108</v>
      </c>
      <c r="AO17" s="3"/>
    </row>
    <row r="18" spans="1:41" ht="45">
      <c r="A18" s="3" t="s">
        <v>70</v>
      </c>
      <c r="B18" s="3" t="s">
        <v>63</v>
      </c>
      <c r="C18" s="3" t="s">
        <v>48</v>
      </c>
      <c r="D18" s="12">
        <v>655</v>
      </c>
      <c r="E18" s="12">
        <v>613.3</v>
      </c>
      <c r="F18" s="12">
        <v>256</v>
      </c>
      <c r="G18" s="12">
        <v>245.1</v>
      </c>
      <c r="H18" s="12">
        <v>397</v>
      </c>
      <c r="I18" s="12">
        <v>381.8</v>
      </c>
      <c r="J18" s="12">
        <v>96</v>
      </c>
      <c r="K18" s="12">
        <v>94.4</v>
      </c>
      <c r="L18" s="12">
        <v>18</v>
      </c>
      <c r="M18" s="12">
        <v>13.1</v>
      </c>
      <c r="N18" s="12">
        <v>1</v>
      </c>
      <c r="O18" s="12">
        <v>0.7</v>
      </c>
      <c r="P18" s="13">
        <v>1423</v>
      </c>
      <c r="Q18" s="13">
        <v>1348.4</v>
      </c>
      <c r="R18" s="12">
        <v>91</v>
      </c>
      <c r="S18" s="12">
        <v>87.98</v>
      </c>
      <c r="T18" s="12">
        <v>0</v>
      </c>
      <c r="U18" s="12">
        <v>0</v>
      </c>
      <c r="V18" s="12">
        <v>5</v>
      </c>
      <c r="W18" s="12">
        <v>4</v>
      </c>
      <c r="X18" s="12">
        <v>0</v>
      </c>
      <c r="Y18" s="12">
        <v>0</v>
      </c>
      <c r="Z18" s="14">
        <v>96</v>
      </c>
      <c r="AA18" s="14">
        <v>91.98</v>
      </c>
      <c r="AB18" s="4">
        <v>1519</v>
      </c>
      <c r="AC18" s="4">
        <v>1440.38</v>
      </c>
      <c r="AD18" s="20">
        <v>3222868</v>
      </c>
      <c r="AE18" s="20">
        <v>0</v>
      </c>
      <c r="AF18" s="20">
        <v>0</v>
      </c>
      <c r="AG18" s="20">
        <v>115102</v>
      </c>
      <c r="AH18" s="20">
        <v>0</v>
      </c>
      <c r="AI18" s="20">
        <v>294109</v>
      </c>
      <c r="AJ18" s="21">
        <v>3632079</v>
      </c>
      <c r="AK18" s="19">
        <v>9001</v>
      </c>
      <c r="AL18" s="19">
        <v>0</v>
      </c>
      <c r="AM18" s="22">
        <v>9001</v>
      </c>
      <c r="AN18" s="22">
        <v>3641080</v>
      </c>
      <c r="AO18" s="3"/>
    </row>
    <row r="19" spans="1:41" ht="45">
      <c r="A19" s="3" t="s">
        <v>71</v>
      </c>
      <c r="B19" s="3" t="s">
        <v>63</v>
      </c>
      <c r="C19" s="3" t="s">
        <v>48</v>
      </c>
      <c r="D19" s="12">
        <v>20</v>
      </c>
      <c r="E19" s="12">
        <v>19.6</v>
      </c>
      <c r="F19" s="12">
        <v>47</v>
      </c>
      <c r="G19" s="12">
        <v>45.8</v>
      </c>
      <c r="H19" s="12">
        <v>16</v>
      </c>
      <c r="I19" s="12">
        <v>15.6</v>
      </c>
      <c r="J19" s="12">
        <v>6</v>
      </c>
      <c r="K19" s="12">
        <v>6</v>
      </c>
      <c r="L19" s="12">
        <v>1</v>
      </c>
      <c r="M19" s="12">
        <v>1</v>
      </c>
      <c r="N19" s="12">
        <v>1</v>
      </c>
      <c r="O19" s="12">
        <v>0.4</v>
      </c>
      <c r="P19" s="13">
        <v>91</v>
      </c>
      <c r="Q19" s="13">
        <v>88.4</v>
      </c>
      <c r="R19" s="12">
        <v>2</v>
      </c>
      <c r="S19" s="12">
        <v>2</v>
      </c>
      <c r="T19" s="12">
        <v>0</v>
      </c>
      <c r="U19" s="12">
        <v>0</v>
      </c>
      <c r="V19" s="12">
        <v>0</v>
      </c>
      <c r="W19" s="12">
        <v>0</v>
      </c>
      <c r="X19" s="12">
        <v>0</v>
      </c>
      <c r="Y19" s="12">
        <v>0</v>
      </c>
      <c r="Z19" s="14">
        <v>2</v>
      </c>
      <c r="AA19" s="14">
        <v>2</v>
      </c>
      <c r="AB19" s="4">
        <v>93</v>
      </c>
      <c r="AC19" s="4">
        <v>90.4</v>
      </c>
      <c r="AD19" s="20">
        <v>189805.8</v>
      </c>
      <c r="AE19" s="20">
        <v>20313.23</v>
      </c>
      <c r="AF19" s="20">
        <v>0</v>
      </c>
      <c r="AG19" s="20">
        <v>7295.66</v>
      </c>
      <c r="AH19" s="20">
        <v>36647.29</v>
      </c>
      <c r="AI19" s="20">
        <v>17800.01</v>
      </c>
      <c r="AJ19" s="21">
        <v>271861.99</v>
      </c>
      <c r="AK19" s="19">
        <v>24254.99</v>
      </c>
      <c r="AL19" s="19">
        <v>0</v>
      </c>
      <c r="AM19" s="22">
        <v>24254.99</v>
      </c>
      <c r="AN19" s="22">
        <v>296116.98</v>
      </c>
      <c r="AO19" s="3"/>
    </row>
    <row r="20" spans="1:41" ht="210">
      <c r="A20" s="3" t="s">
        <v>72</v>
      </c>
      <c r="B20" s="3" t="s">
        <v>63</v>
      </c>
      <c r="C20" s="3" t="s">
        <v>48</v>
      </c>
      <c r="D20" s="12">
        <v>0</v>
      </c>
      <c r="E20" s="12">
        <v>0</v>
      </c>
      <c r="F20" s="12">
        <v>0</v>
      </c>
      <c r="G20" s="12">
        <v>0</v>
      </c>
      <c r="H20" s="12">
        <v>0</v>
      </c>
      <c r="I20" s="12">
        <v>0</v>
      </c>
      <c r="J20" s="12">
        <v>0</v>
      </c>
      <c r="K20" s="12">
        <v>0</v>
      </c>
      <c r="L20" s="12">
        <v>0</v>
      </c>
      <c r="M20" s="12">
        <v>0</v>
      </c>
      <c r="N20" s="12">
        <v>20048</v>
      </c>
      <c r="O20" s="12">
        <v>18178</v>
      </c>
      <c r="P20" s="13">
        <v>20048</v>
      </c>
      <c r="Q20" s="13">
        <v>18178</v>
      </c>
      <c r="R20" s="12">
        <v>1584</v>
      </c>
      <c r="S20" s="12">
        <v>1584</v>
      </c>
      <c r="T20" s="12">
        <v>11</v>
      </c>
      <c r="U20" s="12">
        <v>11</v>
      </c>
      <c r="V20" s="12">
        <v>0</v>
      </c>
      <c r="W20" s="12">
        <v>0</v>
      </c>
      <c r="X20" s="12">
        <v>0</v>
      </c>
      <c r="Y20" s="12">
        <v>0</v>
      </c>
      <c r="Z20" s="14">
        <v>1595</v>
      </c>
      <c r="AA20" s="14">
        <v>1595</v>
      </c>
      <c r="AB20" s="4">
        <v>21643</v>
      </c>
      <c r="AC20" s="4">
        <v>19773</v>
      </c>
      <c r="AD20" s="23" t="s">
        <v>90</v>
      </c>
      <c r="AE20" s="23" t="s">
        <v>90</v>
      </c>
      <c r="AF20" s="23" t="s">
        <v>90</v>
      </c>
      <c r="AG20" s="23" t="s">
        <v>90</v>
      </c>
      <c r="AH20" s="23" t="s">
        <v>90</v>
      </c>
      <c r="AI20" s="23" t="s">
        <v>90</v>
      </c>
      <c r="AJ20" s="23" t="s">
        <v>90</v>
      </c>
      <c r="AK20" s="23" t="s">
        <v>90</v>
      </c>
      <c r="AL20" s="23" t="s">
        <v>90</v>
      </c>
      <c r="AM20" s="23" t="s">
        <v>90</v>
      </c>
      <c r="AN20" s="23" t="s">
        <v>90</v>
      </c>
      <c r="AO20" s="3" t="s">
        <v>78</v>
      </c>
    </row>
    <row r="21" spans="1:41" ht="45">
      <c r="A21" s="3" t="s">
        <v>74</v>
      </c>
      <c r="B21" s="3" t="s">
        <v>63</v>
      </c>
      <c r="C21" s="3" t="s">
        <v>48</v>
      </c>
      <c r="D21" s="12">
        <v>23</v>
      </c>
      <c r="E21" s="12">
        <v>20.78</v>
      </c>
      <c r="F21" s="12">
        <v>41</v>
      </c>
      <c r="G21" s="12">
        <v>39.93</v>
      </c>
      <c r="H21" s="12">
        <v>112</v>
      </c>
      <c r="I21" s="12">
        <v>109.94</v>
      </c>
      <c r="J21" s="12">
        <v>37</v>
      </c>
      <c r="K21" s="12">
        <v>36.1</v>
      </c>
      <c r="L21" s="12">
        <v>5</v>
      </c>
      <c r="M21" s="12">
        <v>4.6</v>
      </c>
      <c r="N21" s="12">
        <v>9</v>
      </c>
      <c r="O21" s="12">
        <v>9</v>
      </c>
      <c r="P21" s="13">
        <v>227</v>
      </c>
      <c r="Q21" s="13">
        <v>220.35</v>
      </c>
      <c r="R21" s="12">
        <v>6</v>
      </c>
      <c r="S21" s="12">
        <v>6</v>
      </c>
      <c r="T21" s="12">
        <v>0</v>
      </c>
      <c r="U21" s="12">
        <v>0</v>
      </c>
      <c r="V21" s="12">
        <v>16</v>
      </c>
      <c r="W21" s="12">
        <v>15.8</v>
      </c>
      <c r="X21" s="12">
        <v>0</v>
      </c>
      <c r="Y21" s="12">
        <v>0</v>
      </c>
      <c r="Z21" s="14">
        <v>22</v>
      </c>
      <c r="AA21" s="14">
        <v>21.8</v>
      </c>
      <c r="AB21" s="4">
        <v>249</v>
      </c>
      <c r="AC21" s="4">
        <v>242.15</v>
      </c>
      <c r="AD21" s="20">
        <v>1207137.18</v>
      </c>
      <c r="AE21" s="20">
        <v>24744</v>
      </c>
      <c r="AF21" s="20">
        <v>168</v>
      </c>
      <c r="AG21" s="20">
        <v>4320</v>
      </c>
      <c r="AH21" s="20">
        <v>122606.34</v>
      </c>
      <c r="AI21" s="20">
        <v>57866.36</v>
      </c>
      <c r="AJ21" s="21">
        <v>1416841.88</v>
      </c>
      <c r="AK21" s="19">
        <v>84409.21</v>
      </c>
      <c r="AL21" s="19">
        <v>0</v>
      </c>
      <c r="AM21" s="22">
        <v>84409.21</v>
      </c>
      <c r="AN21" s="22">
        <v>1501251.09</v>
      </c>
      <c r="AO21" s="3"/>
    </row>
    <row r="22" spans="1:41" ht="15">
      <c r="A22" s="3" t="s">
        <v>75</v>
      </c>
      <c r="B22" s="3"/>
      <c r="C22" s="3"/>
      <c r="D22" s="12">
        <v>54194</v>
      </c>
      <c r="E22" s="12">
        <v>50622.01</v>
      </c>
      <c r="F22" s="12">
        <v>15575</v>
      </c>
      <c r="G22" s="12">
        <v>14622.12</v>
      </c>
      <c r="H22" s="12">
        <v>11143</v>
      </c>
      <c r="I22" s="12">
        <v>10508.23</v>
      </c>
      <c r="J22" s="12">
        <v>2769</v>
      </c>
      <c r="K22" s="12">
        <v>2684.65</v>
      </c>
      <c r="L22" s="12">
        <v>286</v>
      </c>
      <c r="M22" s="12">
        <v>276.36</v>
      </c>
      <c r="N22" s="12">
        <v>20521</v>
      </c>
      <c r="O22" s="12">
        <v>18620.42</v>
      </c>
      <c r="P22" s="13">
        <v>104488</v>
      </c>
      <c r="Q22" s="13">
        <v>97333.79</v>
      </c>
      <c r="R22" s="12">
        <v>2410</v>
      </c>
      <c r="S22" s="12">
        <v>2596.77</v>
      </c>
      <c r="T22" s="12">
        <v>37</v>
      </c>
      <c r="U22" s="12">
        <v>36</v>
      </c>
      <c r="V22" s="12">
        <v>150</v>
      </c>
      <c r="W22" s="12">
        <v>148.8</v>
      </c>
      <c r="X22" s="12">
        <v>0</v>
      </c>
      <c r="Y22" s="12">
        <v>0</v>
      </c>
      <c r="Z22" s="14">
        <v>2597</v>
      </c>
      <c r="AA22" s="14">
        <v>2781.57</v>
      </c>
      <c r="AB22" s="4">
        <v>107085</v>
      </c>
      <c r="AC22" s="4">
        <v>100115.36</v>
      </c>
      <c r="AD22" s="20">
        <v>174265334.69000003</v>
      </c>
      <c r="AE22" s="20">
        <v>894794.43</v>
      </c>
      <c r="AF22" s="20">
        <v>-123294.73899999999</v>
      </c>
      <c r="AG22" s="20">
        <v>1054431.8</v>
      </c>
      <c r="AH22" s="20">
        <v>31865033.390000004</v>
      </c>
      <c r="AI22" s="20">
        <v>13714467.639999997</v>
      </c>
      <c r="AJ22" s="21">
        <f>SUM(AJ7:AJ21)</f>
        <v>220687068.01433334</v>
      </c>
      <c r="AK22" s="19">
        <v>3882487.76</v>
      </c>
      <c r="AL22" s="19">
        <v>-883968.93</v>
      </c>
      <c r="AM22" s="22">
        <v>2998518.83</v>
      </c>
      <c r="AN22" s="22">
        <f>SUM(AN7:AN21)</f>
        <v>223685586.84433332</v>
      </c>
      <c r="AO22" s="3"/>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row r="101" spans="1:41" ht="15">
      <c r="A101" s="3"/>
      <c r="B101" s="3"/>
      <c r="C101" s="3"/>
      <c r="D101" s="12"/>
      <c r="E101" s="12"/>
      <c r="F101" s="12"/>
      <c r="G101" s="12"/>
      <c r="H101" s="12"/>
      <c r="I101" s="12"/>
      <c r="J101" s="12"/>
      <c r="K101" s="12"/>
      <c r="L101" s="12"/>
      <c r="M101" s="12"/>
      <c r="N101" s="12"/>
      <c r="O101" s="12"/>
      <c r="P101" s="13"/>
      <c r="Q101" s="13"/>
      <c r="R101" s="12"/>
      <c r="S101" s="12"/>
      <c r="T101" s="12"/>
      <c r="U101" s="12"/>
      <c r="V101" s="12"/>
      <c r="W101" s="12"/>
      <c r="X101" s="12"/>
      <c r="Y101" s="12"/>
      <c r="Z101" s="14"/>
      <c r="AA101" s="14"/>
      <c r="AB101" s="4"/>
      <c r="AC101" s="4"/>
      <c r="AD101" s="6"/>
      <c r="AE101" s="6"/>
      <c r="AF101" s="6"/>
      <c r="AG101" s="6"/>
      <c r="AH101" s="6"/>
      <c r="AI101" s="6"/>
      <c r="AJ101" s="7"/>
      <c r="AK101" s="5"/>
      <c r="AL101" s="5"/>
      <c r="AM101" s="8"/>
      <c r="AN101" s="8"/>
      <c r="AO101" s="9"/>
    </row>
    <row r="102" spans="1:41" ht="15">
      <c r="A102" s="3"/>
      <c r="B102" s="3"/>
      <c r="C102" s="3"/>
      <c r="D102" s="12"/>
      <c r="E102" s="12"/>
      <c r="F102" s="12"/>
      <c r="G102" s="12"/>
      <c r="H102" s="12"/>
      <c r="I102" s="12"/>
      <c r="J102" s="12"/>
      <c r="K102" s="12"/>
      <c r="L102" s="12"/>
      <c r="M102" s="12"/>
      <c r="N102" s="12"/>
      <c r="O102" s="12"/>
      <c r="P102" s="13"/>
      <c r="Q102" s="13"/>
      <c r="R102" s="12"/>
      <c r="S102" s="12"/>
      <c r="T102" s="12"/>
      <c r="U102" s="12"/>
      <c r="V102" s="12"/>
      <c r="W102" s="12"/>
      <c r="X102" s="12"/>
      <c r="Y102" s="12"/>
      <c r="Z102" s="14"/>
      <c r="AA102" s="14"/>
      <c r="AB102" s="4"/>
      <c r="AC102" s="4"/>
      <c r="AD102" s="6"/>
      <c r="AE102" s="6"/>
      <c r="AF102" s="6"/>
      <c r="AG102" s="6"/>
      <c r="AH102" s="6"/>
      <c r="AI102" s="6"/>
      <c r="AJ102" s="7"/>
      <c r="AK102" s="5"/>
      <c r="AL102" s="5"/>
      <c r="AM102" s="8"/>
      <c r="AN102" s="8"/>
      <c r="AO102" s="9"/>
    </row>
    <row r="103" spans="1:41" ht="15">
      <c r="A103" s="3"/>
      <c r="B103" s="3"/>
      <c r="C103" s="3"/>
      <c r="D103" s="12"/>
      <c r="E103" s="12"/>
      <c r="F103" s="12"/>
      <c r="G103" s="12"/>
      <c r="H103" s="12"/>
      <c r="I103" s="12"/>
      <c r="J103" s="12"/>
      <c r="K103" s="12"/>
      <c r="L103" s="12"/>
      <c r="M103" s="12"/>
      <c r="N103" s="12"/>
      <c r="O103" s="12"/>
      <c r="P103" s="13"/>
      <c r="Q103" s="13"/>
      <c r="R103" s="12"/>
      <c r="S103" s="12"/>
      <c r="T103" s="12"/>
      <c r="U103" s="12"/>
      <c r="V103" s="12"/>
      <c r="W103" s="12"/>
      <c r="X103" s="12"/>
      <c r="Y103" s="12"/>
      <c r="Z103" s="14"/>
      <c r="AA103" s="14"/>
      <c r="AB103" s="4"/>
      <c r="AC103" s="4"/>
      <c r="AD103" s="6"/>
      <c r="AE103" s="6"/>
      <c r="AF103" s="6"/>
      <c r="AG103" s="6"/>
      <c r="AH103" s="6"/>
      <c r="AI103" s="6"/>
      <c r="AJ103" s="7"/>
      <c r="AK103" s="5"/>
      <c r="AL103" s="5"/>
      <c r="AM103" s="8"/>
      <c r="AN103" s="8"/>
      <c r="AO103" s="9"/>
    </row>
  </sheetData>
  <mergeCells count="32">
    <mergeCell ref="AJ5:AJ6"/>
    <mergeCell ref="AK5:AK6"/>
    <mergeCell ref="AL5:AL6"/>
    <mergeCell ref="AM5:AM6"/>
    <mergeCell ref="AF5:AF6"/>
    <mergeCell ref="AG5:AG6"/>
    <mergeCell ref="AH5:AH6"/>
    <mergeCell ref="AI5:AI6"/>
    <mergeCell ref="AN4:AN6"/>
    <mergeCell ref="AO4:AO6"/>
    <mergeCell ref="D5:E5"/>
    <mergeCell ref="F5:G5"/>
    <mergeCell ref="H5:I5"/>
    <mergeCell ref="J5:K5"/>
    <mergeCell ref="L5:M5"/>
    <mergeCell ref="N5:O5"/>
    <mergeCell ref="P5:Q5"/>
    <mergeCell ref="R5:S5"/>
    <mergeCell ref="R4:AA4"/>
    <mergeCell ref="AB4:AC5"/>
    <mergeCell ref="AD4:AJ4"/>
    <mergeCell ref="AK4:AM4"/>
    <mergeCell ref="T5:U5"/>
    <mergeCell ref="V5:W5"/>
    <mergeCell ref="X5:Y5"/>
    <mergeCell ref="Z5:AA5"/>
    <mergeCell ref="AD5:AD6"/>
    <mergeCell ref="AE5:AE6"/>
    <mergeCell ref="A4:A6"/>
    <mergeCell ref="B4:B6"/>
    <mergeCell ref="C4:C6"/>
    <mergeCell ref="D4:Q4"/>
  </mergeCells>
  <conditionalFormatting sqref="B7:B21 B23:B103">
    <cfRule type="expression" priority="1" dxfId="22" stopIfTrue="1">
      <formula>AND(NOT(ISBLANK($A7)),ISBLANK(B7))</formula>
    </cfRule>
  </conditionalFormatting>
  <conditionalFormatting sqref="C7:C21 C23:C103">
    <cfRule type="expression" priority="2" dxfId="22" stopIfTrue="1">
      <formula>AND(NOT(ISBLANK(A7)),ISBLANK(C7))</formula>
    </cfRule>
  </conditionalFormatting>
  <conditionalFormatting sqref="D7:D103 F7:F103 H7:H103 J7:J103 L7:L103 N7:N103 X7:X103 T7:T103 V7:V103 R7:R103 AD20:AN20">
    <cfRule type="expression" priority="3" dxfId="22" stopIfTrue="1">
      <formula>AND(NOT(ISBLANK(E7)),ISBLANK(D7))</formula>
    </cfRule>
  </conditionalFormatting>
  <conditionalFormatting sqref="E7:E103 G7:G103 I7:I103 K7:K103 M7:M103 O7:O103 S7:S103 U7:U103 W7:W103 Y7:Y103">
    <cfRule type="expression" priority="4" dxfId="22" stopIfTrue="1">
      <formula>AND(NOT(ISBLANK(D7)),ISBLANK(E7))</formula>
    </cfRule>
  </conditionalFormatting>
  <conditionalFormatting sqref="B22">
    <cfRule type="expression" priority="5" dxfId="23" stopIfTrue="1">
      <formula>AND(NOT(ISBLANK($A22)),ISBLANK(B22))</formula>
    </cfRule>
  </conditionalFormatting>
  <conditionalFormatting sqref="C22">
    <cfRule type="expression" priority="6" dxfId="23" stopIfTrue="1">
      <formula>AND(NOT(ISBLANK(A22)),ISBLANK(C22))</formula>
    </cfRule>
  </conditionalFormatting>
  <dataValidations count="4">
    <dataValidation type="decimal" operator="greaterThan" allowBlank="1" showInputMessage="1" showErrorMessage="1" sqref="AK21:AL103 AK7:AL19 AD7:AI19 AD21:AI103">
      <formula1>0</formula1>
    </dataValidation>
    <dataValidation operator="lessThanOrEqual" allowBlank="1" showInputMessage="1" showErrorMessage="1" error="FTE cannot be greater than Headcount&#10;" sqref="AP1:IV65536 R104:AN65536 AO4 AO7:AO65536 R4 A4:C4 P5 A104:O65536 P7:Q65536 AB6:AC103 AB4"/>
    <dataValidation type="custom" allowBlank="1" showInputMessage="1" showErrorMessage="1" errorTitle="Headcount" error="The value entered in the headcount field must be greater than or equal to the value entered in the FTE field." sqref="F7:F103 H7:H103 J7:J103 L7:L103 N7:N103 T7:T103 V7:V103 X7:X103 D7:D103 R7:R103 AD20:AN20">
      <formula1>F7&gt;=G7</formula1>
    </dataValidation>
    <dataValidation type="custom" allowBlank="1" showInputMessage="1" showErrorMessage="1" errorTitle="FTE" error="The value entered in the FTE field must be less than or equal to the value entered in the headcount field." sqref="M7:M103 G7:G103 I7:I103 K7:K103 O7:O103 U7:U103 W7:W103 Y7:Y103 S7:S103 E7:E103">
      <formula1>M7&lt;=L7</formula1>
    </dataValidation>
  </dataValidations>
  <printOptions/>
  <pageMargins left="0.75" right="0.75" top="1" bottom="1" header="0.5" footer="0.5"/>
  <pageSetup orientation="portrait" paperSize="9"/>
  <ignoredErrors>
    <ignoredError sqref="AJ7" formulaRange="1"/>
  </ignoredErrors>
</worksheet>
</file>

<file path=xl/worksheets/sheet31.xml><?xml version="1.0" encoding="utf-8"?>
<worksheet xmlns="http://schemas.openxmlformats.org/spreadsheetml/2006/main" xmlns:r="http://schemas.openxmlformats.org/officeDocument/2006/relationships">
  <dimension ref="A1:AO103"/>
  <sheetViews>
    <sheetView zoomScale="70" zoomScaleNormal="70" zoomScalePageLayoutView="0" workbookViewId="0" topLeftCell="A1">
      <selection activeCell="K19" sqref="K19"/>
    </sheetView>
  </sheetViews>
  <sheetFormatPr defaultColWidth="8.88671875" defaultRowHeight="15"/>
  <cols>
    <col min="1" max="1" width="23.5546875" style="2" customWidth="1"/>
    <col min="2" max="3" width="14.99609375" style="2" customWidth="1"/>
    <col min="4"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ht="15">
      <c r="A1" s="2" t="s">
        <v>92</v>
      </c>
    </row>
    <row r="2" ht="15">
      <c r="A2" s="24" t="s">
        <v>93</v>
      </c>
    </row>
    <row r="3" ht="15">
      <c r="A3" s="24" t="s">
        <v>94</v>
      </c>
    </row>
    <row r="4" spans="1:41" s="1" customFormat="1" ht="15" customHeight="1">
      <c r="A4" s="387" t="s">
        <v>26</v>
      </c>
      <c r="B4" s="387" t="s">
        <v>15</v>
      </c>
      <c r="C4" s="387" t="s">
        <v>14</v>
      </c>
      <c r="D4" s="390" t="s">
        <v>22</v>
      </c>
      <c r="E4" s="391"/>
      <c r="F4" s="391"/>
      <c r="G4" s="391"/>
      <c r="H4" s="391"/>
      <c r="I4" s="391"/>
      <c r="J4" s="391"/>
      <c r="K4" s="391"/>
      <c r="L4" s="391"/>
      <c r="M4" s="391"/>
      <c r="N4" s="391"/>
      <c r="O4" s="391"/>
      <c r="P4" s="391"/>
      <c r="Q4" s="392"/>
      <c r="R4" s="393" t="s">
        <v>29</v>
      </c>
      <c r="S4" s="394"/>
      <c r="T4" s="394"/>
      <c r="U4" s="394"/>
      <c r="V4" s="394"/>
      <c r="W4" s="394"/>
      <c r="X4" s="394"/>
      <c r="Y4" s="394"/>
      <c r="Z4" s="394"/>
      <c r="AA4" s="395"/>
      <c r="AB4" s="396" t="s">
        <v>39</v>
      </c>
      <c r="AC4" s="397"/>
      <c r="AD4" s="400" t="s">
        <v>25</v>
      </c>
      <c r="AE4" s="401"/>
      <c r="AF4" s="401"/>
      <c r="AG4" s="401"/>
      <c r="AH4" s="401"/>
      <c r="AI4" s="401"/>
      <c r="AJ4" s="402"/>
      <c r="AK4" s="385" t="s">
        <v>46</v>
      </c>
      <c r="AL4" s="385"/>
      <c r="AM4" s="385"/>
      <c r="AN4" s="404" t="s">
        <v>38</v>
      </c>
      <c r="AO4" s="387" t="s">
        <v>47</v>
      </c>
    </row>
    <row r="5" spans="1:41" s="1" customFormat="1" ht="53.25" customHeight="1">
      <c r="A5" s="388"/>
      <c r="B5" s="388"/>
      <c r="C5" s="388"/>
      <c r="D5" s="408" t="s">
        <v>42</v>
      </c>
      <c r="E5" s="409"/>
      <c r="F5" s="408" t="s">
        <v>43</v>
      </c>
      <c r="G5" s="409"/>
      <c r="H5" s="408" t="s">
        <v>44</v>
      </c>
      <c r="I5" s="409"/>
      <c r="J5" s="408" t="s">
        <v>20</v>
      </c>
      <c r="K5" s="409"/>
      <c r="L5" s="408" t="s">
        <v>45</v>
      </c>
      <c r="M5" s="409"/>
      <c r="N5" s="408" t="s">
        <v>19</v>
      </c>
      <c r="O5" s="409"/>
      <c r="P5" s="390" t="s">
        <v>23</v>
      </c>
      <c r="Q5" s="392"/>
      <c r="R5" s="390" t="s">
        <v>27</v>
      </c>
      <c r="S5" s="395"/>
      <c r="T5" s="393" t="s">
        <v>17</v>
      </c>
      <c r="U5" s="395"/>
      <c r="V5" s="393" t="s">
        <v>18</v>
      </c>
      <c r="W5" s="395"/>
      <c r="X5" s="393" t="s">
        <v>28</v>
      </c>
      <c r="Y5" s="395"/>
      <c r="Z5" s="390" t="s">
        <v>24</v>
      </c>
      <c r="AA5" s="392"/>
      <c r="AB5" s="398"/>
      <c r="AC5" s="399"/>
      <c r="AD5" s="387" t="s">
        <v>31</v>
      </c>
      <c r="AE5" s="387" t="s">
        <v>30</v>
      </c>
      <c r="AF5" s="387" t="s">
        <v>32</v>
      </c>
      <c r="AG5" s="387" t="s">
        <v>33</v>
      </c>
      <c r="AH5" s="387" t="s">
        <v>34</v>
      </c>
      <c r="AI5" s="387" t="s">
        <v>35</v>
      </c>
      <c r="AJ5" s="383" t="s">
        <v>37</v>
      </c>
      <c r="AK5" s="387" t="s">
        <v>40</v>
      </c>
      <c r="AL5" s="387" t="s">
        <v>41</v>
      </c>
      <c r="AM5" s="387" t="s">
        <v>36</v>
      </c>
      <c r="AN5" s="405"/>
      <c r="AO5" s="407"/>
    </row>
    <row r="6" spans="1:41" ht="57.75" customHeight="1">
      <c r="A6" s="389"/>
      <c r="B6" s="389"/>
      <c r="C6" s="389"/>
      <c r="D6" s="10" t="s">
        <v>16</v>
      </c>
      <c r="E6" s="10" t="s">
        <v>21</v>
      </c>
      <c r="F6" s="10" t="s">
        <v>16</v>
      </c>
      <c r="G6" s="10" t="s">
        <v>21</v>
      </c>
      <c r="H6" s="10" t="s">
        <v>16</v>
      </c>
      <c r="I6" s="10" t="s">
        <v>21</v>
      </c>
      <c r="J6" s="10" t="s">
        <v>16</v>
      </c>
      <c r="K6" s="10" t="s">
        <v>21</v>
      </c>
      <c r="L6" s="10" t="s">
        <v>16</v>
      </c>
      <c r="M6" s="10" t="s">
        <v>21</v>
      </c>
      <c r="N6" s="10" t="s">
        <v>16</v>
      </c>
      <c r="O6" s="10" t="s">
        <v>21</v>
      </c>
      <c r="P6" s="10" t="s">
        <v>16</v>
      </c>
      <c r="Q6" s="10" t="s">
        <v>21</v>
      </c>
      <c r="R6" s="11" t="s">
        <v>16</v>
      </c>
      <c r="S6" s="11" t="s">
        <v>21</v>
      </c>
      <c r="T6" s="11" t="s">
        <v>16</v>
      </c>
      <c r="U6" s="11" t="s">
        <v>21</v>
      </c>
      <c r="V6" s="11" t="s">
        <v>16</v>
      </c>
      <c r="W6" s="11" t="s">
        <v>21</v>
      </c>
      <c r="X6" s="11" t="s">
        <v>16</v>
      </c>
      <c r="Y6" s="11" t="s">
        <v>21</v>
      </c>
      <c r="Z6" s="11" t="s">
        <v>16</v>
      </c>
      <c r="AA6" s="11" t="s">
        <v>21</v>
      </c>
      <c r="AB6" s="17" t="s">
        <v>16</v>
      </c>
      <c r="AC6" s="16" t="s">
        <v>21</v>
      </c>
      <c r="AD6" s="403"/>
      <c r="AE6" s="403"/>
      <c r="AF6" s="403"/>
      <c r="AG6" s="403"/>
      <c r="AH6" s="403"/>
      <c r="AI6" s="403"/>
      <c r="AJ6" s="383"/>
      <c r="AK6" s="403"/>
      <c r="AL6" s="403"/>
      <c r="AM6" s="403"/>
      <c r="AN6" s="406"/>
      <c r="AO6" s="403"/>
    </row>
    <row r="7" spans="1:41" ht="30">
      <c r="A7" s="3" t="s">
        <v>48</v>
      </c>
      <c r="B7" s="3" t="s">
        <v>49</v>
      </c>
      <c r="C7" s="3" t="s">
        <v>48</v>
      </c>
      <c r="D7" s="12">
        <v>1071</v>
      </c>
      <c r="E7" s="12">
        <v>1008.76</v>
      </c>
      <c r="F7" s="12">
        <v>870</v>
      </c>
      <c r="G7" s="12">
        <v>838.99</v>
      </c>
      <c r="H7" s="12">
        <v>1718</v>
      </c>
      <c r="I7" s="12">
        <v>1665.01</v>
      </c>
      <c r="J7" s="12">
        <v>897</v>
      </c>
      <c r="K7" s="12">
        <v>864.55</v>
      </c>
      <c r="L7" s="12">
        <v>133</v>
      </c>
      <c r="M7" s="12">
        <v>129.24</v>
      </c>
      <c r="N7" s="12">
        <v>0</v>
      </c>
      <c r="O7" s="12">
        <v>0</v>
      </c>
      <c r="P7" s="13">
        <v>4689</v>
      </c>
      <c r="Q7" s="13">
        <v>4506.55</v>
      </c>
      <c r="R7" s="12">
        <v>166.59</v>
      </c>
      <c r="S7" s="12">
        <v>166.59</v>
      </c>
      <c r="T7" s="12">
        <v>23</v>
      </c>
      <c r="U7" s="12">
        <v>23</v>
      </c>
      <c r="V7" s="12">
        <v>136.5</v>
      </c>
      <c r="W7" s="12">
        <v>136.5</v>
      </c>
      <c r="X7" s="12">
        <v>0</v>
      </c>
      <c r="Y7" s="12">
        <v>0</v>
      </c>
      <c r="Z7" s="14">
        <v>326.09</v>
      </c>
      <c r="AA7" s="14">
        <v>326.09</v>
      </c>
      <c r="AB7" s="4">
        <v>5015.09</v>
      </c>
      <c r="AC7" s="4">
        <v>4832.64</v>
      </c>
      <c r="AD7" s="19">
        <v>156865687.87999997</v>
      </c>
      <c r="AE7" s="20">
        <v>2499713.26</v>
      </c>
      <c r="AF7" s="20">
        <v>1540175.03</v>
      </c>
      <c r="AG7" s="20">
        <v>1239090.75</v>
      </c>
      <c r="AH7" s="20">
        <v>30697635.010000087</v>
      </c>
      <c r="AI7" s="20">
        <v>13032349.589999972</v>
      </c>
      <c r="AJ7" s="21">
        <v>205874651.52</v>
      </c>
      <c r="AK7" s="19">
        <v>34932373.57999998</v>
      </c>
      <c r="AL7" s="19">
        <v>10817614.47</v>
      </c>
      <c r="AM7" s="22">
        <v>45749988.04999998</v>
      </c>
      <c r="AN7" s="22">
        <v>251624639.57</v>
      </c>
      <c r="AO7" s="18"/>
    </row>
    <row r="8" spans="1:41" ht="15">
      <c r="A8" s="3" t="s">
        <v>50</v>
      </c>
      <c r="B8" s="3" t="s">
        <v>51</v>
      </c>
      <c r="C8" s="3" t="s">
        <v>48</v>
      </c>
      <c r="D8" s="12">
        <v>12259</v>
      </c>
      <c r="E8" s="12">
        <v>10618.96</v>
      </c>
      <c r="F8" s="12">
        <v>3498</v>
      </c>
      <c r="G8" s="12">
        <v>3258.9</v>
      </c>
      <c r="H8" s="12">
        <v>2991</v>
      </c>
      <c r="I8" s="12">
        <v>2774.17</v>
      </c>
      <c r="J8" s="12">
        <v>756</v>
      </c>
      <c r="K8" s="12">
        <v>740.91</v>
      </c>
      <c r="L8" s="12">
        <v>37</v>
      </c>
      <c r="M8" s="12">
        <v>37</v>
      </c>
      <c r="N8" s="12">
        <v>0</v>
      </c>
      <c r="O8" s="12">
        <v>0</v>
      </c>
      <c r="P8" s="13">
        <v>19541</v>
      </c>
      <c r="Q8" s="13">
        <v>17429.94</v>
      </c>
      <c r="R8" s="12">
        <v>270</v>
      </c>
      <c r="S8" s="12">
        <v>270</v>
      </c>
      <c r="T8" s="12">
        <v>0</v>
      </c>
      <c r="U8" s="12">
        <v>0</v>
      </c>
      <c r="V8" s="12">
        <v>0</v>
      </c>
      <c r="W8" s="12">
        <v>0</v>
      </c>
      <c r="X8" s="12">
        <v>0</v>
      </c>
      <c r="Y8" s="12">
        <v>0</v>
      </c>
      <c r="Z8" s="14">
        <v>270</v>
      </c>
      <c r="AA8" s="14">
        <v>270</v>
      </c>
      <c r="AB8" s="4">
        <v>19811</v>
      </c>
      <c r="AC8" s="4">
        <v>17699.94</v>
      </c>
      <c r="AD8" s="20">
        <v>413020380.67</v>
      </c>
      <c r="AE8" s="20">
        <v>6600707.11</v>
      </c>
      <c r="AF8" s="20">
        <v>2309554.48</v>
      </c>
      <c r="AG8" s="20">
        <v>4325158.18</v>
      </c>
      <c r="AH8" s="20">
        <v>72570532.25</v>
      </c>
      <c r="AI8" s="20">
        <v>28551633.16</v>
      </c>
      <c r="AJ8" s="21">
        <v>527377965.8500001</v>
      </c>
      <c r="AK8" s="19">
        <v>11601172.05</v>
      </c>
      <c r="AL8" s="19">
        <v>314391.17</v>
      </c>
      <c r="AM8" s="22">
        <v>11915563.22</v>
      </c>
      <c r="AN8" s="22">
        <v>539293529.07</v>
      </c>
      <c r="AO8" s="3"/>
    </row>
    <row r="9" spans="1:41" ht="30">
      <c r="A9" s="3" t="s">
        <v>52</v>
      </c>
      <c r="B9" s="3" t="s">
        <v>53</v>
      </c>
      <c r="C9" s="3" t="s">
        <v>48</v>
      </c>
      <c r="D9" s="12">
        <v>366</v>
      </c>
      <c r="E9" s="12">
        <v>322.16</v>
      </c>
      <c r="F9" s="12">
        <v>2669</v>
      </c>
      <c r="G9" s="12">
        <v>2340.42</v>
      </c>
      <c r="H9" s="12">
        <v>2140</v>
      </c>
      <c r="I9" s="12">
        <v>1985.27</v>
      </c>
      <c r="J9" s="12">
        <v>200</v>
      </c>
      <c r="K9" s="12">
        <v>189.11</v>
      </c>
      <c r="L9" s="12">
        <v>24</v>
      </c>
      <c r="M9" s="12">
        <v>23.41</v>
      </c>
      <c r="N9" s="12">
        <v>0</v>
      </c>
      <c r="O9" s="12">
        <v>0</v>
      </c>
      <c r="P9" s="13">
        <v>5399</v>
      </c>
      <c r="Q9" s="13">
        <v>4860.37</v>
      </c>
      <c r="R9" s="12">
        <v>0</v>
      </c>
      <c r="S9" s="12">
        <v>0</v>
      </c>
      <c r="T9" s="12">
        <v>4</v>
      </c>
      <c r="U9" s="12">
        <v>3</v>
      </c>
      <c r="V9" s="12">
        <v>0</v>
      </c>
      <c r="W9" s="12">
        <v>0</v>
      </c>
      <c r="X9" s="12">
        <v>0</v>
      </c>
      <c r="Y9" s="12">
        <v>0</v>
      </c>
      <c r="Z9" s="14">
        <v>4</v>
      </c>
      <c r="AA9" s="14">
        <v>3</v>
      </c>
      <c r="AB9" s="4">
        <v>5403</v>
      </c>
      <c r="AC9" s="4">
        <v>4863.37</v>
      </c>
      <c r="AD9" s="20">
        <v>143023466.78</v>
      </c>
      <c r="AE9" s="20">
        <v>3568480.06</v>
      </c>
      <c r="AF9" s="20">
        <v>974925.61</v>
      </c>
      <c r="AG9" s="20">
        <v>529333.67</v>
      </c>
      <c r="AH9" s="20">
        <v>28011754.85</v>
      </c>
      <c r="AI9" s="20">
        <v>10741364.47</v>
      </c>
      <c r="AJ9" s="21">
        <v>186849325.44</v>
      </c>
      <c r="AK9" s="19">
        <v>903699.52</v>
      </c>
      <c r="AL9" s="19" t="s">
        <v>54</v>
      </c>
      <c r="AM9" s="22">
        <v>903699.52</v>
      </c>
      <c r="AN9" s="22">
        <v>187753024.96</v>
      </c>
      <c r="AO9" s="3"/>
    </row>
    <row r="10" spans="1:41" ht="15">
      <c r="A10" s="3" t="s">
        <v>55</v>
      </c>
      <c r="B10" s="3" t="s">
        <v>51</v>
      </c>
      <c r="C10" s="3" t="s">
        <v>48</v>
      </c>
      <c r="D10" s="12">
        <v>171</v>
      </c>
      <c r="E10" s="12">
        <v>151.6</v>
      </c>
      <c r="F10" s="12">
        <v>127</v>
      </c>
      <c r="G10" s="12">
        <v>123.22</v>
      </c>
      <c r="H10" s="12">
        <v>243</v>
      </c>
      <c r="I10" s="12">
        <v>235.57</v>
      </c>
      <c r="J10" s="12">
        <v>62</v>
      </c>
      <c r="K10" s="12">
        <v>61.16</v>
      </c>
      <c r="L10" s="12">
        <v>6</v>
      </c>
      <c r="M10" s="12">
        <v>6</v>
      </c>
      <c r="N10" s="12">
        <v>0</v>
      </c>
      <c r="O10" s="12">
        <v>0</v>
      </c>
      <c r="P10" s="13">
        <v>609</v>
      </c>
      <c r="Q10" s="13">
        <v>577.55</v>
      </c>
      <c r="R10" s="12">
        <v>10</v>
      </c>
      <c r="S10" s="12">
        <v>8.8</v>
      </c>
      <c r="T10" s="12">
        <v>0</v>
      </c>
      <c r="U10" s="12">
        <v>0</v>
      </c>
      <c r="V10" s="12">
        <v>4</v>
      </c>
      <c r="W10" s="12">
        <v>4</v>
      </c>
      <c r="X10" s="12">
        <v>0</v>
      </c>
      <c r="Y10" s="12">
        <v>0</v>
      </c>
      <c r="Z10" s="14">
        <v>14</v>
      </c>
      <c r="AA10" s="14">
        <v>12.8</v>
      </c>
      <c r="AB10" s="4">
        <v>623</v>
      </c>
      <c r="AC10" s="4">
        <v>590.35</v>
      </c>
      <c r="AD10" s="20">
        <v>18060030.740000002</v>
      </c>
      <c r="AE10" s="20">
        <v>87338.43000000001</v>
      </c>
      <c r="AF10" s="20">
        <v>242170.08</v>
      </c>
      <c r="AG10" s="20">
        <v>185111.91</v>
      </c>
      <c r="AH10" s="20">
        <v>3335502.61</v>
      </c>
      <c r="AI10" s="20">
        <v>1456068.28</v>
      </c>
      <c r="AJ10" s="21">
        <v>23366222.05</v>
      </c>
      <c r="AK10" s="19">
        <v>1394194.47</v>
      </c>
      <c r="AL10" s="19">
        <v>15039.59</v>
      </c>
      <c r="AM10" s="22">
        <v>1409234.06</v>
      </c>
      <c r="AN10" s="22">
        <v>24775456.11</v>
      </c>
      <c r="AO10" s="3"/>
    </row>
    <row r="11" spans="1:41" ht="30">
      <c r="A11" s="3" t="s">
        <v>56</v>
      </c>
      <c r="B11" s="3" t="s">
        <v>51</v>
      </c>
      <c r="C11" s="3" t="s">
        <v>48</v>
      </c>
      <c r="D11" s="12">
        <v>37090</v>
      </c>
      <c r="E11" s="12">
        <v>35557.73</v>
      </c>
      <c r="F11" s="12">
        <v>7765</v>
      </c>
      <c r="G11" s="12">
        <v>7461.42</v>
      </c>
      <c r="H11" s="12">
        <v>3563</v>
      </c>
      <c r="I11" s="12">
        <v>3364.7</v>
      </c>
      <c r="J11" s="12">
        <v>739</v>
      </c>
      <c r="K11" s="12">
        <v>717.42</v>
      </c>
      <c r="L11" s="12">
        <v>53</v>
      </c>
      <c r="M11" s="12">
        <v>53</v>
      </c>
      <c r="N11" s="12">
        <v>0</v>
      </c>
      <c r="O11" s="12">
        <v>0</v>
      </c>
      <c r="P11" s="13">
        <v>49210</v>
      </c>
      <c r="Q11" s="13">
        <v>47154.27</v>
      </c>
      <c r="R11" s="12">
        <v>448</v>
      </c>
      <c r="S11" s="12">
        <v>448</v>
      </c>
      <c r="T11" s="12">
        <v>0</v>
      </c>
      <c r="U11" s="12">
        <v>0</v>
      </c>
      <c r="V11" s="12">
        <v>0</v>
      </c>
      <c r="W11" s="12">
        <v>0</v>
      </c>
      <c r="X11" s="12">
        <v>0</v>
      </c>
      <c r="Y11" s="12">
        <v>0</v>
      </c>
      <c r="Z11" s="14">
        <v>448</v>
      </c>
      <c r="AA11" s="14">
        <v>448</v>
      </c>
      <c r="AB11" s="4">
        <v>49658</v>
      </c>
      <c r="AC11" s="4">
        <v>47602.27</v>
      </c>
      <c r="AD11" s="20">
        <v>1371937738.7100015</v>
      </c>
      <c r="AE11" s="20">
        <v>0</v>
      </c>
      <c r="AF11" s="20">
        <v>0</v>
      </c>
      <c r="AG11" s="20">
        <v>10274483.359999996</v>
      </c>
      <c r="AH11" s="20">
        <v>250439174.70999995</v>
      </c>
      <c r="AI11" s="20">
        <v>98873080.25999998</v>
      </c>
      <c r="AJ11" s="21">
        <v>1731524477.0400014</v>
      </c>
      <c r="AK11" s="19">
        <v>30273628.66000001</v>
      </c>
      <c r="AL11" s="19">
        <v>0</v>
      </c>
      <c r="AM11" s="22">
        <v>30273628.66000001</v>
      </c>
      <c r="AN11" s="22">
        <v>1761798105.7000015</v>
      </c>
      <c r="AO11" s="18"/>
    </row>
    <row r="12" spans="1:41" ht="15">
      <c r="A12" s="3" t="s">
        <v>57</v>
      </c>
      <c r="B12" s="3" t="s">
        <v>51</v>
      </c>
      <c r="C12" s="3" t="s">
        <v>48</v>
      </c>
      <c r="D12" s="12">
        <v>21</v>
      </c>
      <c r="E12" s="12">
        <v>20.14</v>
      </c>
      <c r="F12" s="12">
        <v>6</v>
      </c>
      <c r="G12" s="12">
        <v>5.78</v>
      </c>
      <c r="H12" s="12">
        <v>30</v>
      </c>
      <c r="I12" s="12">
        <v>28.92</v>
      </c>
      <c r="J12" s="12">
        <v>33</v>
      </c>
      <c r="K12" s="12">
        <v>30.18</v>
      </c>
      <c r="L12" s="12">
        <v>9</v>
      </c>
      <c r="M12" s="12">
        <v>9</v>
      </c>
      <c r="N12" s="12">
        <v>0</v>
      </c>
      <c r="O12" s="12">
        <v>0</v>
      </c>
      <c r="P12" s="13">
        <v>99</v>
      </c>
      <c r="Q12" s="13">
        <v>94.02</v>
      </c>
      <c r="R12" s="12">
        <v>1</v>
      </c>
      <c r="S12" s="12">
        <v>1</v>
      </c>
      <c r="T12" s="12">
        <v>0</v>
      </c>
      <c r="U12" s="12">
        <v>0</v>
      </c>
      <c r="V12" s="12">
        <v>0</v>
      </c>
      <c r="W12" s="12">
        <v>0</v>
      </c>
      <c r="X12" s="12">
        <v>0</v>
      </c>
      <c r="Y12" s="12">
        <v>0</v>
      </c>
      <c r="Z12" s="14">
        <v>1</v>
      </c>
      <c r="AA12" s="14">
        <v>1</v>
      </c>
      <c r="AB12" s="4">
        <v>100</v>
      </c>
      <c r="AC12" s="4">
        <v>95.02</v>
      </c>
      <c r="AD12" s="20">
        <v>4239922.34</v>
      </c>
      <c r="AE12" s="20">
        <v>0</v>
      </c>
      <c r="AF12" s="20">
        <v>0</v>
      </c>
      <c r="AG12" s="20">
        <v>46228.63</v>
      </c>
      <c r="AH12" s="20">
        <v>368246.61</v>
      </c>
      <c r="AI12" s="20">
        <v>779485.15</v>
      </c>
      <c r="AJ12" s="21">
        <v>5433882.73</v>
      </c>
      <c r="AK12" s="19">
        <v>51654.1</v>
      </c>
      <c r="AL12" s="19">
        <v>0</v>
      </c>
      <c r="AM12" s="22">
        <v>51654.1</v>
      </c>
      <c r="AN12" s="22">
        <v>5485536.83</v>
      </c>
      <c r="AO12" s="3"/>
    </row>
    <row r="13" spans="1:41" ht="30">
      <c r="A13" s="3" t="s">
        <v>58</v>
      </c>
      <c r="B13" s="3" t="s">
        <v>51</v>
      </c>
      <c r="C13" s="3" t="s">
        <v>48</v>
      </c>
      <c r="D13" s="12">
        <v>262</v>
      </c>
      <c r="E13" s="12">
        <v>241.6</v>
      </c>
      <c r="F13" s="12">
        <v>123</v>
      </c>
      <c r="G13" s="12">
        <v>116.29</v>
      </c>
      <c r="H13" s="12">
        <v>67</v>
      </c>
      <c r="I13" s="12">
        <v>65.38</v>
      </c>
      <c r="J13" s="12">
        <v>9</v>
      </c>
      <c r="K13" s="12">
        <v>8.74</v>
      </c>
      <c r="L13" s="12">
        <v>2</v>
      </c>
      <c r="M13" s="12">
        <v>1.8</v>
      </c>
      <c r="N13" s="12">
        <v>0</v>
      </c>
      <c r="O13" s="12">
        <v>0</v>
      </c>
      <c r="P13" s="13">
        <v>463</v>
      </c>
      <c r="Q13" s="13">
        <v>433.81</v>
      </c>
      <c r="R13" s="12">
        <v>50</v>
      </c>
      <c r="S13" s="12">
        <v>50</v>
      </c>
      <c r="T13" s="12">
        <v>0</v>
      </c>
      <c r="U13" s="12">
        <v>0</v>
      </c>
      <c r="V13" s="12">
        <v>0</v>
      </c>
      <c r="W13" s="12">
        <v>0</v>
      </c>
      <c r="X13" s="12">
        <v>0</v>
      </c>
      <c r="Y13" s="12">
        <v>0</v>
      </c>
      <c r="Z13" s="14">
        <v>50</v>
      </c>
      <c r="AA13" s="14">
        <v>50</v>
      </c>
      <c r="AB13" s="4">
        <v>513</v>
      </c>
      <c r="AC13" s="4">
        <v>483.81</v>
      </c>
      <c r="AD13" s="20">
        <v>10417722.64</v>
      </c>
      <c r="AE13" s="20">
        <v>207804.17</v>
      </c>
      <c r="AF13" s="20">
        <v>26965</v>
      </c>
      <c r="AG13" s="20">
        <v>369023.43</v>
      </c>
      <c r="AH13" s="20">
        <v>1576466.56</v>
      </c>
      <c r="AI13" s="20">
        <v>657350.81</v>
      </c>
      <c r="AJ13" s="21">
        <v>13255332.610000001</v>
      </c>
      <c r="AK13" s="19">
        <v>1759365.7</v>
      </c>
      <c r="AL13" s="19">
        <v>61249.39</v>
      </c>
      <c r="AM13" s="22">
        <v>1820615.09</v>
      </c>
      <c r="AN13" s="22">
        <v>15075947.700000001</v>
      </c>
      <c r="AO13" s="3"/>
    </row>
    <row r="14" spans="1:41" ht="15">
      <c r="A14" s="3" t="s">
        <v>59</v>
      </c>
      <c r="B14" s="3" t="s">
        <v>51</v>
      </c>
      <c r="C14" s="3" t="s">
        <v>48</v>
      </c>
      <c r="D14" s="12">
        <v>2605</v>
      </c>
      <c r="E14" s="12">
        <v>2379.2</v>
      </c>
      <c r="F14" s="12">
        <v>420</v>
      </c>
      <c r="G14" s="12">
        <v>389.68</v>
      </c>
      <c r="H14" s="12">
        <v>226</v>
      </c>
      <c r="I14" s="12">
        <v>220.22</v>
      </c>
      <c r="J14" s="12">
        <v>52</v>
      </c>
      <c r="K14" s="12">
        <v>49.66</v>
      </c>
      <c r="L14" s="12">
        <v>6</v>
      </c>
      <c r="M14" s="12">
        <v>6</v>
      </c>
      <c r="N14" s="12">
        <v>0</v>
      </c>
      <c r="O14" s="12">
        <v>0</v>
      </c>
      <c r="P14" s="13">
        <v>3309</v>
      </c>
      <c r="Q14" s="13">
        <v>3044.76</v>
      </c>
      <c r="R14" s="12">
        <v>92</v>
      </c>
      <c r="S14" s="12">
        <v>92</v>
      </c>
      <c r="T14" s="12">
        <v>0</v>
      </c>
      <c r="U14" s="12">
        <v>0</v>
      </c>
      <c r="V14" s="12">
        <v>0</v>
      </c>
      <c r="W14" s="12">
        <v>0</v>
      </c>
      <c r="X14" s="12">
        <v>0</v>
      </c>
      <c r="Y14" s="12">
        <v>0</v>
      </c>
      <c r="Z14" s="14">
        <v>92</v>
      </c>
      <c r="AA14" s="14">
        <v>92</v>
      </c>
      <c r="AB14" s="4">
        <v>3401</v>
      </c>
      <c r="AC14" s="4">
        <v>3136.76</v>
      </c>
      <c r="AD14" s="20">
        <v>60550575.81</v>
      </c>
      <c r="AE14" s="20">
        <v>978422.08</v>
      </c>
      <c r="AF14" s="20">
        <v>623630.66</v>
      </c>
      <c r="AG14" s="20">
        <v>941831.72</v>
      </c>
      <c r="AH14" s="20">
        <v>9983562.100000001</v>
      </c>
      <c r="AI14" s="20">
        <v>3982225.63</v>
      </c>
      <c r="AJ14" s="21">
        <v>77060248</v>
      </c>
      <c r="AK14" s="19">
        <v>3619367.43</v>
      </c>
      <c r="AL14" s="19">
        <v>82286</v>
      </c>
      <c r="AM14" s="22">
        <v>3701653.43</v>
      </c>
      <c r="AN14" s="22">
        <v>80761901.43</v>
      </c>
      <c r="AO14" s="3"/>
    </row>
    <row r="15" spans="1:41" ht="30">
      <c r="A15" s="3" t="s">
        <v>60</v>
      </c>
      <c r="B15" s="3" t="s">
        <v>53</v>
      </c>
      <c r="C15" s="3" t="s">
        <v>48</v>
      </c>
      <c r="D15" s="12">
        <v>3</v>
      </c>
      <c r="E15" s="12">
        <v>3</v>
      </c>
      <c r="F15" s="12">
        <v>15</v>
      </c>
      <c r="G15" s="12">
        <v>14.6</v>
      </c>
      <c r="H15" s="12">
        <v>16</v>
      </c>
      <c r="I15" s="12">
        <v>16</v>
      </c>
      <c r="J15" s="12">
        <v>7</v>
      </c>
      <c r="K15" s="12">
        <v>6.47</v>
      </c>
      <c r="L15" s="12">
        <v>2</v>
      </c>
      <c r="M15" s="12">
        <v>2</v>
      </c>
      <c r="N15" s="12">
        <v>0</v>
      </c>
      <c r="O15" s="12">
        <v>0</v>
      </c>
      <c r="P15" s="13">
        <v>43</v>
      </c>
      <c r="Q15" s="13">
        <v>42.07</v>
      </c>
      <c r="R15" s="12">
        <v>0</v>
      </c>
      <c r="S15" s="12">
        <v>0</v>
      </c>
      <c r="T15" s="12">
        <v>0</v>
      </c>
      <c r="U15" s="12">
        <v>0</v>
      </c>
      <c r="V15" s="12">
        <v>0</v>
      </c>
      <c r="W15" s="12">
        <v>0</v>
      </c>
      <c r="X15" s="12">
        <v>0</v>
      </c>
      <c r="Y15" s="12">
        <v>0</v>
      </c>
      <c r="Z15" s="14">
        <v>0</v>
      </c>
      <c r="AA15" s="14">
        <v>0</v>
      </c>
      <c r="AB15" s="4">
        <v>43</v>
      </c>
      <c r="AC15" s="4">
        <v>42.07</v>
      </c>
      <c r="AD15" s="20">
        <v>1483080.51</v>
      </c>
      <c r="AE15" s="20">
        <v>2140.15</v>
      </c>
      <c r="AF15" s="20">
        <v>17749</v>
      </c>
      <c r="AG15" s="20">
        <v>8843.47</v>
      </c>
      <c r="AH15" s="20">
        <v>282487.91</v>
      </c>
      <c r="AI15" s="20">
        <v>126892.97</v>
      </c>
      <c r="AJ15" s="21">
        <v>1921194.01</v>
      </c>
      <c r="AK15" s="19">
        <v>10250</v>
      </c>
      <c r="AL15" s="19">
        <v>0</v>
      </c>
      <c r="AM15" s="22">
        <v>10250</v>
      </c>
      <c r="AN15" s="22">
        <v>1931444.01</v>
      </c>
      <c r="AO15" s="3"/>
    </row>
    <row r="16" spans="1:41" ht="15">
      <c r="A16" s="3" t="s">
        <v>61</v>
      </c>
      <c r="B16" s="3" t="s">
        <v>51</v>
      </c>
      <c r="C16" s="3" t="s">
        <v>48</v>
      </c>
      <c r="D16" s="12">
        <v>9</v>
      </c>
      <c r="E16" s="12">
        <v>7.71</v>
      </c>
      <c r="F16" s="12">
        <v>11</v>
      </c>
      <c r="G16" s="12">
        <v>10.62</v>
      </c>
      <c r="H16" s="12">
        <v>20</v>
      </c>
      <c r="I16" s="12">
        <v>19.63</v>
      </c>
      <c r="J16" s="12">
        <v>13</v>
      </c>
      <c r="K16" s="12">
        <v>12.82</v>
      </c>
      <c r="L16" s="12">
        <v>4</v>
      </c>
      <c r="M16" s="12">
        <v>4</v>
      </c>
      <c r="N16" s="12">
        <v>0</v>
      </c>
      <c r="O16" s="12">
        <v>0</v>
      </c>
      <c r="P16" s="13">
        <v>57</v>
      </c>
      <c r="Q16" s="13">
        <v>54.78</v>
      </c>
      <c r="R16" s="12">
        <v>1</v>
      </c>
      <c r="S16" s="12">
        <v>1</v>
      </c>
      <c r="T16" s="12">
        <v>0</v>
      </c>
      <c r="U16" s="12">
        <v>0</v>
      </c>
      <c r="V16" s="12">
        <v>0</v>
      </c>
      <c r="W16" s="12">
        <v>0</v>
      </c>
      <c r="X16" s="12">
        <v>0</v>
      </c>
      <c r="Y16" s="12">
        <v>0</v>
      </c>
      <c r="Z16" s="14">
        <v>1</v>
      </c>
      <c r="AA16" s="14">
        <v>1</v>
      </c>
      <c r="AB16" s="4">
        <v>58</v>
      </c>
      <c r="AC16" s="4">
        <v>55.78</v>
      </c>
      <c r="AD16" s="20">
        <v>2215614.71</v>
      </c>
      <c r="AE16" s="20">
        <v>83563.32</v>
      </c>
      <c r="AF16" s="20">
        <v>14700</v>
      </c>
      <c r="AG16" s="20">
        <v>13813.12</v>
      </c>
      <c r="AH16" s="20">
        <v>425922.71</v>
      </c>
      <c r="AI16" s="20">
        <v>197957.34</v>
      </c>
      <c r="AJ16" s="21">
        <v>2951571.2</v>
      </c>
      <c r="AK16" s="19">
        <v>32056.52</v>
      </c>
      <c r="AL16" s="19">
        <v>6870.85</v>
      </c>
      <c r="AM16" s="22">
        <v>38927.37</v>
      </c>
      <c r="AN16" s="22">
        <v>2990498.57</v>
      </c>
      <c r="AO16" s="3"/>
    </row>
    <row r="17" spans="1:41" ht="210">
      <c r="A17" s="3" t="s">
        <v>62</v>
      </c>
      <c r="B17" s="3" t="s">
        <v>63</v>
      </c>
      <c r="C17" s="3" t="s">
        <v>48</v>
      </c>
      <c r="D17" s="12">
        <v>0</v>
      </c>
      <c r="E17" s="12">
        <v>0</v>
      </c>
      <c r="F17" s="12">
        <v>0</v>
      </c>
      <c r="G17" s="12">
        <v>0</v>
      </c>
      <c r="H17" s="12">
        <v>0</v>
      </c>
      <c r="I17" s="12">
        <v>0</v>
      </c>
      <c r="J17" s="12">
        <v>0</v>
      </c>
      <c r="K17" s="12">
        <v>0</v>
      </c>
      <c r="L17" s="12">
        <v>0</v>
      </c>
      <c r="M17" s="12">
        <v>0</v>
      </c>
      <c r="N17" s="12">
        <v>80</v>
      </c>
      <c r="O17" s="12">
        <v>74.03</v>
      </c>
      <c r="P17" s="13">
        <v>80</v>
      </c>
      <c r="Q17" s="13">
        <v>74.03</v>
      </c>
      <c r="R17" s="12">
        <v>2</v>
      </c>
      <c r="S17" s="12">
        <v>2</v>
      </c>
      <c r="T17" s="12">
        <v>0</v>
      </c>
      <c r="U17" s="12">
        <v>0</v>
      </c>
      <c r="V17" s="12">
        <v>0</v>
      </c>
      <c r="W17" s="12">
        <v>0</v>
      </c>
      <c r="X17" s="12">
        <v>0</v>
      </c>
      <c r="Y17" s="12">
        <v>0</v>
      </c>
      <c r="Z17" s="14">
        <v>2</v>
      </c>
      <c r="AA17" s="14">
        <v>2</v>
      </c>
      <c r="AB17" s="4">
        <v>82</v>
      </c>
      <c r="AC17" s="4">
        <v>76.03</v>
      </c>
      <c r="AD17" s="20">
        <v>2536201</v>
      </c>
      <c r="AE17" s="20">
        <v>537</v>
      </c>
      <c r="AF17" s="20">
        <v>0</v>
      </c>
      <c r="AG17" s="20">
        <v>23895</v>
      </c>
      <c r="AH17" s="20">
        <v>477221</v>
      </c>
      <c r="AI17" s="20">
        <v>201298</v>
      </c>
      <c r="AJ17" s="21">
        <v>3239152</v>
      </c>
      <c r="AK17" s="19">
        <v>67371</v>
      </c>
      <c r="AL17" s="19">
        <v>0</v>
      </c>
      <c r="AM17" s="22">
        <v>67371</v>
      </c>
      <c r="AN17" s="22">
        <v>3306523</v>
      </c>
      <c r="AO17" s="3" t="s">
        <v>64</v>
      </c>
    </row>
    <row r="18" spans="1:41" ht="45">
      <c r="A18" s="3" t="s">
        <v>65</v>
      </c>
      <c r="B18" s="3" t="s">
        <v>63</v>
      </c>
      <c r="C18" s="3" t="s">
        <v>48</v>
      </c>
      <c r="D18" s="12">
        <v>0</v>
      </c>
      <c r="E18" s="12">
        <v>0</v>
      </c>
      <c r="F18" s="12">
        <v>0</v>
      </c>
      <c r="G18" s="12">
        <v>0</v>
      </c>
      <c r="H18" s="12">
        <v>0</v>
      </c>
      <c r="I18" s="12">
        <v>0</v>
      </c>
      <c r="J18" s="12">
        <v>0</v>
      </c>
      <c r="K18" s="12">
        <v>0</v>
      </c>
      <c r="L18" s="12">
        <v>0</v>
      </c>
      <c r="M18" s="12">
        <v>0</v>
      </c>
      <c r="N18" s="12">
        <v>0</v>
      </c>
      <c r="O18" s="12">
        <v>0</v>
      </c>
      <c r="P18" s="13">
        <v>0</v>
      </c>
      <c r="Q18" s="13">
        <v>0</v>
      </c>
      <c r="R18" s="12">
        <v>0</v>
      </c>
      <c r="S18" s="12">
        <v>0</v>
      </c>
      <c r="T18" s="12">
        <v>0</v>
      </c>
      <c r="U18" s="12">
        <v>0</v>
      </c>
      <c r="V18" s="12">
        <v>0</v>
      </c>
      <c r="W18" s="12">
        <v>0</v>
      </c>
      <c r="X18" s="12">
        <v>0</v>
      </c>
      <c r="Y18" s="12">
        <v>0</v>
      </c>
      <c r="Z18" s="14">
        <v>0</v>
      </c>
      <c r="AA18" s="14">
        <v>0</v>
      </c>
      <c r="AB18" s="4">
        <v>0</v>
      </c>
      <c r="AC18" s="4">
        <v>0</v>
      </c>
      <c r="AD18" s="20">
        <v>0</v>
      </c>
      <c r="AE18" s="20">
        <v>0</v>
      </c>
      <c r="AF18" s="20">
        <v>0</v>
      </c>
      <c r="AG18" s="20">
        <v>0</v>
      </c>
      <c r="AH18" s="20">
        <v>0</v>
      </c>
      <c r="AI18" s="20">
        <v>0</v>
      </c>
      <c r="AJ18" s="21">
        <v>0</v>
      </c>
      <c r="AK18" s="19">
        <v>0</v>
      </c>
      <c r="AL18" s="19">
        <v>0</v>
      </c>
      <c r="AM18" s="22">
        <v>0</v>
      </c>
      <c r="AN18" s="22">
        <v>0</v>
      </c>
      <c r="AO18" s="18" t="s">
        <v>97</v>
      </c>
    </row>
    <row r="19" spans="1:41" ht="45">
      <c r="A19" s="3" t="s">
        <v>66</v>
      </c>
      <c r="B19" s="3" t="s">
        <v>63</v>
      </c>
      <c r="C19" s="3" t="s">
        <v>48</v>
      </c>
      <c r="D19" s="12">
        <v>0</v>
      </c>
      <c r="E19" s="12">
        <v>0</v>
      </c>
      <c r="F19" s="12">
        <v>0</v>
      </c>
      <c r="G19" s="12">
        <v>0</v>
      </c>
      <c r="H19" s="12">
        <v>0</v>
      </c>
      <c r="I19" s="12">
        <v>0</v>
      </c>
      <c r="J19" s="12">
        <v>0</v>
      </c>
      <c r="K19" s="12">
        <v>0</v>
      </c>
      <c r="L19" s="12">
        <v>0</v>
      </c>
      <c r="M19" s="12">
        <v>0</v>
      </c>
      <c r="N19" s="12">
        <v>353</v>
      </c>
      <c r="O19" s="12">
        <v>328.49</v>
      </c>
      <c r="P19" s="13">
        <v>353</v>
      </c>
      <c r="Q19" s="13">
        <v>328.49</v>
      </c>
      <c r="R19" s="12">
        <v>4</v>
      </c>
      <c r="S19" s="12">
        <v>3.54</v>
      </c>
      <c r="T19" s="12">
        <v>0</v>
      </c>
      <c r="U19" s="12">
        <v>0</v>
      </c>
      <c r="V19" s="12">
        <v>0</v>
      </c>
      <c r="W19" s="12">
        <v>0</v>
      </c>
      <c r="X19" s="12">
        <v>1</v>
      </c>
      <c r="Y19" s="12">
        <v>0.01</v>
      </c>
      <c r="Z19" s="14">
        <v>5</v>
      </c>
      <c r="AA19" s="14">
        <v>3.55</v>
      </c>
      <c r="AB19" s="4">
        <v>358</v>
      </c>
      <c r="AC19" s="4">
        <v>332.04</v>
      </c>
      <c r="AD19" s="20">
        <v>8489469</v>
      </c>
      <c r="AE19" s="20">
        <v>22175</v>
      </c>
      <c r="AF19" s="20">
        <v>19563</v>
      </c>
      <c r="AG19" s="20">
        <v>73754</v>
      </c>
      <c r="AH19" s="20">
        <v>1554529</v>
      </c>
      <c r="AI19" s="20">
        <v>556620</v>
      </c>
      <c r="AJ19" s="21">
        <v>10716110</v>
      </c>
      <c r="AK19" s="19">
        <v>156105</v>
      </c>
      <c r="AL19" s="19">
        <v>13048</v>
      </c>
      <c r="AM19" s="22">
        <v>169153</v>
      </c>
      <c r="AN19" s="22">
        <v>10885263</v>
      </c>
      <c r="AO19" s="3"/>
    </row>
    <row r="20" spans="1:41" ht="45">
      <c r="A20" s="3" t="s">
        <v>67</v>
      </c>
      <c r="B20" s="3" t="s">
        <v>63</v>
      </c>
      <c r="C20" s="3" t="s">
        <v>48</v>
      </c>
      <c r="D20" s="12">
        <v>11</v>
      </c>
      <c r="E20" s="12">
        <v>11</v>
      </c>
      <c r="F20" s="12">
        <v>19</v>
      </c>
      <c r="G20" s="12">
        <v>18.2</v>
      </c>
      <c r="H20" s="12">
        <v>28</v>
      </c>
      <c r="I20" s="12">
        <v>27.6</v>
      </c>
      <c r="J20" s="12">
        <v>15</v>
      </c>
      <c r="K20" s="12">
        <v>14.4</v>
      </c>
      <c r="L20" s="12">
        <v>4</v>
      </c>
      <c r="M20" s="12">
        <v>4</v>
      </c>
      <c r="N20" s="12">
        <v>1</v>
      </c>
      <c r="O20" s="12">
        <v>0.6</v>
      </c>
      <c r="P20" s="13">
        <v>78</v>
      </c>
      <c r="Q20" s="13">
        <v>75.8</v>
      </c>
      <c r="R20" s="12">
        <v>0</v>
      </c>
      <c r="S20" s="12">
        <v>0</v>
      </c>
      <c r="T20" s="12">
        <v>0</v>
      </c>
      <c r="U20" s="12">
        <v>0</v>
      </c>
      <c r="V20" s="12">
        <v>0</v>
      </c>
      <c r="W20" s="12">
        <v>0</v>
      </c>
      <c r="X20" s="12">
        <v>0</v>
      </c>
      <c r="Y20" s="12">
        <v>0</v>
      </c>
      <c r="Z20" s="14">
        <v>0</v>
      </c>
      <c r="AA20" s="14">
        <v>0</v>
      </c>
      <c r="AB20" s="4">
        <v>78</v>
      </c>
      <c r="AC20" s="4">
        <v>75.8</v>
      </c>
      <c r="AD20" s="20">
        <v>3291191</v>
      </c>
      <c r="AE20" s="20">
        <v>37754</v>
      </c>
      <c r="AF20" s="20">
        <v>29100</v>
      </c>
      <c r="AG20" s="20">
        <v>7936</v>
      </c>
      <c r="AH20" s="20">
        <v>604067</v>
      </c>
      <c r="AI20" s="20">
        <v>255788</v>
      </c>
      <c r="AJ20" s="21">
        <v>4225836</v>
      </c>
      <c r="AK20" s="19">
        <v>0</v>
      </c>
      <c r="AL20" s="19">
        <v>0</v>
      </c>
      <c r="AM20" s="22">
        <v>0</v>
      </c>
      <c r="AN20" s="22">
        <v>4225836</v>
      </c>
      <c r="AO20" s="3"/>
    </row>
    <row r="21" spans="1:41" ht="105">
      <c r="A21" s="3" t="s">
        <v>68</v>
      </c>
      <c r="B21" s="3" t="s">
        <v>63</v>
      </c>
      <c r="C21" s="3" t="s">
        <v>48</v>
      </c>
      <c r="D21" s="12">
        <v>0</v>
      </c>
      <c r="E21" s="12">
        <v>0</v>
      </c>
      <c r="F21" s="12">
        <v>0</v>
      </c>
      <c r="G21" s="12">
        <v>0</v>
      </c>
      <c r="H21" s="12">
        <v>0</v>
      </c>
      <c r="I21" s="12">
        <v>0</v>
      </c>
      <c r="J21" s="12">
        <v>0</v>
      </c>
      <c r="K21" s="12">
        <v>0</v>
      </c>
      <c r="L21" s="12">
        <v>0</v>
      </c>
      <c r="M21" s="12">
        <v>0</v>
      </c>
      <c r="N21" s="12">
        <v>33</v>
      </c>
      <c r="O21" s="12">
        <v>32.7</v>
      </c>
      <c r="P21" s="13">
        <v>33</v>
      </c>
      <c r="Q21" s="13">
        <v>32.7</v>
      </c>
      <c r="R21" s="12">
        <v>0</v>
      </c>
      <c r="S21" s="12">
        <v>0</v>
      </c>
      <c r="T21" s="12">
        <v>0</v>
      </c>
      <c r="U21" s="12">
        <v>0</v>
      </c>
      <c r="V21" s="12">
        <v>0</v>
      </c>
      <c r="W21" s="12">
        <v>0</v>
      </c>
      <c r="X21" s="12">
        <v>0</v>
      </c>
      <c r="Y21" s="12">
        <v>0</v>
      </c>
      <c r="Z21" s="14">
        <v>0</v>
      </c>
      <c r="AA21" s="14">
        <v>0</v>
      </c>
      <c r="AB21" s="4">
        <v>33</v>
      </c>
      <c r="AC21" s="4">
        <v>32.7</v>
      </c>
      <c r="AD21" s="20">
        <v>1873247</v>
      </c>
      <c r="AE21" s="20">
        <v>0</v>
      </c>
      <c r="AF21" s="20">
        <v>0</v>
      </c>
      <c r="AG21" s="20">
        <v>0</v>
      </c>
      <c r="AH21" s="20">
        <v>342787</v>
      </c>
      <c r="AI21" s="20">
        <v>216176</v>
      </c>
      <c r="AJ21" s="21">
        <v>2432210</v>
      </c>
      <c r="AK21" s="19">
        <v>0</v>
      </c>
      <c r="AL21" s="19">
        <v>0</v>
      </c>
      <c r="AM21" s="22">
        <v>0</v>
      </c>
      <c r="AN21" s="22">
        <v>2432210</v>
      </c>
      <c r="AO21" s="3" t="s">
        <v>69</v>
      </c>
    </row>
    <row r="22" spans="1:41" ht="45">
      <c r="A22" s="3" t="s">
        <v>70</v>
      </c>
      <c r="B22" s="3" t="s">
        <v>63</v>
      </c>
      <c r="C22" s="3" t="s">
        <v>48</v>
      </c>
      <c r="D22" s="12">
        <v>657</v>
      </c>
      <c r="E22" s="12">
        <v>615.2</v>
      </c>
      <c r="F22" s="12">
        <v>265</v>
      </c>
      <c r="G22" s="12">
        <v>253.5</v>
      </c>
      <c r="H22" s="12">
        <v>432</v>
      </c>
      <c r="I22" s="12">
        <v>414.2</v>
      </c>
      <c r="J22" s="12">
        <v>110</v>
      </c>
      <c r="K22" s="12">
        <v>107.7</v>
      </c>
      <c r="L22" s="12">
        <v>20</v>
      </c>
      <c r="M22" s="12">
        <v>15.1</v>
      </c>
      <c r="N22" s="12">
        <v>1</v>
      </c>
      <c r="O22" s="12">
        <v>0.7</v>
      </c>
      <c r="P22" s="13">
        <v>1485</v>
      </c>
      <c r="Q22" s="13">
        <v>1406.4</v>
      </c>
      <c r="R22" s="12">
        <v>102</v>
      </c>
      <c r="S22" s="12">
        <v>97.5</v>
      </c>
      <c r="T22" s="12">
        <v>0</v>
      </c>
      <c r="U22" s="12">
        <v>0</v>
      </c>
      <c r="V22" s="12">
        <v>5</v>
      </c>
      <c r="W22" s="12">
        <v>4</v>
      </c>
      <c r="X22" s="12">
        <v>0</v>
      </c>
      <c r="Y22" s="12">
        <v>0</v>
      </c>
      <c r="Z22" s="14">
        <v>107</v>
      </c>
      <c r="AA22" s="14">
        <v>101.5</v>
      </c>
      <c r="AB22" s="4">
        <v>1592</v>
      </c>
      <c r="AC22" s="4">
        <v>1507.9</v>
      </c>
      <c r="AD22" s="20">
        <v>42216032</v>
      </c>
      <c r="AE22" s="20">
        <v>0</v>
      </c>
      <c r="AF22" s="20">
        <v>0</v>
      </c>
      <c r="AG22" s="20">
        <v>533405</v>
      </c>
      <c r="AH22" s="20">
        <v>7937323</v>
      </c>
      <c r="AI22" s="20">
        <v>3531123</v>
      </c>
      <c r="AJ22" s="21">
        <v>54217883</v>
      </c>
      <c r="AK22" s="19">
        <v>5325217</v>
      </c>
      <c r="AL22" s="19">
        <v>0</v>
      </c>
      <c r="AM22" s="22">
        <v>5325217</v>
      </c>
      <c r="AN22" s="22">
        <v>59543100</v>
      </c>
      <c r="AO22" s="3"/>
    </row>
    <row r="23" spans="1:41" ht="45">
      <c r="A23" s="3" t="s">
        <v>71</v>
      </c>
      <c r="B23" s="3" t="s">
        <v>63</v>
      </c>
      <c r="C23" s="3" t="s">
        <v>48</v>
      </c>
      <c r="D23" s="12">
        <v>19</v>
      </c>
      <c r="E23" s="12">
        <v>18.6</v>
      </c>
      <c r="F23" s="12">
        <v>45</v>
      </c>
      <c r="G23" s="12">
        <v>43.8</v>
      </c>
      <c r="H23" s="12">
        <v>18</v>
      </c>
      <c r="I23" s="12">
        <v>17.6</v>
      </c>
      <c r="J23" s="12">
        <v>6</v>
      </c>
      <c r="K23" s="12">
        <v>6</v>
      </c>
      <c r="L23" s="12">
        <v>1</v>
      </c>
      <c r="M23" s="12">
        <v>1</v>
      </c>
      <c r="N23" s="12">
        <v>1</v>
      </c>
      <c r="O23" s="12">
        <v>0.4</v>
      </c>
      <c r="P23" s="13">
        <v>90</v>
      </c>
      <c r="Q23" s="13">
        <v>87.4</v>
      </c>
      <c r="R23" s="12">
        <v>4</v>
      </c>
      <c r="S23" s="12">
        <v>4</v>
      </c>
      <c r="T23" s="12">
        <v>0</v>
      </c>
      <c r="U23" s="12">
        <v>0</v>
      </c>
      <c r="V23" s="12">
        <v>0</v>
      </c>
      <c r="W23" s="12">
        <v>0</v>
      </c>
      <c r="X23" s="12">
        <v>0</v>
      </c>
      <c r="Y23" s="12">
        <v>0</v>
      </c>
      <c r="Z23" s="14">
        <v>4</v>
      </c>
      <c r="AA23" s="14">
        <v>4</v>
      </c>
      <c r="AB23" s="4">
        <v>94</v>
      </c>
      <c r="AC23" s="4">
        <v>91.4</v>
      </c>
      <c r="AD23" s="20">
        <v>2766489</v>
      </c>
      <c r="AE23" s="20">
        <v>0</v>
      </c>
      <c r="AF23" s="20">
        <v>0</v>
      </c>
      <c r="AG23" s="20">
        <v>81609</v>
      </c>
      <c r="AH23" s="20">
        <v>490029</v>
      </c>
      <c r="AI23" s="20">
        <v>229713</v>
      </c>
      <c r="AJ23" s="21">
        <v>3567840</v>
      </c>
      <c r="AK23" s="19">
        <v>562305.39</v>
      </c>
      <c r="AL23" s="19">
        <v>0</v>
      </c>
      <c r="AM23" s="22">
        <v>562305.39</v>
      </c>
      <c r="AN23" s="22">
        <v>4130145.39</v>
      </c>
      <c r="AO23" s="3"/>
    </row>
    <row r="24" spans="1:41" ht="225">
      <c r="A24" s="3" t="s">
        <v>72</v>
      </c>
      <c r="B24" s="3" t="s">
        <v>63</v>
      </c>
      <c r="C24" s="3" t="s">
        <v>48</v>
      </c>
      <c r="D24" s="12">
        <v>0</v>
      </c>
      <c r="E24" s="12">
        <v>0</v>
      </c>
      <c r="F24" s="12">
        <v>0</v>
      </c>
      <c r="G24" s="12">
        <v>0</v>
      </c>
      <c r="H24" s="12">
        <v>0</v>
      </c>
      <c r="I24" s="12">
        <v>0</v>
      </c>
      <c r="J24" s="12">
        <v>0</v>
      </c>
      <c r="K24" s="12">
        <v>0</v>
      </c>
      <c r="L24" s="12">
        <v>0</v>
      </c>
      <c r="M24" s="12">
        <v>0</v>
      </c>
      <c r="N24" s="12">
        <v>20100</v>
      </c>
      <c r="O24" s="12">
        <v>18313</v>
      </c>
      <c r="P24" s="13">
        <v>20100</v>
      </c>
      <c r="Q24" s="13">
        <v>18313</v>
      </c>
      <c r="R24" s="12">
        <v>1554</v>
      </c>
      <c r="S24" s="12">
        <v>1554</v>
      </c>
      <c r="T24" s="12">
        <v>6</v>
      </c>
      <c r="U24" s="12">
        <v>6</v>
      </c>
      <c r="V24" s="12">
        <v>0</v>
      </c>
      <c r="W24" s="12">
        <v>0</v>
      </c>
      <c r="X24" s="12">
        <v>0</v>
      </c>
      <c r="Y24" s="12">
        <v>0</v>
      </c>
      <c r="Z24" s="14">
        <v>1560</v>
      </c>
      <c r="AA24" s="14">
        <v>1560</v>
      </c>
      <c r="AB24" s="4">
        <v>21660</v>
      </c>
      <c r="AC24" s="4">
        <v>19873</v>
      </c>
      <c r="AD24" s="23" t="s">
        <v>90</v>
      </c>
      <c r="AE24" s="23" t="s">
        <v>90</v>
      </c>
      <c r="AF24" s="23" t="s">
        <v>90</v>
      </c>
      <c r="AG24" s="23" t="s">
        <v>90</v>
      </c>
      <c r="AH24" s="23" t="s">
        <v>90</v>
      </c>
      <c r="AI24" s="23" t="s">
        <v>90</v>
      </c>
      <c r="AJ24" s="23" t="s">
        <v>90</v>
      </c>
      <c r="AK24" s="23" t="s">
        <v>90</v>
      </c>
      <c r="AL24" s="23" t="s">
        <v>90</v>
      </c>
      <c r="AM24" s="23" t="s">
        <v>90</v>
      </c>
      <c r="AN24" s="23" t="s">
        <v>90</v>
      </c>
      <c r="AO24" s="3" t="s">
        <v>73</v>
      </c>
    </row>
    <row r="25" spans="1:41" ht="45">
      <c r="A25" s="3" t="s">
        <v>74</v>
      </c>
      <c r="B25" s="3" t="s">
        <v>63</v>
      </c>
      <c r="C25" s="3" t="s">
        <v>48</v>
      </c>
      <c r="D25" s="12">
        <v>25</v>
      </c>
      <c r="E25" s="12">
        <v>22.45</v>
      </c>
      <c r="F25" s="12">
        <v>45</v>
      </c>
      <c r="G25" s="12">
        <v>43.73</v>
      </c>
      <c r="H25" s="12">
        <v>125</v>
      </c>
      <c r="I25" s="12">
        <v>120.94</v>
      </c>
      <c r="J25" s="12">
        <v>42</v>
      </c>
      <c r="K25" s="12">
        <v>40.99</v>
      </c>
      <c r="L25" s="12">
        <v>5</v>
      </c>
      <c r="M25" s="12">
        <v>4.6</v>
      </c>
      <c r="N25" s="12">
        <v>9</v>
      </c>
      <c r="O25" s="12">
        <v>9</v>
      </c>
      <c r="P25" s="13">
        <v>251</v>
      </c>
      <c r="Q25" s="13">
        <v>241.71</v>
      </c>
      <c r="R25" s="12">
        <v>5</v>
      </c>
      <c r="S25" s="12">
        <v>5</v>
      </c>
      <c r="T25" s="12">
        <v>0</v>
      </c>
      <c r="U25" s="12">
        <v>0</v>
      </c>
      <c r="V25" s="12">
        <v>21</v>
      </c>
      <c r="W25" s="12">
        <v>20.8</v>
      </c>
      <c r="X25" s="12">
        <v>0</v>
      </c>
      <c r="Y25" s="12">
        <v>0</v>
      </c>
      <c r="Z25" s="14">
        <v>26</v>
      </c>
      <c r="AA25" s="14">
        <v>25.8</v>
      </c>
      <c r="AB25" s="4">
        <v>277</v>
      </c>
      <c r="AC25" s="4">
        <v>267.51</v>
      </c>
      <c r="AD25" s="20">
        <v>7396116.84</v>
      </c>
      <c r="AE25" s="20">
        <v>835983</v>
      </c>
      <c r="AF25" s="20">
        <v>43795</v>
      </c>
      <c r="AG25" s="20">
        <v>67084</v>
      </c>
      <c r="AH25" s="20">
        <v>1492170.7</v>
      </c>
      <c r="AI25" s="20">
        <v>682839</v>
      </c>
      <c r="AJ25" s="21">
        <v>10517988.54</v>
      </c>
      <c r="AK25" s="19">
        <v>8382414.25</v>
      </c>
      <c r="AL25" s="19">
        <v>0</v>
      </c>
      <c r="AM25" s="22">
        <v>8382414.25</v>
      </c>
      <c r="AN25" s="22">
        <v>18900402.79</v>
      </c>
      <c r="AO25" s="3"/>
    </row>
    <row r="26" spans="1:41" ht="15">
      <c r="A26" s="3" t="s">
        <v>75</v>
      </c>
      <c r="B26" s="3"/>
      <c r="C26" s="3"/>
      <c r="D26" s="12">
        <v>54569</v>
      </c>
      <c r="E26" s="12">
        <v>50978.11</v>
      </c>
      <c r="F26" s="12">
        <v>15878</v>
      </c>
      <c r="G26" s="12">
        <v>14919.15</v>
      </c>
      <c r="H26" s="12">
        <v>11617</v>
      </c>
      <c r="I26" s="12">
        <v>10955.21</v>
      </c>
      <c r="J26" s="12">
        <v>2941</v>
      </c>
      <c r="K26" s="12">
        <v>2850.11</v>
      </c>
      <c r="L26" s="12">
        <v>306</v>
      </c>
      <c r="M26" s="12">
        <v>296.15</v>
      </c>
      <c r="N26" s="12">
        <v>20578</v>
      </c>
      <c r="O26" s="12">
        <v>18758.92</v>
      </c>
      <c r="P26" s="13">
        <v>105889</v>
      </c>
      <c r="Q26" s="13">
        <v>98757.65</v>
      </c>
      <c r="R26" s="12">
        <v>2709.59</v>
      </c>
      <c r="S26" s="12">
        <v>2703.43</v>
      </c>
      <c r="T26" s="12">
        <v>33</v>
      </c>
      <c r="U26" s="12">
        <v>32</v>
      </c>
      <c r="V26" s="12">
        <v>166.5</v>
      </c>
      <c r="W26" s="12">
        <v>165.3</v>
      </c>
      <c r="X26" s="12">
        <v>1</v>
      </c>
      <c r="Y26" s="12">
        <v>0.01</v>
      </c>
      <c r="Z26" s="14">
        <v>2910.09</v>
      </c>
      <c r="AA26" s="14">
        <v>2900.74</v>
      </c>
      <c r="AB26" s="4">
        <v>108799.09</v>
      </c>
      <c r="AC26" s="4">
        <v>101658.39</v>
      </c>
      <c r="AD26" s="20">
        <v>2250382966.630002</v>
      </c>
      <c r="AE26" s="20">
        <v>14924617.580000002</v>
      </c>
      <c r="AF26" s="20">
        <v>5842327.86</v>
      </c>
      <c r="AG26" s="20">
        <v>18720601.239999995</v>
      </c>
      <c r="AH26" s="20">
        <v>410589412.0200001</v>
      </c>
      <c r="AI26" s="20">
        <v>164071964.65999994</v>
      </c>
      <c r="AJ26" s="21">
        <v>2864531889.9900017</v>
      </c>
      <c r="AK26" s="19">
        <v>99071174.67</v>
      </c>
      <c r="AL26" s="19">
        <v>11310499.47</v>
      </c>
      <c r="AM26" s="22">
        <v>110381674.14</v>
      </c>
      <c r="AN26" s="22">
        <v>2974913564.1300015</v>
      </c>
      <c r="AO26" s="3"/>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row r="101" spans="1:41" ht="15">
      <c r="A101" s="3"/>
      <c r="B101" s="3"/>
      <c r="C101" s="3"/>
      <c r="D101" s="12"/>
      <c r="E101" s="12"/>
      <c r="F101" s="12"/>
      <c r="G101" s="12"/>
      <c r="H101" s="12"/>
      <c r="I101" s="12"/>
      <c r="J101" s="12"/>
      <c r="K101" s="12"/>
      <c r="L101" s="12"/>
      <c r="M101" s="12"/>
      <c r="N101" s="12"/>
      <c r="O101" s="12"/>
      <c r="P101" s="13"/>
      <c r="Q101" s="13"/>
      <c r="R101" s="12"/>
      <c r="S101" s="12"/>
      <c r="T101" s="12"/>
      <c r="U101" s="12"/>
      <c r="V101" s="12"/>
      <c r="W101" s="12"/>
      <c r="X101" s="12"/>
      <c r="Y101" s="12"/>
      <c r="Z101" s="14"/>
      <c r="AA101" s="14"/>
      <c r="AB101" s="4"/>
      <c r="AC101" s="4"/>
      <c r="AD101" s="6"/>
      <c r="AE101" s="6"/>
      <c r="AF101" s="6"/>
      <c r="AG101" s="6"/>
      <c r="AH101" s="6"/>
      <c r="AI101" s="6"/>
      <c r="AJ101" s="7"/>
      <c r="AK101" s="5"/>
      <c r="AL101" s="5"/>
      <c r="AM101" s="8"/>
      <c r="AN101" s="8"/>
      <c r="AO101" s="9"/>
    </row>
    <row r="102" spans="1:41" ht="15">
      <c r="A102" s="3"/>
      <c r="B102" s="3"/>
      <c r="C102" s="3"/>
      <c r="D102" s="12"/>
      <c r="E102" s="12"/>
      <c r="F102" s="12"/>
      <c r="G102" s="12"/>
      <c r="H102" s="12"/>
      <c r="I102" s="12"/>
      <c r="J102" s="12"/>
      <c r="K102" s="12"/>
      <c r="L102" s="12"/>
      <c r="M102" s="12"/>
      <c r="N102" s="12"/>
      <c r="O102" s="12"/>
      <c r="P102" s="13"/>
      <c r="Q102" s="13"/>
      <c r="R102" s="12"/>
      <c r="S102" s="12"/>
      <c r="T102" s="12"/>
      <c r="U102" s="12"/>
      <c r="V102" s="12"/>
      <c r="W102" s="12"/>
      <c r="X102" s="12"/>
      <c r="Y102" s="12"/>
      <c r="Z102" s="14"/>
      <c r="AA102" s="14"/>
      <c r="AB102" s="4"/>
      <c r="AC102" s="4"/>
      <c r="AD102" s="6"/>
      <c r="AE102" s="6"/>
      <c r="AF102" s="6"/>
      <c r="AG102" s="6"/>
      <c r="AH102" s="6"/>
      <c r="AI102" s="6"/>
      <c r="AJ102" s="7"/>
      <c r="AK102" s="5"/>
      <c r="AL102" s="5"/>
      <c r="AM102" s="8"/>
      <c r="AN102" s="8"/>
      <c r="AO102" s="9"/>
    </row>
    <row r="103" spans="1:41" ht="15">
      <c r="A103" s="3"/>
      <c r="B103" s="3"/>
      <c r="C103" s="3"/>
      <c r="D103" s="12"/>
      <c r="E103" s="12"/>
      <c r="F103" s="12"/>
      <c r="G103" s="12"/>
      <c r="H103" s="12"/>
      <c r="I103" s="12"/>
      <c r="J103" s="12"/>
      <c r="K103" s="12"/>
      <c r="L103" s="12"/>
      <c r="M103" s="12"/>
      <c r="N103" s="12"/>
      <c r="O103" s="12"/>
      <c r="P103" s="13"/>
      <c r="Q103" s="13"/>
      <c r="R103" s="12"/>
      <c r="S103" s="12"/>
      <c r="T103" s="12"/>
      <c r="U103" s="12"/>
      <c r="V103" s="12"/>
      <c r="W103" s="12"/>
      <c r="X103" s="12"/>
      <c r="Y103" s="12"/>
      <c r="Z103" s="14"/>
      <c r="AA103" s="14"/>
      <c r="AB103" s="4"/>
      <c r="AC103" s="4"/>
      <c r="AD103" s="6"/>
      <c r="AE103" s="6"/>
      <c r="AF103" s="6"/>
      <c r="AG103" s="6"/>
      <c r="AH103" s="6"/>
      <c r="AI103" s="6"/>
      <c r="AJ103" s="7"/>
      <c r="AK103" s="5"/>
      <c r="AL103" s="5"/>
      <c r="AM103" s="8"/>
      <c r="AN103" s="8"/>
      <c r="AO103" s="9"/>
    </row>
  </sheetData>
  <sheetProtection selectLockedCells="1"/>
  <mergeCells count="32">
    <mergeCell ref="N5:O5"/>
    <mergeCell ref="AG5:AG6"/>
    <mergeCell ref="AH5:AH6"/>
    <mergeCell ref="R5:S5"/>
    <mergeCell ref="AD5:AD6"/>
    <mergeCell ref="AE5:AE6"/>
    <mergeCell ref="AF5:AF6"/>
    <mergeCell ref="T5:U5"/>
    <mergeCell ref="A4:A6"/>
    <mergeCell ref="B4:B6"/>
    <mergeCell ref="C4:C6"/>
    <mergeCell ref="AD4:AJ4"/>
    <mergeCell ref="D5:E5"/>
    <mergeCell ref="X5:Y5"/>
    <mergeCell ref="Z5:AA5"/>
    <mergeCell ref="AB4:AC5"/>
    <mergeCell ref="R4:AA4"/>
    <mergeCell ref="AJ5:AJ6"/>
    <mergeCell ref="AL5:AL6"/>
    <mergeCell ref="AM5:AM6"/>
    <mergeCell ref="V5:W5"/>
    <mergeCell ref="AI5:AI6"/>
    <mergeCell ref="AO4:AO6"/>
    <mergeCell ref="D4:Q4"/>
    <mergeCell ref="L5:M5"/>
    <mergeCell ref="J5:K5"/>
    <mergeCell ref="H5:I5"/>
    <mergeCell ref="F5:G5"/>
    <mergeCell ref="P5:Q5"/>
    <mergeCell ref="AN4:AN6"/>
    <mergeCell ref="AK4:AM4"/>
    <mergeCell ref="AK5:AK6"/>
  </mergeCells>
  <conditionalFormatting sqref="B7:B25 B27:B103">
    <cfRule type="expression" priority="22" dxfId="0">
      <formula>AND(NOT(ISBLANK($A7)),ISBLANK(B7))</formula>
    </cfRule>
  </conditionalFormatting>
  <conditionalFormatting sqref="C7:C25 C27:C103">
    <cfRule type="expression" priority="21" dxfId="0">
      <formula>AND(NOT(ISBLANK(A7)),ISBLANK(C7))</formula>
    </cfRule>
  </conditionalFormatting>
  <conditionalFormatting sqref="D7:D103 AD24:AN24 F7:F103 H7:H103 J7:J103 L7:L103 N7:N103 R7:R103 T7:T103 V7:V103 X7:X103">
    <cfRule type="expression" priority="20" dxfId="0">
      <formula>AND(NOT(ISBLANK(E7)),ISBLANK(D7))</formula>
    </cfRule>
  </conditionalFormatting>
  <conditionalFormatting sqref="E7:E103 G7:G103 I7:I103 K7:K103 M7:M103 O7:O103 S7:S103 U7:U103 W7:W103 Y7:Y103">
    <cfRule type="expression" priority="19" dxfId="0">
      <formula>AND(NOT(ISBLANK(D7)),ISBLANK(E7))</formula>
    </cfRule>
  </conditionalFormatting>
  <conditionalFormatting sqref="B26">
    <cfRule type="expression" priority="5" dxfId="23" stopIfTrue="1">
      <formula>AND(NOT(ISBLANK($A26)),ISBLANK(B26))</formula>
    </cfRule>
  </conditionalFormatting>
  <conditionalFormatting sqref="C26">
    <cfRule type="expression" priority="6" dxfId="23" stopIfTrue="1">
      <formula>AND(NOT(ISBLANK(A26)),ISBLANK(C26))</formula>
    </cfRule>
  </conditionalFormatting>
  <dataValidations count="4">
    <dataValidation type="custom" allowBlank="1" showInputMessage="1" showErrorMessage="1" errorTitle="FTE" error="The value entered in the FTE field must be less than or equal to the value entered in the headcount field." sqref="M7:M103 G7:G103 I7:I103 K7:K103 O7:O103 U7:U103 W7:W103 Y7:Y103 S7:S103 E7:E103">
      <formula1>M7&lt;=L7</formula1>
    </dataValidation>
    <dataValidation type="custom" allowBlank="1" showInputMessage="1" showErrorMessage="1" errorTitle="Headcount" error="The value entered in the headcount field must be greater than or equal to the value entered in the FTE field." sqref="F7:F103 H7:H103 J7:J103 L7:L103 N7:N103 T7:T103 V7:V103 X7:X103 R7:R103 D7:D103 AD24:AN24">
      <formula1>F7&gt;=G7</formula1>
    </dataValidation>
    <dataValidation operator="lessThanOrEqual" allowBlank="1" showInputMessage="1" showErrorMessage="1" error="FTE cannot be greater than Headcount&#10;" sqref="AP1:IV65536 R104:AN65536 AO4 AO7:AO65536 R4 A4:C4 P5 A104:O65536 P7:Q65536 AB6:AC103 AB4"/>
    <dataValidation type="decimal" operator="greaterThan" allowBlank="1" showInputMessage="1" showErrorMessage="1" sqref="AK25:AL103 AK7:AL23 AD7:AI23 AD25:AI103">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1"/>
</worksheet>
</file>

<file path=xl/worksheets/sheet4.xml><?xml version="1.0" encoding="utf-8"?>
<worksheet xmlns="http://schemas.openxmlformats.org/spreadsheetml/2006/main" xmlns:r="http://schemas.openxmlformats.org/officeDocument/2006/relationships">
  <dimension ref="A1:AO20"/>
  <sheetViews>
    <sheetView workbookViewId="0" topLeftCell="A1">
      <selection activeCell="A7" sqref="A7:AO20"/>
    </sheetView>
  </sheetViews>
  <sheetFormatPr defaultColWidth="8.88671875" defaultRowHeight="15"/>
  <cols>
    <col min="2" max="2" width="10.77734375" style="0" customWidth="1"/>
    <col min="3" max="3" width="10.10546875" style="0" customWidth="1"/>
    <col min="30" max="30" width="13.4453125" style="0" bestFit="1" customWidth="1"/>
    <col min="31" max="31" width="10.88671875" style="0" bestFit="1" customWidth="1"/>
    <col min="32" max="32" width="33.21484375" style="0" bestFit="1" customWidth="1"/>
    <col min="33" max="33" width="12.4453125" style="0" customWidth="1"/>
    <col min="34" max="34" width="14.21484375" style="0" customWidth="1"/>
    <col min="35" max="35" width="13.6640625" style="0" customWidth="1"/>
    <col min="36" max="36" width="14.21484375" style="0" customWidth="1"/>
    <col min="37" max="37" width="12.4453125" style="0" customWidth="1"/>
    <col min="38" max="38" width="15.3359375" style="0" customWidth="1"/>
    <col min="39" max="39" width="15.77734375" style="0" customWidth="1"/>
    <col min="40" max="40" width="14.6640625" style="0" customWidth="1"/>
  </cols>
  <sheetData>
    <row r="1" spans="1:41" ht="15">
      <c r="A1" s="2" t="s">
        <v>92</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row>
    <row r="2" spans="1:41" ht="15">
      <c r="A2" s="24" t="s">
        <v>93</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row>
    <row r="3" spans="1:41" ht="15">
      <c r="A3" s="24" t="s">
        <v>94</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row>
    <row r="4" spans="1:41" ht="15">
      <c r="A4" s="313" t="s">
        <v>26</v>
      </c>
      <c r="B4" s="328" t="s">
        <v>15</v>
      </c>
      <c r="C4" s="328" t="s">
        <v>14</v>
      </c>
      <c r="D4" s="315" t="s">
        <v>22</v>
      </c>
      <c r="E4" s="329"/>
      <c r="F4" s="329"/>
      <c r="G4" s="329"/>
      <c r="H4" s="329"/>
      <c r="I4" s="329"/>
      <c r="J4" s="329"/>
      <c r="K4" s="329"/>
      <c r="L4" s="329"/>
      <c r="M4" s="329"/>
      <c r="N4" s="329"/>
      <c r="O4" s="329"/>
      <c r="P4" s="329"/>
      <c r="Q4" s="316"/>
      <c r="R4" s="303" t="s">
        <v>29</v>
      </c>
      <c r="S4" s="304"/>
      <c r="T4" s="304"/>
      <c r="U4" s="304"/>
      <c r="V4" s="304"/>
      <c r="W4" s="304"/>
      <c r="X4" s="304"/>
      <c r="Y4" s="304"/>
      <c r="Z4" s="304"/>
      <c r="AA4" s="305"/>
      <c r="AB4" s="306" t="s">
        <v>39</v>
      </c>
      <c r="AC4" s="307"/>
      <c r="AD4" s="310" t="s">
        <v>25</v>
      </c>
      <c r="AE4" s="311"/>
      <c r="AF4" s="311"/>
      <c r="AG4" s="311"/>
      <c r="AH4" s="311"/>
      <c r="AI4" s="311"/>
      <c r="AJ4" s="312"/>
      <c r="AK4" s="322" t="s">
        <v>115</v>
      </c>
      <c r="AL4" s="323"/>
      <c r="AM4" s="323"/>
      <c r="AN4" s="318" t="s">
        <v>38</v>
      </c>
      <c r="AO4" s="313" t="s">
        <v>126</v>
      </c>
    </row>
    <row r="5" spans="1:41" ht="15">
      <c r="A5" s="326"/>
      <c r="B5" s="326"/>
      <c r="C5" s="326"/>
      <c r="D5" s="324" t="s">
        <v>116</v>
      </c>
      <c r="E5" s="325"/>
      <c r="F5" s="324" t="s">
        <v>117</v>
      </c>
      <c r="G5" s="325"/>
      <c r="H5" s="324" t="s">
        <v>118</v>
      </c>
      <c r="I5" s="325"/>
      <c r="J5" s="324" t="s">
        <v>20</v>
      </c>
      <c r="K5" s="325"/>
      <c r="L5" s="324" t="s">
        <v>119</v>
      </c>
      <c r="M5" s="325"/>
      <c r="N5" s="324" t="s">
        <v>19</v>
      </c>
      <c r="O5" s="325"/>
      <c r="P5" s="315" t="s">
        <v>23</v>
      </c>
      <c r="Q5" s="316"/>
      <c r="R5" s="315" t="s">
        <v>27</v>
      </c>
      <c r="S5" s="305"/>
      <c r="T5" s="303" t="s">
        <v>17</v>
      </c>
      <c r="U5" s="305"/>
      <c r="V5" s="303" t="s">
        <v>18</v>
      </c>
      <c r="W5" s="305"/>
      <c r="X5" s="303" t="s">
        <v>28</v>
      </c>
      <c r="Y5" s="305"/>
      <c r="Z5" s="315" t="s">
        <v>24</v>
      </c>
      <c r="AA5" s="316"/>
      <c r="AB5" s="308"/>
      <c r="AC5" s="309"/>
      <c r="AD5" s="313" t="s">
        <v>31</v>
      </c>
      <c r="AE5" s="313" t="s">
        <v>30</v>
      </c>
      <c r="AF5" s="313" t="s">
        <v>32</v>
      </c>
      <c r="AG5" s="313" t="s">
        <v>33</v>
      </c>
      <c r="AH5" s="313" t="s">
        <v>34</v>
      </c>
      <c r="AI5" s="313" t="s">
        <v>35</v>
      </c>
      <c r="AJ5" s="317" t="s">
        <v>37</v>
      </c>
      <c r="AK5" s="313" t="s">
        <v>120</v>
      </c>
      <c r="AL5" s="313" t="s">
        <v>121</v>
      </c>
      <c r="AM5" s="313" t="s">
        <v>36</v>
      </c>
      <c r="AN5" s="319"/>
      <c r="AO5" s="321"/>
    </row>
    <row r="6" spans="1:41" ht="60">
      <c r="A6" s="327"/>
      <c r="B6" s="327"/>
      <c r="C6" s="327"/>
      <c r="D6" s="175" t="s">
        <v>16</v>
      </c>
      <c r="E6" s="175" t="s">
        <v>21</v>
      </c>
      <c r="F6" s="175" t="s">
        <v>16</v>
      </c>
      <c r="G6" s="175" t="s">
        <v>21</v>
      </c>
      <c r="H6" s="175" t="s">
        <v>16</v>
      </c>
      <c r="I6" s="175" t="s">
        <v>21</v>
      </c>
      <c r="J6" s="175" t="s">
        <v>16</v>
      </c>
      <c r="K6" s="175" t="s">
        <v>21</v>
      </c>
      <c r="L6" s="175" t="s">
        <v>16</v>
      </c>
      <c r="M6" s="175" t="s">
        <v>21</v>
      </c>
      <c r="N6" s="175" t="s">
        <v>16</v>
      </c>
      <c r="O6" s="175" t="s">
        <v>21</v>
      </c>
      <c r="P6" s="175" t="s">
        <v>16</v>
      </c>
      <c r="Q6" s="175" t="s">
        <v>21</v>
      </c>
      <c r="R6" s="174" t="s">
        <v>16</v>
      </c>
      <c r="S6" s="174" t="s">
        <v>21</v>
      </c>
      <c r="T6" s="174" t="s">
        <v>16</v>
      </c>
      <c r="U6" s="174" t="s">
        <v>21</v>
      </c>
      <c r="V6" s="174" t="s">
        <v>16</v>
      </c>
      <c r="W6" s="174" t="s">
        <v>21</v>
      </c>
      <c r="X6" s="174" t="s">
        <v>16</v>
      </c>
      <c r="Y6" s="174" t="s">
        <v>21</v>
      </c>
      <c r="Z6" s="174" t="s">
        <v>16</v>
      </c>
      <c r="AA6" s="174" t="s">
        <v>21</v>
      </c>
      <c r="AB6" s="177" t="s">
        <v>16</v>
      </c>
      <c r="AC6" s="176" t="s">
        <v>21</v>
      </c>
      <c r="AD6" s="314"/>
      <c r="AE6" s="314"/>
      <c r="AF6" s="314"/>
      <c r="AG6" s="314"/>
      <c r="AH6" s="314"/>
      <c r="AI6" s="314"/>
      <c r="AJ6" s="317"/>
      <c r="AK6" s="314"/>
      <c r="AL6" s="314"/>
      <c r="AM6" s="314"/>
      <c r="AN6" s="320"/>
      <c r="AO6" s="314"/>
    </row>
    <row r="7" spans="1:41" ht="45">
      <c r="A7" s="182" t="s">
        <v>48</v>
      </c>
      <c r="B7" s="183" t="s">
        <v>49</v>
      </c>
      <c r="C7" s="182" t="s">
        <v>48</v>
      </c>
      <c r="D7" s="184">
        <v>969</v>
      </c>
      <c r="E7" s="185">
        <v>906.0540032340039</v>
      </c>
      <c r="F7" s="186">
        <v>932</v>
      </c>
      <c r="G7" s="185">
        <v>897.1249174174175</v>
      </c>
      <c r="H7" s="186">
        <v>1688</v>
      </c>
      <c r="I7" s="185">
        <v>1642.2182431972974</v>
      </c>
      <c r="J7" s="186">
        <v>788</v>
      </c>
      <c r="K7" s="185">
        <v>768.459534696997</v>
      </c>
      <c r="L7" s="186">
        <v>123</v>
      </c>
      <c r="M7" s="185">
        <v>121.13833333333332</v>
      </c>
      <c r="N7" s="183">
        <v>0</v>
      </c>
      <c r="O7" s="187">
        <v>0</v>
      </c>
      <c r="P7" s="188">
        <f>SUM(D7,F7,H7,J7,L7,N7)</f>
        <v>4500</v>
      </c>
      <c r="Q7" s="189">
        <f>SUM(E7,G7,I7,K7,M7,O7)</f>
        <v>4334.995031879049</v>
      </c>
      <c r="R7" s="183">
        <v>161</v>
      </c>
      <c r="S7" s="183">
        <v>157.2</v>
      </c>
      <c r="T7" s="183">
        <v>12</v>
      </c>
      <c r="U7" s="187">
        <v>12</v>
      </c>
      <c r="V7" s="183">
        <v>207</v>
      </c>
      <c r="W7" s="187">
        <v>207</v>
      </c>
      <c r="X7" s="183">
        <v>0</v>
      </c>
      <c r="Y7" s="187">
        <v>0</v>
      </c>
      <c r="Z7" s="190">
        <f>SUM(R7,T7,V7,X7,)</f>
        <v>380</v>
      </c>
      <c r="AA7" s="203">
        <f>SUM(S7,U7,W7,Y7)</f>
        <v>376.2</v>
      </c>
      <c r="AB7" s="191">
        <f>P7+Z7</f>
        <v>4880</v>
      </c>
      <c r="AC7" s="192">
        <f>Q7+AA7</f>
        <v>4711.195031879049</v>
      </c>
      <c r="AD7" s="193">
        <v>12499692.175</v>
      </c>
      <c r="AE7" s="194">
        <v>207868.8</v>
      </c>
      <c r="AF7" s="194">
        <v>22990.79</v>
      </c>
      <c r="AG7" s="194">
        <v>83292.9</v>
      </c>
      <c r="AH7" s="194">
        <v>2425567.8025</v>
      </c>
      <c r="AI7" s="194">
        <v>1049248.48</v>
      </c>
      <c r="AJ7" s="195">
        <f>SUM(AD7:AI7)</f>
        <v>16288660.947500002</v>
      </c>
      <c r="AK7" s="196">
        <v>2669796.52</v>
      </c>
      <c r="AL7" s="196">
        <v>109935.46</v>
      </c>
      <c r="AM7" s="197">
        <f>SUM(AK7:AL7)</f>
        <v>2779731.98</v>
      </c>
      <c r="AN7" s="197">
        <f>SUM(AM7,AJ7)</f>
        <v>19068392.927500002</v>
      </c>
      <c r="AO7" s="198"/>
    </row>
    <row r="8" spans="1:41" ht="75">
      <c r="A8" s="182" t="s">
        <v>76</v>
      </c>
      <c r="B8" s="183" t="s">
        <v>51</v>
      </c>
      <c r="C8" s="182" t="s">
        <v>48</v>
      </c>
      <c r="D8" s="186">
        <v>13352</v>
      </c>
      <c r="E8" s="185">
        <v>11644.755548048039</v>
      </c>
      <c r="F8" s="186">
        <v>2872</v>
      </c>
      <c r="G8" s="185">
        <v>2694.001756756754</v>
      </c>
      <c r="H8" s="186">
        <v>2480</v>
      </c>
      <c r="I8" s="185">
        <v>2304.328370870871</v>
      </c>
      <c r="J8" s="186">
        <v>503</v>
      </c>
      <c r="K8" s="185">
        <v>489.7832582582583</v>
      </c>
      <c r="L8" s="186">
        <v>30</v>
      </c>
      <c r="M8" s="185">
        <v>30</v>
      </c>
      <c r="N8" s="183">
        <v>0</v>
      </c>
      <c r="O8" s="185">
        <v>0</v>
      </c>
      <c r="P8" s="188">
        <f aca="true" t="shared" si="0" ref="P8:Q19">SUM(D8,F8,H8,J8,L8,N8)</f>
        <v>19237</v>
      </c>
      <c r="Q8" s="189">
        <f t="shared" si="0"/>
        <v>17162.86893393392</v>
      </c>
      <c r="R8" s="183" t="s">
        <v>90</v>
      </c>
      <c r="S8" s="187">
        <v>774.6</v>
      </c>
      <c r="T8" s="183" t="s">
        <v>90</v>
      </c>
      <c r="U8" s="187" t="s">
        <v>90</v>
      </c>
      <c r="V8" s="183" t="s">
        <v>90</v>
      </c>
      <c r="W8" s="187" t="s">
        <v>90</v>
      </c>
      <c r="X8" s="183" t="s">
        <v>90</v>
      </c>
      <c r="Y8" s="187" t="s">
        <v>90</v>
      </c>
      <c r="Z8" s="190">
        <f aca="true" t="shared" si="1" ref="Z8:Z19">SUM(R8,T8,V8,X8,)</f>
        <v>0</v>
      </c>
      <c r="AA8" s="199">
        <f aca="true" t="shared" si="2" ref="AA8:AA19">SUM(S8,U8,W8,Y8)</f>
        <v>774.6</v>
      </c>
      <c r="AB8" s="191">
        <f aca="true" t="shared" si="3" ref="AB8:AC19">P8+Z8</f>
        <v>19237</v>
      </c>
      <c r="AC8" s="192">
        <f t="shared" si="3"/>
        <v>17937.46893393392</v>
      </c>
      <c r="AD8" s="193">
        <v>32173474.28</v>
      </c>
      <c r="AE8" s="257">
        <v>541751.27</v>
      </c>
      <c r="AF8" s="194">
        <v>30754.58</v>
      </c>
      <c r="AG8" s="194">
        <v>236493.9</v>
      </c>
      <c r="AH8" s="194">
        <v>5712468.55</v>
      </c>
      <c r="AI8" s="194">
        <v>2123167.31</v>
      </c>
      <c r="AJ8" s="195">
        <f aca="true" t="shared" si="4" ref="AJ8:AJ19">SUM(AD8:AI8)</f>
        <v>40818109.89</v>
      </c>
      <c r="AK8" s="196">
        <v>1300899.45</v>
      </c>
      <c r="AL8" s="419" t="s">
        <v>90</v>
      </c>
      <c r="AM8" s="197">
        <f aca="true" t="shared" si="5" ref="AM8:AM19">SUM(AK8:AL8)</f>
        <v>1300899.45</v>
      </c>
      <c r="AN8" s="197">
        <f aca="true" t="shared" si="6" ref="AN8:AN19">SUM(AM8,AJ8)</f>
        <v>42119009.34</v>
      </c>
      <c r="AO8" s="200" t="s">
        <v>122</v>
      </c>
    </row>
    <row r="9" spans="1:41" ht="30">
      <c r="A9" s="182" t="s">
        <v>55</v>
      </c>
      <c r="B9" s="183" t="s">
        <v>51</v>
      </c>
      <c r="C9" s="182" t="s">
        <v>48</v>
      </c>
      <c r="D9" s="183">
        <v>175</v>
      </c>
      <c r="E9" s="183">
        <v>154.65</v>
      </c>
      <c r="F9" s="183">
        <v>119</v>
      </c>
      <c r="G9" s="183">
        <v>113.87</v>
      </c>
      <c r="H9" s="183">
        <v>255</v>
      </c>
      <c r="I9" s="183">
        <v>249.23</v>
      </c>
      <c r="J9" s="183">
        <v>61</v>
      </c>
      <c r="K9" s="183">
        <v>60.33</v>
      </c>
      <c r="L9" s="183">
        <v>6</v>
      </c>
      <c r="M9" s="187">
        <v>6</v>
      </c>
      <c r="N9" s="183">
        <v>0</v>
      </c>
      <c r="O9" s="187">
        <v>0</v>
      </c>
      <c r="P9" s="188">
        <f t="shared" si="0"/>
        <v>616</v>
      </c>
      <c r="Q9" s="189">
        <f t="shared" si="0"/>
        <v>584.08</v>
      </c>
      <c r="R9" s="183">
        <v>3</v>
      </c>
      <c r="S9" s="187">
        <v>3</v>
      </c>
      <c r="T9" s="183">
        <v>0</v>
      </c>
      <c r="U9" s="187">
        <v>0</v>
      </c>
      <c r="V9" s="183">
        <v>11</v>
      </c>
      <c r="W9" s="187">
        <v>11</v>
      </c>
      <c r="X9" s="183">
        <v>0</v>
      </c>
      <c r="Y9" s="187">
        <v>0</v>
      </c>
      <c r="Z9" s="190">
        <f t="shared" si="1"/>
        <v>14</v>
      </c>
      <c r="AA9" s="199">
        <f t="shared" si="2"/>
        <v>14</v>
      </c>
      <c r="AB9" s="191">
        <f t="shared" si="3"/>
        <v>630</v>
      </c>
      <c r="AC9" s="192">
        <f t="shared" si="3"/>
        <v>598.08</v>
      </c>
      <c r="AD9" s="193">
        <v>1432125.37</v>
      </c>
      <c r="AE9" s="194">
        <v>11666.89</v>
      </c>
      <c r="AF9" s="194"/>
      <c r="AG9" s="194">
        <v>13824.27</v>
      </c>
      <c r="AH9" s="194">
        <v>259272.68</v>
      </c>
      <c r="AI9" s="194">
        <v>120567.09</v>
      </c>
      <c r="AJ9" s="195">
        <f t="shared" si="4"/>
        <v>1837456.3</v>
      </c>
      <c r="AK9" s="196">
        <v>84684.54</v>
      </c>
      <c r="AL9" s="419" t="s">
        <v>90</v>
      </c>
      <c r="AM9" s="197">
        <f t="shared" si="5"/>
        <v>84684.54</v>
      </c>
      <c r="AN9" s="197">
        <f t="shared" si="6"/>
        <v>1922140.84</v>
      </c>
      <c r="AO9" s="198"/>
    </row>
    <row r="10" spans="1:41" ht="75">
      <c r="A10" s="23" t="s">
        <v>56</v>
      </c>
      <c r="B10" s="183" t="s">
        <v>51</v>
      </c>
      <c r="C10" s="182" t="s">
        <v>48</v>
      </c>
      <c r="D10" s="183">
        <v>31687</v>
      </c>
      <c r="E10" s="185">
        <v>30271.961488218676</v>
      </c>
      <c r="F10" s="183">
        <v>5886</v>
      </c>
      <c r="G10" s="185">
        <v>5653.962480364982</v>
      </c>
      <c r="H10" s="183">
        <v>3812</v>
      </c>
      <c r="I10" s="185">
        <v>3603.1532842457864</v>
      </c>
      <c r="J10" s="183">
        <v>591</v>
      </c>
      <c r="K10" s="185">
        <v>580.5584834834835</v>
      </c>
      <c r="L10" s="183">
        <v>36</v>
      </c>
      <c r="M10" s="185">
        <v>36</v>
      </c>
      <c r="N10" s="183">
        <v>0</v>
      </c>
      <c r="O10" s="185">
        <v>0</v>
      </c>
      <c r="P10" s="188">
        <f t="shared" si="0"/>
        <v>42012</v>
      </c>
      <c r="Q10" s="189">
        <f t="shared" si="0"/>
        <v>40145.63573631293</v>
      </c>
      <c r="R10" s="156" t="s">
        <v>90</v>
      </c>
      <c r="S10" s="156">
        <v>584.48</v>
      </c>
      <c r="T10" s="156" t="s">
        <v>90</v>
      </c>
      <c r="U10" s="156">
        <v>12.13</v>
      </c>
      <c r="V10" s="156" t="s">
        <v>90</v>
      </c>
      <c r="W10" s="156">
        <v>35.04</v>
      </c>
      <c r="X10" s="156" t="s">
        <v>90</v>
      </c>
      <c r="Y10" s="156">
        <v>2</v>
      </c>
      <c r="Z10" s="190">
        <f t="shared" si="1"/>
        <v>0</v>
      </c>
      <c r="AA10" s="203">
        <f t="shared" si="2"/>
        <v>633.65</v>
      </c>
      <c r="AB10" s="191">
        <f t="shared" si="3"/>
        <v>42012</v>
      </c>
      <c r="AC10" s="192">
        <f t="shared" si="3"/>
        <v>40779.28573631293</v>
      </c>
      <c r="AD10" s="193">
        <v>98087713.89</v>
      </c>
      <c r="AE10" s="194">
        <v>0</v>
      </c>
      <c r="AF10" s="194">
        <v>0</v>
      </c>
      <c r="AG10" s="194">
        <v>3594071.86</v>
      </c>
      <c r="AH10" s="194">
        <v>17751744.830000002</v>
      </c>
      <c r="AI10" s="194">
        <v>7705956.119999998</v>
      </c>
      <c r="AJ10" s="195">
        <f t="shared" si="4"/>
        <v>127139486.7</v>
      </c>
      <c r="AK10" s="196">
        <v>2412958.16</v>
      </c>
      <c r="AL10" s="276">
        <v>6410.68</v>
      </c>
      <c r="AM10" s="197">
        <f t="shared" si="5"/>
        <v>2419368.8400000003</v>
      </c>
      <c r="AN10" s="197">
        <f t="shared" si="6"/>
        <v>129558855.54</v>
      </c>
      <c r="AO10" s="200" t="s">
        <v>9</v>
      </c>
    </row>
    <row r="11" spans="1:41" ht="132">
      <c r="A11" s="182" t="s">
        <v>58</v>
      </c>
      <c r="B11" s="183" t="s">
        <v>51</v>
      </c>
      <c r="C11" s="182" t="s">
        <v>48</v>
      </c>
      <c r="D11" s="186">
        <v>283</v>
      </c>
      <c r="E11" s="185">
        <v>266.609189189189</v>
      </c>
      <c r="F11" s="186">
        <v>139</v>
      </c>
      <c r="G11" s="185">
        <v>131.98081081081082</v>
      </c>
      <c r="H11" s="186">
        <v>71</v>
      </c>
      <c r="I11" s="185">
        <v>69.27702702702703</v>
      </c>
      <c r="J11" s="186">
        <v>10</v>
      </c>
      <c r="K11" s="185">
        <v>9.822222222222223</v>
      </c>
      <c r="L11" s="186">
        <v>2</v>
      </c>
      <c r="M11" s="187">
        <v>1.8</v>
      </c>
      <c r="N11" s="183">
        <v>0</v>
      </c>
      <c r="O11" s="185">
        <v>0</v>
      </c>
      <c r="P11" s="188">
        <f t="shared" si="0"/>
        <v>505</v>
      </c>
      <c r="Q11" s="189">
        <f t="shared" si="0"/>
        <v>479.4892492492491</v>
      </c>
      <c r="R11" s="183">
        <v>224</v>
      </c>
      <c r="S11" s="183">
        <v>168.56</v>
      </c>
      <c r="T11" s="183">
        <v>0</v>
      </c>
      <c r="U11" s="187">
        <v>0</v>
      </c>
      <c r="V11" s="183">
        <v>2</v>
      </c>
      <c r="W11" s="187">
        <v>2</v>
      </c>
      <c r="X11" s="183">
        <v>0</v>
      </c>
      <c r="Y11" s="187">
        <v>0</v>
      </c>
      <c r="Z11" s="190">
        <f t="shared" si="1"/>
        <v>226</v>
      </c>
      <c r="AA11" s="203">
        <f t="shared" si="2"/>
        <v>170.56</v>
      </c>
      <c r="AB11" s="191">
        <f t="shared" si="3"/>
        <v>731</v>
      </c>
      <c r="AC11" s="192">
        <f t="shared" si="3"/>
        <v>650.0492492492491</v>
      </c>
      <c r="AD11" s="193">
        <v>843769.84</v>
      </c>
      <c r="AE11" s="194">
        <v>14950.57</v>
      </c>
      <c r="AF11" s="257">
        <v>-25000</v>
      </c>
      <c r="AG11" s="194">
        <v>51562.8</v>
      </c>
      <c r="AH11" s="194">
        <v>146569.88</v>
      </c>
      <c r="AI11" s="194">
        <v>55171</v>
      </c>
      <c r="AJ11" s="195">
        <f t="shared" si="4"/>
        <v>1087024.0899999999</v>
      </c>
      <c r="AK11" s="196">
        <v>418823.2</v>
      </c>
      <c r="AL11" s="419" t="s">
        <v>90</v>
      </c>
      <c r="AM11" s="197">
        <f t="shared" si="5"/>
        <v>418823.2</v>
      </c>
      <c r="AN11" s="197">
        <f t="shared" si="6"/>
        <v>1505847.2899999998</v>
      </c>
      <c r="AO11" s="200" t="s">
        <v>7</v>
      </c>
    </row>
    <row r="12" spans="1:41" ht="75">
      <c r="A12" s="182" t="s">
        <v>6</v>
      </c>
      <c r="B12" s="183" t="s">
        <v>51</v>
      </c>
      <c r="C12" s="182" t="s">
        <v>48</v>
      </c>
      <c r="D12" s="186">
        <v>730</v>
      </c>
      <c r="E12" s="185">
        <v>693.5628888888888</v>
      </c>
      <c r="F12" s="186">
        <v>370</v>
      </c>
      <c r="G12" s="185">
        <v>349.9234523809525</v>
      </c>
      <c r="H12" s="186">
        <v>386</v>
      </c>
      <c r="I12" s="185">
        <v>370.6537301587302</v>
      </c>
      <c r="J12" s="186">
        <v>92</v>
      </c>
      <c r="K12" s="185">
        <v>90.97222222222221</v>
      </c>
      <c r="L12" s="186">
        <v>13</v>
      </c>
      <c r="M12" s="187">
        <v>13</v>
      </c>
      <c r="N12" s="183">
        <v>0</v>
      </c>
      <c r="O12" s="185">
        <v>0</v>
      </c>
      <c r="P12" s="188">
        <f>SUM(D12,F12,H12,J12,L12,N12)</f>
        <v>1591</v>
      </c>
      <c r="Q12" s="189">
        <f>SUM(E12,G12,I12,K12,M12,O12)</f>
        <v>1518.1122936507936</v>
      </c>
      <c r="R12" s="183">
        <v>45</v>
      </c>
      <c r="S12" s="183">
        <v>39.5</v>
      </c>
      <c r="T12" s="183">
        <v>0</v>
      </c>
      <c r="U12" s="187">
        <v>0</v>
      </c>
      <c r="V12" s="183">
        <v>49</v>
      </c>
      <c r="W12" s="187">
        <v>48.5</v>
      </c>
      <c r="X12" s="183">
        <v>0</v>
      </c>
      <c r="Y12" s="187">
        <v>0</v>
      </c>
      <c r="Z12" s="190">
        <f>SUM(R12,T12,V12,X12,)</f>
        <v>94</v>
      </c>
      <c r="AA12" s="203">
        <f>SUM(S12,U12,W12,Y12)</f>
        <v>88</v>
      </c>
      <c r="AB12" s="191">
        <f>P12+Z12</f>
        <v>1685</v>
      </c>
      <c r="AC12" s="192">
        <f>Q12+AA12</f>
        <v>1606.1122936507936</v>
      </c>
      <c r="AD12" s="193">
        <v>3762685.67</v>
      </c>
      <c r="AE12" s="419" t="s">
        <v>90</v>
      </c>
      <c r="AF12" s="419" t="s">
        <v>90</v>
      </c>
      <c r="AG12" s="194">
        <v>81220.13000000003</v>
      </c>
      <c r="AH12" s="194">
        <v>601015.66</v>
      </c>
      <c r="AI12" s="194">
        <v>35212.85</v>
      </c>
      <c r="AJ12" s="195">
        <f>SUM(AD12:AI12)</f>
        <v>4480134.31</v>
      </c>
      <c r="AK12" s="196">
        <v>625181.8</v>
      </c>
      <c r="AL12" s="419" t="s">
        <v>90</v>
      </c>
      <c r="AM12" s="197">
        <f>SUM(AK12:AL12)</f>
        <v>625181.8</v>
      </c>
      <c r="AN12" s="197">
        <f>SUM(AM12,AJ12)</f>
        <v>5105316.109999999</v>
      </c>
      <c r="AO12" s="200"/>
    </row>
    <row r="13" spans="1:41" ht="264">
      <c r="A13" s="182" t="s">
        <v>62</v>
      </c>
      <c r="B13" s="183" t="s">
        <v>63</v>
      </c>
      <c r="C13" s="182" t="s">
        <v>48</v>
      </c>
      <c r="D13" s="183">
        <v>0</v>
      </c>
      <c r="E13" s="185">
        <v>0</v>
      </c>
      <c r="F13" s="183">
        <v>0</v>
      </c>
      <c r="G13" s="187">
        <v>0</v>
      </c>
      <c r="H13" s="183">
        <v>0</v>
      </c>
      <c r="I13" s="187">
        <v>0</v>
      </c>
      <c r="J13" s="183">
        <v>0</v>
      </c>
      <c r="K13" s="187">
        <v>0</v>
      </c>
      <c r="L13" s="183">
        <v>0</v>
      </c>
      <c r="M13" s="187">
        <v>0</v>
      </c>
      <c r="N13" s="183">
        <v>78</v>
      </c>
      <c r="O13" s="183">
        <v>70.85</v>
      </c>
      <c r="P13" s="188">
        <f t="shared" si="0"/>
        <v>78</v>
      </c>
      <c r="Q13" s="189">
        <f t="shared" si="0"/>
        <v>70.85</v>
      </c>
      <c r="R13" s="183">
        <v>3</v>
      </c>
      <c r="S13" s="187">
        <v>3</v>
      </c>
      <c r="T13" s="183">
        <v>3</v>
      </c>
      <c r="U13" s="187">
        <v>3</v>
      </c>
      <c r="V13" s="183">
        <v>0</v>
      </c>
      <c r="W13" s="187">
        <v>0</v>
      </c>
      <c r="X13" s="183">
        <v>0</v>
      </c>
      <c r="Y13" s="187">
        <v>0</v>
      </c>
      <c r="Z13" s="190">
        <f t="shared" si="1"/>
        <v>6</v>
      </c>
      <c r="AA13" s="199">
        <f t="shared" si="2"/>
        <v>6</v>
      </c>
      <c r="AB13" s="191">
        <f t="shared" si="3"/>
        <v>84</v>
      </c>
      <c r="AC13" s="192">
        <f t="shared" si="3"/>
        <v>76.85</v>
      </c>
      <c r="AD13" s="193">
        <v>201021</v>
      </c>
      <c r="AE13" s="194">
        <v>57</v>
      </c>
      <c r="AF13" s="419" t="s">
        <v>90</v>
      </c>
      <c r="AG13" s="194">
        <v>9776</v>
      </c>
      <c r="AH13" s="194">
        <v>35216</v>
      </c>
      <c r="AI13" s="194">
        <v>17635</v>
      </c>
      <c r="AJ13" s="195">
        <f t="shared" si="4"/>
        <v>263705</v>
      </c>
      <c r="AK13" s="196">
        <v>28204</v>
      </c>
      <c r="AL13" s="419" t="s">
        <v>90</v>
      </c>
      <c r="AM13" s="197">
        <f t="shared" si="5"/>
        <v>28204</v>
      </c>
      <c r="AN13" s="197">
        <f t="shared" si="6"/>
        <v>291909</v>
      </c>
      <c r="AO13" s="200" t="s">
        <v>64</v>
      </c>
    </row>
    <row r="14" spans="1:41" ht="75">
      <c r="A14" s="182" t="s">
        <v>66</v>
      </c>
      <c r="B14" s="183" t="s">
        <v>63</v>
      </c>
      <c r="C14" s="182" t="s">
        <v>48</v>
      </c>
      <c r="D14" s="183">
        <v>0</v>
      </c>
      <c r="E14" s="185">
        <v>0</v>
      </c>
      <c r="F14" s="183">
        <v>0</v>
      </c>
      <c r="G14" s="187">
        <v>0</v>
      </c>
      <c r="H14" s="183">
        <v>0</v>
      </c>
      <c r="I14" s="187">
        <v>0</v>
      </c>
      <c r="J14" s="183">
        <v>0</v>
      </c>
      <c r="K14" s="187">
        <v>0</v>
      </c>
      <c r="L14" s="183">
        <v>0</v>
      </c>
      <c r="M14" s="187">
        <v>0</v>
      </c>
      <c r="N14" s="183">
        <v>397</v>
      </c>
      <c r="O14" s="185">
        <v>366.1</v>
      </c>
      <c r="P14" s="188">
        <f t="shared" si="0"/>
        <v>397</v>
      </c>
      <c r="Q14" s="189">
        <f t="shared" si="0"/>
        <v>366.1</v>
      </c>
      <c r="R14" s="183">
        <v>13</v>
      </c>
      <c r="S14" s="187">
        <v>12.2</v>
      </c>
      <c r="T14" s="183">
        <v>0</v>
      </c>
      <c r="U14" s="187">
        <v>0</v>
      </c>
      <c r="V14" s="183">
        <v>1</v>
      </c>
      <c r="W14" s="187">
        <v>1</v>
      </c>
      <c r="X14" s="183">
        <v>0</v>
      </c>
      <c r="Y14" s="187">
        <v>0</v>
      </c>
      <c r="Z14" s="190">
        <f t="shared" si="1"/>
        <v>14</v>
      </c>
      <c r="AA14" s="199">
        <f t="shared" si="2"/>
        <v>13.2</v>
      </c>
      <c r="AB14" s="191">
        <f t="shared" si="3"/>
        <v>411</v>
      </c>
      <c r="AC14" s="192">
        <f t="shared" si="3"/>
        <v>379.3</v>
      </c>
      <c r="AD14" s="193">
        <v>805838.22</v>
      </c>
      <c r="AE14" s="194">
        <v>1335.49</v>
      </c>
      <c r="AF14" s="419" t="s">
        <v>90</v>
      </c>
      <c r="AG14" s="194">
        <v>20283.84</v>
      </c>
      <c r="AH14" s="194">
        <v>143352.3</v>
      </c>
      <c r="AI14" s="194">
        <v>56510.08</v>
      </c>
      <c r="AJ14" s="195">
        <f t="shared" si="4"/>
        <v>1027319.9299999998</v>
      </c>
      <c r="AK14" s="196">
        <v>18744.3</v>
      </c>
      <c r="AL14" s="419" t="s">
        <v>90</v>
      </c>
      <c r="AM14" s="197">
        <f t="shared" si="5"/>
        <v>18744.3</v>
      </c>
      <c r="AN14" s="197">
        <f t="shared" si="6"/>
        <v>1046064.2299999999</v>
      </c>
      <c r="AO14" s="198"/>
    </row>
    <row r="15" spans="1:41" ht="75">
      <c r="A15" s="182" t="s">
        <v>67</v>
      </c>
      <c r="B15" s="183" t="s">
        <v>63</v>
      </c>
      <c r="C15" s="182" t="s">
        <v>48</v>
      </c>
      <c r="D15" s="183">
        <v>14</v>
      </c>
      <c r="E15" s="185">
        <v>13.2</v>
      </c>
      <c r="F15" s="183">
        <v>16</v>
      </c>
      <c r="G15" s="187">
        <v>14.94</v>
      </c>
      <c r="H15" s="183">
        <v>24</v>
      </c>
      <c r="I15" s="183">
        <v>23.69</v>
      </c>
      <c r="J15" s="183">
        <v>12</v>
      </c>
      <c r="K15" s="187">
        <v>10.95</v>
      </c>
      <c r="L15" s="183">
        <v>3</v>
      </c>
      <c r="M15" s="187">
        <v>3</v>
      </c>
      <c r="N15" s="183">
        <v>1</v>
      </c>
      <c r="O15" s="187">
        <v>0.4</v>
      </c>
      <c r="P15" s="188">
        <f t="shared" si="0"/>
        <v>70</v>
      </c>
      <c r="Q15" s="189">
        <f t="shared" si="0"/>
        <v>66.18</v>
      </c>
      <c r="R15" s="183">
        <v>4</v>
      </c>
      <c r="S15" s="187">
        <v>4</v>
      </c>
      <c r="T15" s="183">
        <v>0</v>
      </c>
      <c r="U15" s="187">
        <v>0</v>
      </c>
      <c r="V15" s="183">
        <v>0</v>
      </c>
      <c r="W15" s="187">
        <v>0</v>
      </c>
      <c r="X15" s="183">
        <v>0</v>
      </c>
      <c r="Y15" s="187">
        <v>0</v>
      </c>
      <c r="Z15" s="190">
        <f t="shared" si="1"/>
        <v>4</v>
      </c>
      <c r="AA15" s="199">
        <f t="shared" si="2"/>
        <v>4</v>
      </c>
      <c r="AB15" s="191">
        <f t="shared" si="3"/>
        <v>74</v>
      </c>
      <c r="AC15" s="192">
        <f t="shared" si="3"/>
        <v>70.18</v>
      </c>
      <c r="AD15" s="193">
        <v>176821.37</v>
      </c>
      <c r="AE15" s="194">
        <v>1673.26</v>
      </c>
      <c r="AF15" s="194">
        <v>450</v>
      </c>
      <c r="AG15" s="419" t="s">
        <v>90</v>
      </c>
      <c r="AH15" s="194">
        <v>34264.56</v>
      </c>
      <c r="AI15" s="194">
        <v>14919.51</v>
      </c>
      <c r="AJ15" s="195">
        <f t="shared" si="4"/>
        <v>228128.7</v>
      </c>
      <c r="AK15" s="196">
        <v>5860.36</v>
      </c>
      <c r="AL15" s="419" t="s">
        <v>90</v>
      </c>
      <c r="AM15" s="197">
        <f t="shared" si="5"/>
        <v>5860.36</v>
      </c>
      <c r="AN15" s="197">
        <f t="shared" si="6"/>
        <v>233989.06</v>
      </c>
      <c r="AO15" s="198"/>
    </row>
    <row r="16" spans="1:41" ht="156">
      <c r="A16" s="182" t="s">
        <v>68</v>
      </c>
      <c r="B16" s="183" t="s">
        <v>63</v>
      </c>
      <c r="C16" s="182" t="s">
        <v>48</v>
      </c>
      <c r="D16" s="183">
        <v>0</v>
      </c>
      <c r="E16" s="185">
        <v>0</v>
      </c>
      <c r="F16" s="183">
        <v>0</v>
      </c>
      <c r="G16" s="187">
        <v>0</v>
      </c>
      <c r="H16" s="183">
        <v>0</v>
      </c>
      <c r="I16" s="187">
        <v>0</v>
      </c>
      <c r="J16" s="183">
        <v>0</v>
      </c>
      <c r="K16" s="187">
        <v>0</v>
      </c>
      <c r="L16" s="183">
        <v>0</v>
      </c>
      <c r="M16" s="187">
        <v>0</v>
      </c>
      <c r="N16" s="96">
        <v>31</v>
      </c>
      <c r="O16" s="105">
        <v>30.8</v>
      </c>
      <c r="P16" s="188">
        <f t="shared" si="0"/>
        <v>31</v>
      </c>
      <c r="Q16" s="189">
        <f t="shared" si="0"/>
        <v>30.8</v>
      </c>
      <c r="R16" s="183">
        <v>0</v>
      </c>
      <c r="S16" s="187">
        <v>0</v>
      </c>
      <c r="T16" s="183">
        <v>0</v>
      </c>
      <c r="U16" s="187">
        <v>0</v>
      </c>
      <c r="V16" s="183">
        <v>0</v>
      </c>
      <c r="W16" s="187">
        <v>0</v>
      </c>
      <c r="X16" s="183">
        <v>0</v>
      </c>
      <c r="Y16" s="187">
        <v>0</v>
      </c>
      <c r="Z16" s="190">
        <f t="shared" si="1"/>
        <v>0</v>
      </c>
      <c r="AA16" s="199">
        <f t="shared" si="2"/>
        <v>0</v>
      </c>
      <c r="AB16" s="191">
        <f t="shared" si="3"/>
        <v>31</v>
      </c>
      <c r="AC16" s="192">
        <f t="shared" si="3"/>
        <v>30.8</v>
      </c>
      <c r="AD16" s="193">
        <v>144680.08</v>
      </c>
      <c r="AE16" s="419" t="s">
        <v>90</v>
      </c>
      <c r="AF16" s="419" t="s">
        <v>90</v>
      </c>
      <c r="AG16" s="419" t="s">
        <v>90</v>
      </c>
      <c r="AH16" s="194">
        <v>27917.88</v>
      </c>
      <c r="AI16" s="194">
        <v>17306.05</v>
      </c>
      <c r="AJ16" s="195">
        <f t="shared" si="4"/>
        <v>189904.00999999998</v>
      </c>
      <c r="AK16" s="419" t="s">
        <v>90</v>
      </c>
      <c r="AL16" s="419" t="s">
        <v>90</v>
      </c>
      <c r="AM16" s="197">
        <f t="shared" si="5"/>
        <v>0</v>
      </c>
      <c r="AN16" s="197">
        <f t="shared" si="6"/>
        <v>189904.00999999998</v>
      </c>
      <c r="AO16" s="200" t="s">
        <v>69</v>
      </c>
    </row>
    <row r="17" spans="1:41" ht="75">
      <c r="A17" s="182" t="s">
        <v>71</v>
      </c>
      <c r="B17" s="183" t="s">
        <v>63</v>
      </c>
      <c r="C17" s="182" t="s">
        <v>48</v>
      </c>
      <c r="D17" s="186">
        <v>21</v>
      </c>
      <c r="E17" s="186">
        <v>20.6</v>
      </c>
      <c r="F17" s="186">
        <v>46</v>
      </c>
      <c r="G17" s="183">
        <v>44.7</v>
      </c>
      <c r="H17" s="186">
        <v>17</v>
      </c>
      <c r="I17" s="183">
        <v>16.6</v>
      </c>
      <c r="J17" s="183">
        <v>3</v>
      </c>
      <c r="K17" s="187">
        <v>3</v>
      </c>
      <c r="L17" s="186">
        <v>2</v>
      </c>
      <c r="M17" s="187">
        <v>1.4</v>
      </c>
      <c r="N17" s="183">
        <v>0</v>
      </c>
      <c r="O17" s="187">
        <v>0</v>
      </c>
      <c r="P17" s="188">
        <f t="shared" si="0"/>
        <v>89</v>
      </c>
      <c r="Q17" s="189">
        <f t="shared" si="0"/>
        <v>86.30000000000001</v>
      </c>
      <c r="R17" s="183">
        <v>8</v>
      </c>
      <c r="S17" s="187">
        <v>0</v>
      </c>
      <c r="T17" s="183">
        <v>0</v>
      </c>
      <c r="U17" s="187">
        <v>0</v>
      </c>
      <c r="V17" s="183">
        <v>0</v>
      </c>
      <c r="W17" s="187">
        <v>0</v>
      </c>
      <c r="X17" s="183">
        <v>0</v>
      </c>
      <c r="Y17" s="187">
        <v>0</v>
      </c>
      <c r="Z17" s="190">
        <f t="shared" si="1"/>
        <v>8</v>
      </c>
      <c r="AA17" s="199">
        <f t="shared" si="2"/>
        <v>0</v>
      </c>
      <c r="AB17" s="191">
        <f t="shared" si="3"/>
        <v>97</v>
      </c>
      <c r="AC17" s="192">
        <f t="shared" si="3"/>
        <v>86.30000000000001</v>
      </c>
      <c r="AD17" s="193">
        <v>186434.5</v>
      </c>
      <c r="AE17" s="194">
        <v>20190.3</v>
      </c>
      <c r="AF17" s="419" t="s">
        <v>90</v>
      </c>
      <c r="AG17" s="194">
        <v>3621.7</v>
      </c>
      <c r="AH17" s="194">
        <v>30601.2</v>
      </c>
      <c r="AI17" s="194">
        <v>18197.4</v>
      </c>
      <c r="AJ17" s="195">
        <f t="shared" si="4"/>
        <v>259045.1</v>
      </c>
      <c r="AK17" s="196">
        <v>33370.5</v>
      </c>
      <c r="AL17" s="419" t="s">
        <v>90</v>
      </c>
      <c r="AM17" s="197">
        <f t="shared" si="5"/>
        <v>33370.5</v>
      </c>
      <c r="AN17" s="197">
        <f t="shared" si="6"/>
        <v>292415.6</v>
      </c>
      <c r="AO17" s="200"/>
    </row>
    <row r="18" spans="1:41" ht="409.5">
      <c r="A18" s="264" t="s">
        <v>72</v>
      </c>
      <c r="B18" s="156" t="s">
        <v>63</v>
      </c>
      <c r="C18" s="23" t="s">
        <v>48</v>
      </c>
      <c r="D18" s="183">
        <v>0</v>
      </c>
      <c r="E18" s="185">
        <v>0</v>
      </c>
      <c r="F18" s="183">
        <v>0</v>
      </c>
      <c r="G18" s="187">
        <v>0</v>
      </c>
      <c r="H18" s="183">
        <v>0</v>
      </c>
      <c r="I18" s="187">
        <v>0</v>
      </c>
      <c r="J18" s="183">
        <v>0</v>
      </c>
      <c r="K18" s="187">
        <v>0</v>
      </c>
      <c r="L18" s="183">
        <v>0</v>
      </c>
      <c r="M18" s="187">
        <v>0</v>
      </c>
      <c r="N18" s="419">
        <v>18203</v>
      </c>
      <c r="O18" s="420">
        <v>16406</v>
      </c>
      <c r="P18" s="267">
        <f t="shared" si="0"/>
        <v>18203</v>
      </c>
      <c r="Q18" s="265">
        <f t="shared" si="0"/>
        <v>16406</v>
      </c>
      <c r="R18" s="419">
        <v>1360</v>
      </c>
      <c r="S18" s="420">
        <v>1360</v>
      </c>
      <c r="T18" s="419">
        <v>7</v>
      </c>
      <c r="U18" s="420">
        <v>7</v>
      </c>
      <c r="V18" s="419" t="s">
        <v>90</v>
      </c>
      <c r="W18" s="419" t="s">
        <v>90</v>
      </c>
      <c r="X18" s="419" t="s">
        <v>90</v>
      </c>
      <c r="Y18" s="419" t="s">
        <v>90</v>
      </c>
      <c r="Z18" s="269">
        <f t="shared" si="1"/>
        <v>1367</v>
      </c>
      <c r="AA18" s="270">
        <f t="shared" si="2"/>
        <v>1367</v>
      </c>
      <c r="AB18" s="271">
        <f t="shared" si="3"/>
        <v>19570</v>
      </c>
      <c r="AC18" s="268">
        <f t="shared" si="3"/>
        <v>17773</v>
      </c>
      <c r="AD18" s="419" t="s">
        <v>90</v>
      </c>
      <c r="AE18" s="419" t="s">
        <v>90</v>
      </c>
      <c r="AF18" s="419" t="s">
        <v>90</v>
      </c>
      <c r="AG18" s="419" t="s">
        <v>90</v>
      </c>
      <c r="AH18" s="419" t="s">
        <v>90</v>
      </c>
      <c r="AI18" s="419" t="s">
        <v>90</v>
      </c>
      <c r="AJ18" s="274">
        <f t="shared" si="4"/>
        <v>0</v>
      </c>
      <c r="AK18" s="419" t="s">
        <v>90</v>
      </c>
      <c r="AL18" s="419" t="s">
        <v>90</v>
      </c>
      <c r="AM18" s="273">
        <f t="shared" si="5"/>
        <v>0</v>
      </c>
      <c r="AN18" s="273">
        <f t="shared" si="6"/>
        <v>0</v>
      </c>
      <c r="AO18" s="204" t="s">
        <v>3</v>
      </c>
    </row>
    <row r="19" spans="1:41" ht="90">
      <c r="A19" s="183" t="s">
        <v>124</v>
      </c>
      <c r="B19" s="183" t="s">
        <v>63</v>
      </c>
      <c r="C19" s="205" t="s">
        <v>48</v>
      </c>
      <c r="D19" s="183">
        <v>15</v>
      </c>
      <c r="E19" s="183">
        <v>14.35</v>
      </c>
      <c r="F19" s="183">
        <v>43</v>
      </c>
      <c r="G19" s="183">
        <v>41.66</v>
      </c>
      <c r="H19" s="183">
        <v>112</v>
      </c>
      <c r="I19" s="183">
        <v>108.99</v>
      </c>
      <c r="J19" s="183">
        <v>40</v>
      </c>
      <c r="K19" s="185">
        <v>38.86</v>
      </c>
      <c r="L19" s="183">
        <v>5</v>
      </c>
      <c r="M19" s="185">
        <v>4.6</v>
      </c>
      <c r="N19" s="183">
        <v>9</v>
      </c>
      <c r="O19" s="185">
        <v>9</v>
      </c>
      <c r="P19" s="188">
        <f t="shared" si="0"/>
        <v>224</v>
      </c>
      <c r="Q19" s="189">
        <f t="shared" si="0"/>
        <v>217.46</v>
      </c>
      <c r="R19" s="183">
        <v>4</v>
      </c>
      <c r="S19" s="187">
        <v>4</v>
      </c>
      <c r="T19" s="183">
        <v>0</v>
      </c>
      <c r="U19" s="187">
        <v>0</v>
      </c>
      <c r="V19" s="183">
        <v>0</v>
      </c>
      <c r="W19" s="187">
        <v>0</v>
      </c>
      <c r="X19" s="183">
        <v>0</v>
      </c>
      <c r="Y19" s="187">
        <v>0</v>
      </c>
      <c r="Z19" s="190">
        <f t="shared" si="1"/>
        <v>4</v>
      </c>
      <c r="AA19" s="199">
        <f t="shared" si="2"/>
        <v>4</v>
      </c>
      <c r="AB19" s="191">
        <f t="shared" si="3"/>
        <v>228</v>
      </c>
      <c r="AC19" s="192">
        <f t="shared" si="3"/>
        <v>221.46</v>
      </c>
      <c r="AD19" s="251">
        <v>669280.11</v>
      </c>
      <c r="AE19" s="194">
        <v>47202.45</v>
      </c>
      <c r="AF19" s="419" t="s">
        <v>90</v>
      </c>
      <c r="AG19" s="194">
        <v>3006.25</v>
      </c>
      <c r="AH19" s="251">
        <v>135401</v>
      </c>
      <c r="AI19" s="194">
        <v>64369.58</v>
      </c>
      <c r="AJ19" s="195">
        <f t="shared" si="4"/>
        <v>919259.3899999999</v>
      </c>
      <c r="AK19" s="419" t="s">
        <v>90</v>
      </c>
      <c r="AL19" s="419" t="s">
        <v>90</v>
      </c>
      <c r="AM19" s="197">
        <f t="shared" si="5"/>
        <v>0</v>
      </c>
      <c r="AN19" s="197">
        <f t="shared" si="6"/>
        <v>919259.3899999999</v>
      </c>
      <c r="AO19" s="198" t="s">
        <v>4</v>
      </c>
    </row>
    <row r="20" spans="1:41" ht="90">
      <c r="A20" s="183" t="s">
        <v>124</v>
      </c>
      <c r="B20" s="183" t="s">
        <v>63</v>
      </c>
      <c r="C20" s="205" t="s">
        <v>48</v>
      </c>
      <c r="D20" s="183">
        <v>15</v>
      </c>
      <c r="E20" s="183">
        <v>14.35</v>
      </c>
      <c r="F20" s="183">
        <v>43</v>
      </c>
      <c r="G20" s="183">
        <v>41.66</v>
      </c>
      <c r="H20" s="183">
        <v>112</v>
      </c>
      <c r="I20" s="183">
        <v>108.99</v>
      </c>
      <c r="J20" s="183">
        <v>40</v>
      </c>
      <c r="K20" s="185">
        <v>38.86</v>
      </c>
      <c r="L20" s="183">
        <v>5</v>
      </c>
      <c r="M20" s="185">
        <v>4.6</v>
      </c>
      <c r="N20" s="183">
        <v>9</v>
      </c>
      <c r="O20" s="185">
        <v>9</v>
      </c>
      <c r="P20" s="188">
        <v>224</v>
      </c>
      <c r="Q20" s="189">
        <v>217.46</v>
      </c>
      <c r="R20" s="183">
        <v>4</v>
      </c>
      <c r="S20" s="187">
        <v>4</v>
      </c>
      <c r="T20" s="183">
        <v>0</v>
      </c>
      <c r="U20" s="187">
        <v>0</v>
      </c>
      <c r="V20" s="183">
        <v>0</v>
      </c>
      <c r="W20" s="187">
        <v>0</v>
      </c>
      <c r="X20" s="183">
        <v>0</v>
      </c>
      <c r="Y20" s="187">
        <v>0</v>
      </c>
      <c r="Z20" s="190">
        <v>4</v>
      </c>
      <c r="AA20" s="199">
        <v>4</v>
      </c>
      <c r="AB20" s="191">
        <v>228</v>
      </c>
      <c r="AC20" s="192">
        <v>221.46</v>
      </c>
      <c r="AD20" s="193">
        <v>609158.31</v>
      </c>
      <c r="AE20" s="194">
        <v>56419.67</v>
      </c>
      <c r="AF20" s="196" t="s">
        <v>90</v>
      </c>
      <c r="AG20" s="194">
        <v>3006.25</v>
      </c>
      <c r="AH20" s="194">
        <v>128042.77</v>
      </c>
      <c r="AI20" s="194">
        <v>58562.23</v>
      </c>
      <c r="AJ20" s="195">
        <v>855189.23</v>
      </c>
      <c r="AK20" s="196" t="s">
        <v>90</v>
      </c>
      <c r="AL20" s="196" t="s">
        <v>90</v>
      </c>
      <c r="AM20" s="197">
        <v>0</v>
      </c>
      <c r="AN20" s="197">
        <v>855189.23</v>
      </c>
      <c r="AO20" s="198"/>
    </row>
  </sheetData>
  <sheetProtection selectLockedCells="1"/>
  <mergeCells count="32">
    <mergeCell ref="V5:W5"/>
    <mergeCell ref="T5:U5"/>
    <mergeCell ref="A4:A6"/>
    <mergeCell ref="B4:B6"/>
    <mergeCell ref="C4:C6"/>
    <mergeCell ref="D4:Q4"/>
    <mergeCell ref="L5:M5"/>
    <mergeCell ref="N5:O5"/>
    <mergeCell ref="P5:Q5"/>
    <mergeCell ref="R5:S5"/>
    <mergeCell ref="D5:E5"/>
    <mergeCell ref="F5:G5"/>
    <mergeCell ref="H5:I5"/>
    <mergeCell ref="J5:K5"/>
    <mergeCell ref="AF5:AF6"/>
    <mergeCell ref="AG5:AG6"/>
    <mergeCell ref="AK5:AK6"/>
    <mergeCell ref="AL5:AL6"/>
    <mergeCell ref="AN4:AN6"/>
    <mergeCell ref="AO4:AO6"/>
    <mergeCell ref="AK4:AM4"/>
    <mergeCell ref="AM5:AM6"/>
    <mergeCell ref="R4:AA4"/>
    <mergeCell ref="AB4:AC5"/>
    <mergeCell ref="AD4:AJ4"/>
    <mergeCell ref="AH5:AH6"/>
    <mergeCell ref="AI5:AI6"/>
    <mergeCell ref="AE5:AE6"/>
    <mergeCell ref="X5:Y5"/>
    <mergeCell ref="Z5:AA5"/>
    <mergeCell ref="AD5:AD6"/>
    <mergeCell ref="AJ5:AJ6"/>
  </mergeCells>
  <conditionalFormatting sqref="C20 B7:B19">
    <cfRule type="expression" priority="1" dxfId="22" stopIfTrue="1">
      <formula>AND(NOT(ISBLANK($A7)),ISBLANK(B7))</formula>
    </cfRule>
  </conditionalFormatting>
  <conditionalFormatting sqref="D20 C7:C19">
    <cfRule type="expression" priority="2" dxfId="22" stopIfTrue="1">
      <formula>AND(NOT(ISBLANK(A7)),ISBLANK(C7))</formula>
    </cfRule>
  </conditionalFormatting>
  <conditionalFormatting sqref="S20 M20 K20 E20 I20 W20 G20 O20 D7:D19 F7:F19 H7:H19 J7:J19 L7:L19 V7:V19 X7:X19 T7:T19 R7:R19 N7:N19">
    <cfRule type="expression" priority="3" dxfId="22" stopIfTrue="1">
      <formula>AND(NOT(ISBLANK(E7)),ISBLANK(D7))</formula>
    </cfRule>
  </conditionalFormatting>
  <conditionalFormatting sqref="T20 F20 J20 H20 X20 P20 N20 L20 E7:E19 G7:G19 I7:I19 K7:K19 M7:M19 W7:W19 Y7:Y19 U7:U19 S7:S19 O7:O19 AD18:AI18 AF19 AF17 AE16:AG16 AG15 AF13:AF14 AE12:AF12 AL8:AL9 AL11:AL15 AK16:AL16 AL17 AK18:AL19">
    <cfRule type="expression" priority="4" dxfId="22" stopIfTrue="1">
      <formula>AND(NOT(ISBLANK(D7)),ISBLANK(E7))</formula>
    </cfRule>
  </conditionalFormatting>
  <dataValidations count="8">
    <dataValidation type="custom" allowBlank="1" showInputMessage="1" showErrorMessage="1" errorTitle="Headcount" error="The value entered in the headcount field must be greater than or equal to the value entered in the FTE field." sqref="D7:D18 N7:N18 F7:F18 L7:L18 J7:J18 H7:H18 V7:V18 X7:X18 T7:T18 R7:R18">
      <formula1>D7&gt;=E7</formula1>
    </dataValidation>
    <dataValidation type="custom" allowBlank="1" showInputMessage="1" showErrorMessage="1" errorTitle="FTE" error="The value entered in the FTE field must be less than or equal to the value entered in the headcount field." sqref="E7:E18 O7:O18 M7:M18 K7:K18 I7:I18 G7:G18 W7:W18 Y7:Y18 U7:U18 S7:S18 AD18:AI18 AF19 AF16:AF17 AE16 AG15:AG16 AF12:AF14 AE12 AL8:AL9 AL11:AL19 AK16 AK18:AK19">
      <formula1>E7&lt;=D7</formula1>
    </dataValidation>
    <dataValidation type="decimal" operator="greaterThanOrEqual" allowBlank="1" showInputMessage="1" showErrorMessage="1" sqref="AF20 Y20:Z20 U20:V20 AK20:AM20 AE7:AF11 AE17 AD7:AD17 AH7:AI17 AG17 AG7:AG14 AE13:AE15 AF15 AK17 AL7 AL10 AK7:AK15">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D20 C7:C19">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C20 B7:B19">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20:B20 A7:A11 A13:A19">
      <formula1>INDIRECT("List_of_organisations")</formula1>
    </dataValidation>
    <dataValidation operator="lessThanOrEqual" allowBlank="1" showInputMessage="1" showErrorMessage="1" error="FTE cannot be greater than Headcount&#10;" sqref="AO4 AC20:AD20 AB4 R4 Q20:R20 AB6:AC19 A4:C4 P5 AO7:AO19 P7:Q19"/>
    <dataValidation type="decimal" operator="greaterThan" allowBlank="1" showInputMessage="1" showErrorMessage="1" sqref="AE20 AG20:AJ20 AD19:AE19 AG19:AI19">
      <formula1>0</formula1>
    </dataValidation>
  </dataValidations>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AP20"/>
  <sheetViews>
    <sheetView workbookViewId="0" topLeftCell="A1">
      <selection activeCell="N8" sqref="N8"/>
    </sheetView>
  </sheetViews>
  <sheetFormatPr defaultColWidth="8.88671875" defaultRowHeight="15"/>
  <cols>
    <col min="2" max="2" width="10.77734375" style="0" customWidth="1"/>
    <col min="3" max="3" width="10.10546875" style="0" customWidth="1"/>
    <col min="30" max="30" width="13.4453125" style="0" bestFit="1" customWidth="1"/>
    <col min="31" max="31" width="10.88671875" style="0" bestFit="1" customWidth="1"/>
    <col min="32" max="32" width="33.21484375" style="0" bestFit="1" customWidth="1"/>
    <col min="33" max="33" width="12.4453125" style="0" customWidth="1"/>
    <col min="34" max="34" width="14.21484375" style="0" customWidth="1"/>
    <col min="35" max="35" width="13.6640625" style="0" customWidth="1"/>
    <col min="36" max="36" width="14.21484375" style="0" customWidth="1"/>
    <col min="37" max="37" width="12.4453125" style="0" customWidth="1"/>
    <col min="38" max="38" width="15.3359375" style="0" customWidth="1"/>
    <col min="39" max="39" width="15.77734375" style="0" customWidth="1"/>
    <col min="40" max="40" width="12.4453125" style="0" customWidth="1"/>
  </cols>
  <sheetData>
    <row r="1" spans="1:41" ht="15">
      <c r="A1" s="2" t="s">
        <v>92</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row>
    <row r="2" spans="1:41" ht="15">
      <c r="A2" s="24" t="s">
        <v>93</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row>
    <row r="3" spans="1:41" ht="15">
      <c r="A3" s="24" t="s">
        <v>94</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row>
    <row r="4" spans="1:41" ht="15">
      <c r="A4" s="313" t="s">
        <v>26</v>
      </c>
      <c r="B4" s="328" t="s">
        <v>15</v>
      </c>
      <c r="C4" s="328" t="s">
        <v>14</v>
      </c>
      <c r="D4" s="315" t="s">
        <v>22</v>
      </c>
      <c r="E4" s="329"/>
      <c r="F4" s="329"/>
      <c r="G4" s="329"/>
      <c r="H4" s="329"/>
      <c r="I4" s="329"/>
      <c r="J4" s="329"/>
      <c r="K4" s="329"/>
      <c r="L4" s="329"/>
      <c r="M4" s="329"/>
      <c r="N4" s="329"/>
      <c r="O4" s="329"/>
      <c r="P4" s="329"/>
      <c r="Q4" s="316"/>
      <c r="R4" s="303" t="s">
        <v>29</v>
      </c>
      <c r="S4" s="304"/>
      <c r="T4" s="304"/>
      <c r="U4" s="304"/>
      <c r="V4" s="304"/>
      <c r="W4" s="304"/>
      <c r="X4" s="304"/>
      <c r="Y4" s="304"/>
      <c r="Z4" s="304"/>
      <c r="AA4" s="305"/>
      <c r="AB4" s="306" t="s">
        <v>39</v>
      </c>
      <c r="AC4" s="307"/>
      <c r="AD4" s="310" t="s">
        <v>25</v>
      </c>
      <c r="AE4" s="311"/>
      <c r="AF4" s="311"/>
      <c r="AG4" s="311"/>
      <c r="AH4" s="311"/>
      <c r="AI4" s="311"/>
      <c r="AJ4" s="312"/>
      <c r="AK4" s="322" t="s">
        <v>115</v>
      </c>
      <c r="AL4" s="323"/>
      <c r="AM4" s="323"/>
      <c r="AN4" s="318" t="s">
        <v>38</v>
      </c>
      <c r="AO4" s="313" t="s">
        <v>126</v>
      </c>
    </row>
    <row r="5" spans="1:41" ht="15">
      <c r="A5" s="326"/>
      <c r="B5" s="326"/>
      <c r="C5" s="326"/>
      <c r="D5" s="324" t="s">
        <v>116</v>
      </c>
      <c r="E5" s="325"/>
      <c r="F5" s="324" t="s">
        <v>117</v>
      </c>
      <c r="G5" s="325"/>
      <c r="H5" s="324" t="s">
        <v>118</v>
      </c>
      <c r="I5" s="325"/>
      <c r="J5" s="324" t="s">
        <v>20</v>
      </c>
      <c r="K5" s="325"/>
      <c r="L5" s="324" t="s">
        <v>119</v>
      </c>
      <c r="M5" s="325"/>
      <c r="N5" s="324" t="s">
        <v>19</v>
      </c>
      <c r="O5" s="325"/>
      <c r="P5" s="315" t="s">
        <v>23</v>
      </c>
      <c r="Q5" s="316"/>
      <c r="R5" s="315" t="s">
        <v>27</v>
      </c>
      <c r="S5" s="305"/>
      <c r="T5" s="303" t="s">
        <v>17</v>
      </c>
      <c r="U5" s="305"/>
      <c r="V5" s="303" t="s">
        <v>18</v>
      </c>
      <c r="W5" s="305"/>
      <c r="X5" s="303" t="s">
        <v>28</v>
      </c>
      <c r="Y5" s="305"/>
      <c r="Z5" s="315" t="s">
        <v>24</v>
      </c>
      <c r="AA5" s="316"/>
      <c r="AB5" s="308"/>
      <c r="AC5" s="309"/>
      <c r="AD5" s="313" t="s">
        <v>31</v>
      </c>
      <c r="AE5" s="313" t="s">
        <v>30</v>
      </c>
      <c r="AF5" s="313" t="s">
        <v>32</v>
      </c>
      <c r="AG5" s="313" t="s">
        <v>33</v>
      </c>
      <c r="AH5" s="313" t="s">
        <v>34</v>
      </c>
      <c r="AI5" s="313" t="s">
        <v>35</v>
      </c>
      <c r="AJ5" s="317" t="s">
        <v>37</v>
      </c>
      <c r="AK5" s="313" t="s">
        <v>120</v>
      </c>
      <c r="AL5" s="313" t="s">
        <v>121</v>
      </c>
      <c r="AM5" s="313" t="s">
        <v>36</v>
      </c>
      <c r="AN5" s="319"/>
      <c r="AO5" s="321"/>
    </row>
    <row r="6" spans="1:41" ht="60">
      <c r="A6" s="327"/>
      <c r="B6" s="327"/>
      <c r="C6" s="327"/>
      <c r="D6" s="175" t="s">
        <v>16</v>
      </c>
      <c r="E6" s="175" t="s">
        <v>21</v>
      </c>
      <c r="F6" s="175" t="s">
        <v>16</v>
      </c>
      <c r="G6" s="175" t="s">
        <v>21</v>
      </c>
      <c r="H6" s="175" t="s">
        <v>16</v>
      </c>
      <c r="I6" s="175" t="s">
        <v>21</v>
      </c>
      <c r="J6" s="175" t="s">
        <v>16</v>
      </c>
      <c r="K6" s="175" t="s">
        <v>21</v>
      </c>
      <c r="L6" s="175" t="s">
        <v>16</v>
      </c>
      <c r="M6" s="175" t="s">
        <v>21</v>
      </c>
      <c r="N6" s="175" t="s">
        <v>16</v>
      </c>
      <c r="O6" s="175" t="s">
        <v>21</v>
      </c>
      <c r="P6" s="175" t="s">
        <v>16</v>
      </c>
      <c r="Q6" s="175" t="s">
        <v>21</v>
      </c>
      <c r="R6" s="174" t="s">
        <v>16</v>
      </c>
      <c r="S6" s="174" t="s">
        <v>21</v>
      </c>
      <c r="T6" s="174" t="s">
        <v>16</v>
      </c>
      <c r="U6" s="174" t="s">
        <v>21</v>
      </c>
      <c r="V6" s="174" t="s">
        <v>16</v>
      </c>
      <c r="W6" s="174" t="s">
        <v>21</v>
      </c>
      <c r="X6" s="174" t="s">
        <v>16</v>
      </c>
      <c r="Y6" s="174" t="s">
        <v>21</v>
      </c>
      <c r="Z6" s="174" t="s">
        <v>16</v>
      </c>
      <c r="AA6" s="174" t="s">
        <v>21</v>
      </c>
      <c r="AB6" s="177" t="s">
        <v>16</v>
      </c>
      <c r="AC6" s="176" t="s">
        <v>21</v>
      </c>
      <c r="AD6" s="314"/>
      <c r="AE6" s="314"/>
      <c r="AF6" s="314"/>
      <c r="AG6" s="314"/>
      <c r="AH6" s="314"/>
      <c r="AI6" s="314"/>
      <c r="AJ6" s="317"/>
      <c r="AK6" s="314"/>
      <c r="AL6" s="314"/>
      <c r="AM6" s="314"/>
      <c r="AN6" s="320"/>
      <c r="AO6" s="314"/>
    </row>
    <row r="7" spans="1:42" ht="45">
      <c r="A7" s="182" t="s">
        <v>48</v>
      </c>
      <c r="B7" s="183" t="s">
        <v>49</v>
      </c>
      <c r="C7" s="182" t="s">
        <v>48</v>
      </c>
      <c r="D7" s="184">
        <v>976</v>
      </c>
      <c r="E7" s="185">
        <v>909.0459959409965</v>
      </c>
      <c r="F7" s="186">
        <v>925</v>
      </c>
      <c r="G7" s="185">
        <v>886.3561506366996</v>
      </c>
      <c r="H7" s="186">
        <v>1668</v>
      </c>
      <c r="I7" s="185">
        <v>1620.0322916993648</v>
      </c>
      <c r="J7" s="186">
        <v>794</v>
      </c>
      <c r="K7" s="185">
        <v>775.2128660367686</v>
      </c>
      <c r="L7" s="186">
        <v>123</v>
      </c>
      <c r="M7" s="185">
        <v>121.3161111111111</v>
      </c>
      <c r="N7" s="183">
        <v>0</v>
      </c>
      <c r="O7" s="187">
        <v>0</v>
      </c>
      <c r="P7" s="188">
        <f>SUM(D7,F7,H7,J7,L7,N7)</f>
        <v>4486</v>
      </c>
      <c r="Q7" s="189">
        <f>SUM(E7,G7,I7,K7,M7,O7)</f>
        <v>4311.963415424941</v>
      </c>
      <c r="R7" s="183">
        <v>158</v>
      </c>
      <c r="S7" s="183">
        <v>154.79</v>
      </c>
      <c r="T7" s="183">
        <v>13</v>
      </c>
      <c r="U7" s="187">
        <v>13</v>
      </c>
      <c r="V7" s="183">
        <v>209</v>
      </c>
      <c r="W7" s="187">
        <v>209</v>
      </c>
      <c r="X7" s="183">
        <v>0</v>
      </c>
      <c r="Y7" s="187">
        <v>0</v>
      </c>
      <c r="Z7" s="190">
        <f>SUM(R7,T7,V7,X7,)</f>
        <v>380</v>
      </c>
      <c r="AA7" s="203">
        <f>SUM(S7,U7,W7,Y7)</f>
        <v>376.78999999999996</v>
      </c>
      <c r="AB7" s="191">
        <f>P7+Z7</f>
        <v>4866</v>
      </c>
      <c r="AC7" s="192">
        <f>Q7+AA7</f>
        <v>4688.753415424941</v>
      </c>
      <c r="AD7" s="193">
        <v>11697592.495000001</v>
      </c>
      <c r="AE7" s="194">
        <v>439740.66</v>
      </c>
      <c r="AF7" s="194">
        <v>15143.41</v>
      </c>
      <c r="AG7" s="194">
        <v>101979.22</v>
      </c>
      <c r="AH7" s="194">
        <v>2552780.2525</v>
      </c>
      <c r="AI7" s="194">
        <v>1053717.3125</v>
      </c>
      <c r="AJ7" s="195">
        <f>SUM(AD7:AI7)</f>
        <v>15860953.350000001</v>
      </c>
      <c r="AK7" s="196">
        <v>1923590.25</v>
      </c>
      <c r="AL7" s="196">
        <v>797374.68</v>
      </c>
      <c r="AM7" s="197">
        <f>SUM(AK7:AL7)</f>
        <v>2720964.93</v>
      </c>
      <c r="AN7" s="197">
        <f>SUM(AM7,AJ7)</f>
        <v>18581918.28</v>
      </c>
      <c r="AO7" s="198"/>
      <c r="AP7" s="198"/>
    </row>
    <row r="8" spans="1:42" ht="75">
      <c r="A8" s="182" t="s">
        <v>76</v>
      </c>
      <c r="B8" s="183" t="s">
        <v>51</v>
      </c>
      <c r="C8" s="182" t="s">
        <v>48</v>
      </c>
      <c r="D8" s="186">
        <v>13354</v>
      </c>
      <c r="E8" s="185">
        <v>11648.22368132131</v>
      </c>
      <c r="F8" s="186">
        <v>2945</v>
      </c>
      <c r="G8" s="185">
        <v>2759.804369369369</v>
      </c>
      <c r="H8" s="186">
        <v>2524</v>
      </c>
      <c r="I8" s="185">
        <v>2342.793273273273</v>
      </c>
      <c r="J8" s="186">
        <v>543</v>
      </c>
      <c r="K8" s="185">
        <v>529.6720570570571</v>
      </c>
      <c r="L8" s="186">
        <v>31</v>
      </c>
      <c r="M8" s="185">
        <v>31</v>
      </c>
      <c r="N8" s="183">
        <v>0</v>
      </c>
      <c r="O8" s="185">
        <v>0</v>
      </c>
      <c r="P8" s="188">
        <f aca="true" t="shared" si="0" ref="P8:Q19">SUM(D8,F8,H8,J8,L8,N8)</f>
        <v>19397</v>
      </c>
      <c r="Q8" s="189">
        <f t="shared" si="0"/>
        <v>17311.49338102101</v>
      </c>
      <c r="R8" s="183" t="s">
        <v>90</v>
      </c>
      <c r="S8" s="187">
        <v>829.3</v>
      </c>
      <c r="T8" s="183" t="s">
        <v>90</v>
      </c>
      <c r="U8" s="187" t="s">
        <v>90</v>
      </c>
      <c r="V8" s="183" t="s">
        <v>90</v>
      </c>
      <c r="W8" s="187" t="s">
        <v>90</v>
      </c>
      <c r="X8" s="183" t="s">
        <v>90</v>
      </c>
      <c r="Y8" s="187" t="s">
        <v>90</v>
      </c>
      <c r="Z8" s="190">
        <f aca="true" t="shared" si="1" ref="Z8:Z19">SUM(R8,T8,V8,X8,)</f>
        <v>0</v>
      </c>
      <c r="AA8" s="199">
        <f aca="true" t="shared" si="2" ref="AA8:AA19">SUM(S8,U8,W8,Y8)</f>
        <v>829.3</v>
      </c>
      <c r="AB8" s="191">
        <f aca="true" t="shared" si="3" ref="AB8:AC19">P8+Z8</f>
        <v>19397</v>
      </c>
      <c r="AC8" s="192">
        <f t="shared" si="3"/>
        <v>18140.79338102101</v>
      </c>
      <c r="AD8" s="193">
        <v>34854846.59</v>
      </c>
      <c r="AE8" s="251">
        <v>-468941.75</v>
      </c>
      <c r="AF8" s="194">
        <v>1371698.72</v>
      </c>
      <c r="AG8" s="194">
        <v>781855.61</v>
      </c>
      <c r="AH8" s="194">
        <v>5841137.06</v>
      </c>
      <c r="AI8" s="194">
        <v>2266562.53</v>
      </c>
      <c r="AJ8" s="195">
        <f aca="true" t="shared" si="4" ref="AJ8:AJ19">SUM(AD8:AI8)</f>
        <v>44647158.760000005</v>
      </c>
      <c r="AK8" s="196">
        <v>1912174.25</v>
      </c>
      <c r="AL8" s="264" t="s">
        <v>90</v>
      </c>
      <c r="AM8" s="197">
        <f aca="true" t="shared" si="5" ref="AM8:AM19">SUM(AK8:AL8)</f>
        <v>1912174.25</v>
      </c>
      <c r="AN8" s="197">
        <f aca="true" t="shared" si="6" ref="AN8:AN19">SUM(AM8,AJ8)</f>
        <v>46559333.010000005</v>
      </c>
      <c r="AO8" s="200" t="s">
        <v>122</v>
      </c>
      <c r="AP8" s="200"/>
    </row>
    <row r="9" spans="1:42" ht="30">
      <c r="A9" s="182" t="s">
        <v>55</v>
      </c>
      <c r="B9" s="183" t="s">
        <v>51</v>
      </c>
      <c r="C9" s="182" t="s">
        <v>48</v>
      </c>
      <c r="D9" s="183">
        <v>176</v>
      </c>
      <c r="E9" s="183">
        <v>155.25</v>
      </c>
      <c r="F9" s="183">
        <v>126</v>
      </c>
      <c r="G9" s="183">
        <v>120.28</v>
      </c>
      <c r="H9" s="183">
        <v>256</v>
      </c>
      <c r="I9" s="183">
        <v>248.8</v>
      </c>
      <c r="J9" s="183">
        <v>60</v>
      </c>
      <c r="K9" s="183">
        <v>59.33</v>
      </c>
      <c r="L9" s="183">
        <v>6</v>
      </c>
      <c r="M9" s="187">
        <v>6</v>
      </c>
      <c r="N9" s="183">
        <v>0</v>
      </c>
      <c r="O9" s="187">
        <v>0</v>
      </c>
      <c r="P9" s="188">
        <f t="shared" si="0"/>
        <v>624</v>
      </c>
      <c r="Q9" s="189">
        <f t="shared" si="0"/>
        <v>589.66</v>
      </c>
      <c r="R9" s="183">
        <v>3</v>
      </c>
      <c r="S9" s="187">
        <v>3</v>
      </c>
      <c r="T9" s="183" t="s">
        <v>90</v>
      </c>
      <c r="U9" s="187" t="s">
        <v>90</v>
      </c>
      <c r="V9" s="183">
        <v>11</v>
      </c>
      <c r="W9" s="187">
        <v>11</v>
      </c>
      <c r="X9" s="183" t="s">
        <v>90</v>
      </c>
      <c r="Y9" s="187" t="s">
        <v>90</v>
      </c>
      <c r="Z9" s="190">
        <f t="shared" si="1"/>
        <v>14</v>
      </c>
      <c r="AA9" s="199">
        <f t="shared" si="2"/>
        <v>14</v>
      </c>
      <c r="AB9" s="191">
        <f t="shared" si="3"/>
        <v>638</v>
      </c>
      <c r="AC9" s="192">
        <f t="shared" si="3"/>
        <v>603.66</v>
      </c>
      <c r="AD9" s="193">
        <v>1472889.9</v>
      </c>
      <c r="AE9" s="194">
        <v>13088.05</v>
      </c>
      <c r="AF9" s="194">
        <v>186000</v>
      </c>
      <c r="AG9" s="194">
        <v>13448.95</v>
      </c>
      <c r="AH9" s="194">
        <v>265409.22</v>
      </c>
      <c r="AI9" s="194">
        <v>126124.76</v>
      </c>
      <c r="AJ9" s="195">
        <f t="shared" si="4"/>
        <v>2076960.88</v>
      </c>
      <c r="AK9" s="196">
        <v>106762.26</v>
      </c>
      <c r="AL9" s="264" t="s">
        <v>90</v>
      </c>
      <c r="AM9" s="197">
        <f t="shared" si="5"/>
        <v>106762.26</v>
      </c>
      <c r="AN9" s="197">
        <f t="shared" si="6"/>
        <v>2183723.1399999997</v>
      </c>
      <c r="AO9" s="198"/>
      <c r="AP9" s="198"/>
    </row>
    <row r="10" spans="1:42" ht="75">
      <c r="A10" s="23" t="s">
        <v>56</v>
      </c>
      <c r="B10" s="183" t="s">
        <v>51</v>
      </c>
      <c r="C10" s="182" t="s">
        <v>48</v>
      </c>
      <c r="D10" s="183">
        <v>32270</v>
      </c>
      <c r="E10" s="185">
        <v>30708.102732209474</v>
      </c>
      <c r="F10" s="183">
        <v>6257</v>
      </c>
      <c r="G10" s="185">
        <v>5992.751528477012</v>
      </c>
      <c r="H10" s="183">
        <v>3556</v>
      </c>
      <c r="I10" s="185">
        <v>3327.926747846746</v>
      </c>
      <c r="J10" s="183">
        <v>601</v>
      </c>
      <c r="K10" s="185">
        <v>586.8211918163138</v>
      </c>
      <c r="L10" s="183">
        <v>38</v>
      </c>
      <c r="M10" s="185">
        <v>37.8780487804878</v>
      </c>
      <c r="N10" s="183">
        <v>0</v>
      </c>
      <c r="O10" s="185">
        <v>0</v>
      </c>
      <c r="P10" s="188">
        <f t="shared" si="0"/>
        <v>42722</v>
      </c>
      <c r="Q10" s="189">
        <f t="shared" si="0"/>
        <v>40653.480249130036</v>
      </c>
      <c r="R10" s="156" t="s">
        <v>90</v>
      </c>
      <c r="S10" s="156">
        <v>508.79</v>
      </c>
      <c r="T10" s="156" t="s">
        <v>90</v>
      </c>
      <c r="U10" s="156">
        <v>2.08</v>
      </c>
      <c r="V10" s="156" t="s">
        <v>90</v>
      </c>
      <c r="W10" s="156">
        <v>21.54</v>
      </c>
      <c r="X10" s="156" t="s">
        <v>90</v>
      </c>
      <c r="Y10" s="156">
        <v>12</v>
      </c>
      <c r="Z10" s="190">
        <f t="shared" si="1"/>
        <v>0</v>
      </c>
      <c r="AA10" s="203">
        <f t="shared" si="2"/>
        <v>544.41</v>
      </c>
      <c r="AB10" s="191">
        <f t="shared" si="3"/>
        <v>42722</v>
      </c>
      <c r="AC10" s="192">
        <f t="shared" si="3"/>
        <v>41197.89024913004</v>
      </c>
      <c r="AD10" s="193">
        <v>103336182.63999999</v>
      </c>
      <c r="AE10" s="194">
        <v>0</v>
      </c>
      <c r="AF10" s="194">
        <v>0</v>
      </c>
      <c r="AG10" s="194">
        <v>4764806.41</v>
      </c>
      <c r="AH10" s="194">
        <v>17590303.389999997</v>
      </c>
      <c r="AI10" s="194">
        <v>7308642.670000003</v>
      </c>
      <c r="AJ10" s="195">
        <f t="shared" si="4"/>
        <v>132999935.10999998</v>
      </c>
      <c r="AK10" s="196">
        <v>4229299.27</v>
      </c>
      <c r="AL10" s="276">
        <v>242101</v>
      </c>
      <c r="AM10" s="197">
        <f t="shared" si="5"/>
        <v>4471400.27</v>
      </c>
      <c r="AN10" s="197">
        <f t="shared" si="6"/>
        <v>137471335.38</v>
      </c>
      <c r="AO10" s="200" t="s">
        <v>9</v>
      </c>
      <c r="AP10" s="200"/>
    </row>
    <row r="11" spans="1:42" ht="84">
      <c r="A11" s="182" t="s">
        <v>58</v>
      </c>
      <c r="B11" s="183" t="s">
        <v>51</v>
      </c>
      <c r="C11" s="182" t="s">
        <v>48</v>
      </c>
      <c r="D11" s="186">
        <v>263</v>
      </c>
      <c r="E11" s="185">
        <v>248.07405405405402</v>
      </c>
      <c r="F11" s="186">
        <v>136</v>
      </c>
      <c r="G11" s="185">
        <v>128.6881081081081</v>
      </c>
      <c r="H11" s="186">
        <v>71</v>
      </c>
      <c r="I11" s="185">
        <v>69.38513513513514</v>
      </c>
      <c r="J11" s="186">
        <v>10</v>
      </c>
      <c r="K11" s="185">
        <v>9.822222222222223</v>
      </c>
      <c r="L11" s="186">
        <v>2</v>
      </c>
      <c r="M11" s="187">
        <v>1.8</v>
      </c>
      <c r="N11" s="183">
        <v>0</v>
      </c>
      <c r="O11" s="185">
        <v>0</v>
      </c>
      <c r="P11" s="188">
        <f t="shared" si="0"/>
        <v>482</v>
      </c>
      <c r="Q11" s="189">
        <f t="shared" si="0"/>
        <v>457.7695195195195</v>
      </c>
      <c r="R11" s="183">
        <v>242</v>
      </c>
      <c r="S11" s="183">
        <v>168.56</v>
      </c>
      <c r="T11" s="183">
        <v>0</v>
      </c>
      <c r="U11" s="187">
        <v>0</v>
      </c>
      <c r="V11" s="183">
        <v>2</v>
      </c>
      <c r="W11" s="187">
        <v>2</v>
      </c>
      <c r="X11" s="183">
        <v>0</v>
      </c>
      <c r="Y11" s="187">
        <v>0</v>
      </c>
      <c r="Z11" s="190">
        <f t="shared" si="1"/>
        <v>244</v>
      </c>
      <c r="AA11" s="203">
        <f t="shared" si="2"/>
        <v>170.56</v>
      </c>
      <c r="AB11" s="191">
        <f t="shared" si="3"/>
        <v>726</v>
      </c>
      <c r="AC11" s="192">
        <f t="shared" si="3"/>
        <v>628.3295195195195</v>
      </c>
      <c r="AD11" s="193">
        <v>831707.44</v>
      </c>
      <c r="AE11" s="194">
        <v>8768.51</v>
      </c>
      <c r="AF11" s="257">
        <v>500</v>
      </c>
      <c r="AG11" s="194">
        <v>64739.72</v>
      </c>
      <c r="AH11" s="194">
        <v>147217.39</v>
      </c>
      <c r="AI11" s="194">
        <v>56057.95</v>
      </c>
      <c r="AJ11" s="195">
        <f t="shared" si="4"/>
        <v>1108991.01</v>
      </c>
      <c r="AK11" s="196">
        <v>443760.09</v>
      </c>
      <c r="AL11" s="196">
        <v>0</v>
      </c>
      <c r="AM11" s="197">
        <f t="shared" si="5"/>
        <v>443760.09</v>
      </c>
      <c r="AN11" s="197">
        <f t="shared" si="6"/>
        <v>1552751.1</v>
      </c>
      <c r="AO11" s="200" t="s">
        <v>151</v>
      </c>
      <c r="AP11" s="200"/>
    </row>
    <row r="12" spans="1:42" ht="300">
      <c r="A12" s="182" t="s">
        <v>62</v>
      </c>
      <c r="B12" s="183" t="s">
        <v>63</v>
      </c>
      <c r="C12" s="182" t="s">
        <v>48</v>
      </c>
      <c r="D12" s="183">
        <v>0</v>
      </c>
      <c r="E12" s="185">
        <v>0</v>
      </c>
      <c r="F12" s="183">
        <v>0</v>
      </c>
      <c r="G12" s="187">
        <v>0</v>
      </c>
      <c r="H12" s="183">
        <v>0</v>
      </c>
      <c r="I12" s="187">
        <v>0</v>
      </c>
      <c r="J12" s="183">
        <v>0</v>
      </c>
      <c r="K12" s="187">
        <v>0</v>
      </c>
      <c r="L12" s="183">
        <v>0</v>
      </c>
      <c r="M12" s="187">
        <v>0</v>
      </c>
      <c r="N12" s="183">
        <v>81</v>
      </c>
      <c r="O12" s="183">
        <v>73.56</v>
      </c>
      <c r="P12" s="188">
        <f t="shared" si="0"/>
        <v>81</v>
      </c>
      <c r="Q12" s="189">
        <f t="shared" si="0"/>
        <v>73.56</v>
      </c>
      <c r="R12" s="183">
        <v>4</v>
      </c>
      <c r="S12" s="187">
        <v>4</v>
      </c>
      <c r="T12" s="183">
        <v>4</v>
      </c>
      <c r="U12" s="187">
        <v>4</v>
      </c>
      <c r="V12" s="183">
        <v>0</v>
      </c>
      <c r="W12" s="187">
        <v>0</v>
      </c>
      <c r="X12" s="183">
        <v>0</v>
      </c>
      <c r="Y12" s="187">
        <v>0</v>
      </c>
      <c r="Z12" s="190">
        <f t="shared" si="1"/>
        <v>8</v>
      </c>
      <c r="AA12" s="199">
        <f t="shared" si="2"/>
        <v>8</v>
      </c>
      <c r="AB12" s="191">
        <f t="shared" si="3"/>
        <v>89</v>
      </c>
      <c r="AC12" s="192">
        <f t="shared" si="3"/>
        <v>81.56</v>
      </c>
      <c r="AD12" s="193">
        <v>217229</v>
      </c>
      <c r="AE12" s="194">
        <v>57</v>
      </c>
      <c r="AF12" s="264" t="s">
        <v>90</v>
      </c>
      <c r="AG12" s="194">
        <v>5837</v>
      </c>
      <c r="AH12" s="194">
        <v>38565</v>
      </c>
      <c r="AI12" s="194">
        <v>18982</v>
      </c>
      <c r="AJ12" s="195">
        <f t="shared" si="4"/>
        <v>280670</v>
      </c>
      <c r="AK12" s="196">
        <v>29740</v>
      </c>
      <c r="AL12" s="264" t="s">
        <v>90</v>
      </c>
      <c r="AM12" s="197">
        <f t="shared" si="5"/>
        <v>29740</v>
      </c>
      <c r="AN12" s="197">
        <f t="shared" si="6"/>
        <v>310410</v>
      </c>
      <c r="AO12" s="200" t="s">
        <v>64</v>
      </c>
      <c r="AP12" s="200"/>
    </row>
    <row r="13" spans="1:42" ht="75">
      <c r="A13" s="182" t="s">
        <v>66</v>
      </c>
      <c r="B13" s="183" t="s">
        <v>63</v>
      </c>
      <c r="C13" s="182" t="s">
        <v>48</v>
      </c>
      <c r="D13" s="183">
        <v>0</v>
      </c>
      <c r="E13" s="185">
        <v>0</v>
      </c>
      <c r="F13" s="183">
        <v>0</v>
      </c>
      <c r="G13" s="187">
        <v>0</v>
      </c>
      <c r="H13" s="183">
        <v>0</v>
      </c>
      <c r="I13" s="187">
        <v>0</v>
      </c>
      <c r="J13" s="183">
        <v>0</v>
      </c>
      <c r="K13" s="187">
        <v>0</v>
      </c>
      <c r="L13" s="183">
        <v>0</v>
      </c>
      <c r="M13" s="187">
        <v>0</v>
      </c>
      <c r="N13" s="183">
        <v>388</v>
      </c>
      <c r="O13" s="185">
        <v>360.1</v>
      </c>
      <c r="P13" s="188">
        <f t="shared" si="0"/>
        <v>388</v>
      </c>
      <c r="Q13" s="189">
        <f t="shared" si="0"/>
        <v>360.1</v>
      </c>
      <c r="R13" s="183">
        <v>21</v>
      </c>
      <c r="S13" s="187">
        <v>20.2</v>
      </c>
      <c r="T13" s="183">
        <v>0</v>
      </c>
      <c r="U13" s="187">
        <v>0</v>
      </c>
      <c r="V13" s="183">
        <v>1</v>
      </c>
      <c r="W13" s="187">
        <v>1</v>
      </c>
      <c r="X13" s="183">
        <v>0</v>
      </c>
      <c r="Y13" s="187">
        <v>0</v>
      </c>
      <c r="Z13" s="190">
        <f t="shared" si="1"/>
        <v>22</v>
      </c>
      <c r="AA13" s="199">
        <f t="shared" si="2"/>
        <v>21.2</v>
      </c>
      <c r="AB13" s="191">
        <f t="shared" si="3"/>
        <v>410</v>
      </c>
      <c r="AC13" s="192">
        <f t="shared" si="3"/>
        <v>381.3</v>
      </c>
      <c r="AD13" s="193">
        <v>809295.6</v>
      </c>
      <c r="AE13" s="194">
        <v>1335.49</v>
      </c>
      <c r="AF13" s="194">
        <v>0</v>
      </c>
      <c r="AG13" s="194">
        <v>15318.49</v>
      </c>
      <c r="AH13" s="194">
        <v>146113.64</v>
      </c>
      <c r="AI13" s="194">
        <v>56832.77</v>
      </c>
      <c r="AJ13" s="195">
        <f t="shared" si="4"/>
        <v>1028895.99</v>
      </c>
      <c r="AK13" s="196">
        <v>69307.01</v>
      </c>
      <c r="AL13" s="196">
        <v>0</v>
      </c>
      <c r="AM13" s="197">
        <f t="shared" si="5"/>
        <v>69307.01</v>
      </c>
      <c r="AN13" s="197">
        <f t="shared" si="6"/>
        <v>1098203</v>
      </c>
      <c r="AO13" s="198"/>
      <c r="AP13" s="198"/>
    </row>
    <row r="14" spans="1:42" ht="75">
      <c r="A14" s="182" t="s">
        <v>67</v>
      </c>
      <c r="B14" s="183" t="s">
        <v>63</v>
      </c>
      <c r="C14" s="182" t="s">
        <v>48</v>
      </c>
      <c r="D14" s="183">
        <v>14</v>
      </c>
      <c r="E14" s="185">
        <v>13.54</v>
      </c>
      <c r="F14" s="183">
        <v>17</v>
      </c>
      <c r="G14" s="187">
        <v>15.94</v>
      </c>
      <c r="H14" s="183">
        <v>23</v>
      </c>
      <c r="I14" s="183">
        <v>22.69</v>
      </c>
      <c r="J14" s="183">
        <v>12</v>
      </c>
      <c r="K14" s="187">
        <v>10.95</v>
      </c>
      <c r="L14" s="183">
        <v>3</v>
      </c>
      <c r="M14" s="187">
        <v>3</v>
      </c>
      <c r="N14" s="183">
        <v>1</v>
      </c>
      <c r="O14" s="187">
        <v>0.4</v>
      </c>
      <c r="P14" s="188">
        <f t="shared" si="0"/>
        <v>70</v>
      </c>
      <c r="Q14" s="189">
        <f t="shared" si="0"/>
        <v>66.52000000000001</v>
      </c>
      <c r="R14" s="183">
        <v>3</v>
      </c>
      <c r="S14" s="187">
        <v>3</v>
      </c>
      <c r="T14" s="183">
        <v>0</v>
      </c>
      <c r="U14" s="187">
        <v>0</v>
      </c>
      <c r="V14" s="183">
        <v>0</v>
      </c>
      <c r="W14" s="187">
        <v>0</v>
      </c>
      <c r="X14" s="183">
        <v>0</v>
      </c>
      <c r="Y14" s="187">
        <v>0</v>
      </c>
      <c r="Z14" s="190">
        <f t="shared" si="1"/>
        <v>3</v>
      </c>
      <c r="AA14" s="199">
        <f t="shared" si="2"/>
        <v>3</v>
      </c>
      <c r="AB14" s="191">
        <f t="shared" si="3"/>
        <v>73</v>
      </c>
      <c r="AC14" s="192">
        <f t="shared" si="3"/>
        <v>69.52000000000001</v>
      </c>
      <c r="AD14" s="193">
        <v>175937.55</v>
      </c>
      <c r="AE14" s="194">
        <v>3161.36</v>
      </c>
      <c r="AF14" s="194">
        <v>975</v>
      </c>
      <c r="AG14" s="264" t="s">
        <v>90</v>
      </c>
      <c r="AH14" s="194">
        <v>32614.23</v>
      </c>
      <c r="AI14" s="194">
        <v>14685.12</v>
      </c>
      <c r="AJ14" s="195">
        <f t="shared" si="4"/>
        <v>227373.25999999998</v>
      </c>
      <c r="AK14" s="196">
        <v>7797.63</v>
      </c>
      <c r="AL14" s="264" t="s">
        <v>90</v>
      </c>
      <c r="AM14" s="197">
        <f t="shared" si="5"/>
        <v>7797.63</v>
      </c>
      <c r="AN14" s="197">
        <f t="shared" si="6"/>
        <v>235170.88999999998</v>
      </c>
      <c r="AO14" s="198"/>
      <c r="AP14" s="198"/>
    </row>
    <row r="15" spans="1:42" ht="156">
      <c r="A15" s="182" t="s">
        <v>68</v>
      </c>
      <c r="B15" s="183" t="s">
        <v>63</v>
      </c>
      <c r="C15" s="182" t="s">
        <v>48</v>
      </c>
      <c r="D15" s="183">
        <v>0</v>
      </c>
      <c r="E15" s="185">
        <v>0</v>
      </c>
      <c r="F15" s="183">
        <v>0</v>
      </c>
      <c r="G15" s="187">
        <v>0</v>
      </c>
      <c r="H15" s="183">
        <v>0</v>
      </c>
      <c r="I15" s="187">
        <v>0</v>
      </c>
      <c r="J15" s="183">
        <v>0</v>
      </c>
      <c r="K15" s="187">
        <v>0</v>
      </c>
      <c r="L15" s="183">
        <v>0</v>
      </c>
      <c r="M15" s="187">
        <v>0</v>
      </c>
      <c r="N15" s="183">
        <v>31</v>
      </c>
      <c r="O15" s="187">
        <v>30.8</v>
      </c>
      <c r="P15" s="188">
        <f t="shared" si="0"/>
        <v>31</v>
      </c>
      <c r="Q15" s="189">
        <f t="shared" si="0"/>
        <v>30.8</v>
      </c>
      <c r="R15" s="183">
        <v>0</v>
      </c>
      <c r="S15" s="187">
        <v>0</v>
      </c>
      <c r="T15" s="183">
        <v>0</v>
      </c>
      <c r="U15" s="187">
        <v>0</v>
      </c>
      <c r="V15" s="183">
        <v>0</v>
      </c>
      <c r="W15" s="187">
        <v>0</v>
      </c>
      <c r="X15" s="183">
        <v>0</v>
      </c>
      <c r="Y15" s="187">
        <v>0</v>
      </c>
      <c r="Z15" s="190">
        <f t="shared" si="1"/>
        <v>0</v>
      </c>
      <c r="AA15" s="199">
        <f t="shared" si="2"/>
        <v>0</v>
      </c>
      <c r="AB15" s="191">
        <f t="shared" si="3"/>
        <v>31</v>
      </c>
      <c r="AC15" s="192">
        <f t="shared" si="3"/>
        <v>30.8</v>
      </c>
      <c r="AD15" s="193">
        <v>146953.92</v>
      </c>
      <c r="AE15" s="194"/>
      <c r="AF15" s="264" t="s">
        <v>90</v>
      </c>
      <c r="AG15" s="264" t="s">
        <v>90</v>
      </c>
      <c r="AH15" s="194">
        <v>27642.88</v>
      </c>
      <c r="AI15" s="194">
        <v>17140.78</v>
      </c>
      <c r="AJ15" s="195">
        <f t="shared" si="4"/>
        <v>191737.58000000002</v>
      </c>
      <c r="AK15" s="264" t="s">
        <v>90</v>
      </c>
      <c r="AL15" s="264" t="s">
        <v>90</v>
      </c>
      <c r="AM15" s="197">
        <f t="shared" si="5"/>
        <v>0</v>
      </c>
      <c r="AN15" s="197">
        <f t="shared" si="6"/>
        <v>191737.58000000002</v>
      </c>
      <c r="AO15" s="200" t="s">
        <v>69</v>
      </c>
      <c r="AP15" s="200"/>
    </row>
    <row r="16" spans="1:42" ht="75">
      <c r="A16" s="182" t="s">
        <v>70</v>
      </c>
      <c r="B16" s="183" t="s">
        <v>63</v>
      </c>
      <c r="C16" s="182" t="s">
        <v>48</v>
      </c>
      <c r="D16" s="183">
        <v>860</v>
      </c>
      <c r="E16" s="183">
        <v>812.79</v>
      </c>
      <c r="F16" s="183">
        <v>276</v>
      </c>
      <c r="G16" s="183">
        <v>265.51</v>
      </c>
      <c r="H16" s="183">
        <v>419</v>
      </c>
      <c r="I16" s="183">
        <v>402.04</v>
      </c>
      <c r="J16" s="183">
        <v>123</v>
      </c>
      <c r="K16" s="183">
        <v>119.83</v>
      </c>
      <c r="L16" s="183">
        <v>13</v>
      </c>
      <c r="M16" s="187">
        <v>12.7</v>
      </c>
      <c r="N16" s="183">
        <v>7</v>
      </c>
      <c r="O16" s="187">
        <v>1.2</v>
      </c>
      <c r="P16" s="188">
        <f t="shared" si="0"/>
        <v>1698</v>
      </c>
      <c r="Q16" s="189">
        <f t="shared" si="0"/>
        <v>1614.07</v>
      </c>
      <c r="R16" s="183">
        <v>35</v>
      </c>
      <c r="S16" s="187">
        <v>35</v>
      </c>
      <c r="T16" s="183" t="s">
        <v>90</v>
      </c>
      <c r="U16" s="187" t="s">
        <v>90</v>
      </c>
      <c r="V16" s="183">
        <v>72</v>
      </c>
      <c r="W16" s="187">
        <v>72</v>
      </c>
      <c r="X16" s="183" t="s">
        <v>90</v>
      </c>
      <c r="Y16" s="187" t="s">
        <v>90</v>
      </c>
      <c r="Z16" s="190">
        <f t="shared" si="1"/>
        <v>107</v>
      </c>
      <c r="AA16" s="199">
        <f t="shared" si="2"/>
        <v>107</v>
      </c>
      <c r="AB16" s="191">
        <f t="shared" si="3"/>
        <v>1805</v>
      </c>
      <c r="AC16" s="192">
        <f t="shared" si="3"/>
        <v>1721.07</v>
      </c>
      <c r="AD16" s="193">
        <v>3712426.17</v>
      </c>
      <c r="AE16" s="194"/>
      <c r="AF16" s="264" t="s">
        <v>90</v>
      </c>
      <c r="AG16" s="194">
        <v>237512.1</v>
      </c>
      <c r="AH16" s="264" t="s">
        <v>90</v>
      </c>
      <c r="AI16" s="194">
        <v>313307.6</v>
      </c>
      <c r="AJ16" s="195">
        <f t="shared" si="4"/>
        <v>4263245.87</v>
      </c>
      <c r="AK16" s="196">
        <v>888486.65</v>
      </c>
      <c r="AL16" s="264" t="s">
        <v>90</v>
      </c>
      <c r="AM16" s="197">
        <f t="shared" si="5"/>
        <v>888486.65</v>
      </c>
      <c r="AN16" s="197">
        <f t="shared" si="6"/>
        <v>5151732.5200000005</v>
      </c>
      <c r="AO16" s="198"/>
      <c r="AP16" s="198"/>
    </row>
    <row r="17" spans="1:42" ht="75">
      <c r="A17" s="182" t="s">
        <v>71</v>
      </c>
      <c r="B17" s="183" t="s">
        <v>63</v>
      </c>
      <c r="C17" s="182" t="s">
        <v>48</v>
      </c>
      <c r="D17" s="186">
        <v>21</v>
      </c>
      <c r="E17" s="186">
        <v>19.8</v>
      </c>
      <c r="F17" s="186">
        <v>45</v>
      </c>
      <c r="G17" s="183">
        <v>44.7</v>
      </c>
      <c r="H17" s="186">
        <v>17</v>
      </c>
      <c r="I17" s="183">
        <v>16.6</v>
      </c>
      <c r="J17" s="183">
        <v>3</v>
      </c>
      <c r="K17" s="187">
        <v>3</v>
      </c>
      <c r="L17" s="186">
        <v>2</v>
      </c>
      <c r="M17" s="187">
        <v>1.4</v>
      </c>
      <c r="N17" s="183">
        <v>0</v>
      </c>
      <c r="O17" s="187">
        <v>0</v>
      </c>
      <c r="P17" s="188">
        <f t="shared" si="0"/>
        <v>88</v>
      </c>
      <c r="Q17" s="189">
        <f t="shared" si="0"/>
        <v>85.5</v>
      </c>
      <c r="R17" s="183">
        <v>11</v>
      </c>
      <c r="S17" s="187">
        <v>11</v>
      </c>
      <c r="T17" s="183">
        <v>0</v>
      </c>
      <c r="U17" s="187">
        <v>0</v>
      </c>
      <c r="V17" s="183">
        <v>0</v>
      </c>
      <c r="W17" s="187">
        <v>0</v>
      </c>
      <c r="X17" s="183">
        <v>0</v>
      </c>
      <c r="Y17" s="187">
        <v>0</v>
      </c>
      <c r="Z17" s="190">
        <f t="shared" si="1"/>
        <v>11</v>
      </c>
      <c r="AA17" s="199">
        <f t="shared" si="2"/>
        <v>11</v>
      </c>
      <c r="AB17" s="191">
        <f t="shared" si="3"/>
        <v>99</v>
      </c>
      <c r="AC17" s="192">
        <f t="shared" si="3"/>
        <v>96.5</v>
      </c>
      <c r="AD17" s="193">
        <v>194296.6</v>
      </c>
      <c r="AE17" s="194">
        <v>19768.19</v>
      </c>
      <c r="AF17" s="264" t="s">
        <v>90</v>
      </c>
      <c r="AG17" s="194">
        <v>695.53</v>
      </c>
      <c r="AH17" s="194">
        <v>28782.8</v>
      </c>
      <c r="AI17" s="194">
        <v>18402</v>
      </c>
      <c r="AJ17" s="195">
        <f t="shared" si="4"/>
        <v>261945.12</v>
      </c>
      <c r="AK17" s="196">
        <v>21225</v>
      </c>
      <c r="AL17" s="264" t="s">
        <v>90</v>
      </c>
      <c r="AM17" s="197">
        <f t="shared" si="5"/>
        <v>21225</v>
      </c>
      <c r="AN17" s="197">
        <f t="shared" si="6"/>
        <v>283170.12</v>
      </c>
      <c r="AO17" s="200"/>
      <c r="AP17" s="200"/>
    </row>
    <row r="18" spans="1:42" ht="409.5">
      <c r="A18" s="205" t="s">
        <v>72</v>
      </c>
      <c r="B18" s="205" t="s">
        <v>63</v>
      </c>
      <c r="C18" s="205" t="s">
        <v>48</v>
      </c>
      <c r="D18" s="183">
        <v>0</v>
      </c>
      <c r="E18" s="185">
        <v>0</v>
      </c>
      <c r="F18" s="183">
        <v>0</v>
      </c>
      <c r="G18" s="187">
        <v>0</v>
      </c>
      <c r="H18" s="183">
        <v>0</v>
      </c>
      <c r="I18" s="187">
        <v>0</v>
      </c>
      <c r="J18" s="183">
        <v>0</v>
      </c>
      <c r="K18" s="187">
        <v>0</v>
      </c>
      <c r="L18" s="183">
        <v>0</v>
      </c>
      <c r="M18" s="187">
        <v>0</v>
      </c>
      <c r="N18" s="264">
        <v>18282</v>
      </c>
      <c r="O18" s="266">
        <v>16466</v>
      </c>
      <c r="P18" s="267">
        <f t="shared" si="0"/>
        <v>18282</v>
      </c>
      <c r="Q18" s="265">
        <f t="shared" si="0"/>
        <v>16466</v>
      </c>
      <c r="R18" s="264">
        <v>1393</v>
      </c>
      <c r="S18" s="266">
        <v>1393</v>
      </c>
      <c r="T18" s="264">
        <v>7</v>
      </c>
      <c r="U18" s="266">
        <v>7</v>
      </c>
      <c r="V18" s="264" t="s">
        <v>90</v>
      </c>
      <c r="W18" s="264" t="s">
        <v>90</v>
      </c>
      <c r="X18" s="264" t="s">
        <v>90</v>
      </c>
      <c r="Y18" s="264" t="s">
        <v>90</v>
      </c>
      <c r="Z18" s="269">
        <f t="shared" si="1"/>
        <v>1400</v>
      </c>
      <c r="AA18" s="270">
        <f t="shared" si="2"/>
        <v>1400</v>
      </c>
      <c r="AB18" s="271">
        <f t="shared" si="3"/>
        <v>19682</v>
      </c>
      <c r="AC18" s="268">
        <f t="shared" si="3"/>
        <v>17866</v>
      </c>
      <c r="AD18" s="264" t="s">
        <v>90</v>
      </c>
      <c r="AE18" s="264" t="s">
        <v>90</v>
      </c>
      <c r="AF18" s="264" t="s">
        <v>90</v>
      </c>
      <c r="AG18" s="264" t="s">
        <v>90</v>
      </c>
      <c r="AH18" s="264" t="s">
        <v>90</v>
      </c>
      <c r="AI18" s="264" t="s">
        <v>90</v>
      </c>
      <c r="AJ18" s="274">
        <f t="shared" si="4"/>
        <v>0</v>
      </c>
      <c r="AK18" s="264" t="s">
        <v>90</v>
      </c>
      <c r="AL18" s="264" t="s">
        <v>90</v>
      </c>
      <c r="AM18" s="273">
        <f t="shared" si="5"/>
        <v>0</v>
      </c>
      <c r="AN18" s="277">
        <f t="shared" si="6"/>
        <v>0</v>
      </c>
      <c r="AO18" s="278" t="s">
        <v>8</v>
      </c>
      <c r="AP18" s="204"/>
    </row>
    <row r="19" spans="1:42" ht="90">
      <c r="A19" s="183" t="s">
        <v>124</v>
      </c>
      <c r="B19" s="183" t="s">
        <v>63</v>
      </c>
      <c r="C19" s="205" t="s">
        <v>48</v>
      </c>
      <c r="D19" s="183">
        <v>15</v>
      </c>
      <c r="E19" s="183">
        <v>14.35</v>
      </c>
      <c r="F19" s="183">
        <v>43</v>
      </c>
      <c r="G19" s="183">
        <v>41.66</v>
      </c>
      <c r="H19" s="183">
        <v>111</v>
      </c>
      <c r="I19" s="183">
        <v>108.11</v>
      </c>
      <c r="J19" s="183">
        <v>40</v>
      </c>
      <c r="K19" s="185">
        <v>38.86</v>
      </c>
      <c r="L19" s="183">
        <v>4</v>
      </c>
      <c r="M19" s="185">
        <v>3.6</v>
      </c>
      <c r="N19" s="183">
        <v>9</v>
      </c>
      <c r="O19" s="185">
        <v>9</v>
      </c>
      <c r="P19" s="188">
        <f t="shared" si="0"/>
        <v>222</v>
      </c>
      <c r="Q19" s="189">
        <f t="shared" si="0"/>
        <v>215.58</v>
      </c>
      <c r="R19" s="183">
        <v>2</v>
      </c>
      <c r="S19" s="187">
        <v>2</v>
      </c>
      <c r="T19" s="264" t="s">
        <v>90</v>
      </c>
      <c r="U19" s="264" t="s">
        <v>90</v>
      </c>
      <c r="V19" s="183">
        <v>0</v>
      </c>
      <c r="W19" s="187">
        <v>0</v>
      </c>
      <c r="X19" s="264" t="s">
        <v>90</v>
      </c>
      <c r="Y19" s="264" t="s">
        <v>90</v>
      </c>
      <c r="Z19" s="190">
        <f t="shared" si="1"/>
        <v>2</v>
      </c>
      <c r="AA19" s="199">
        <f t="shared" si="2"/>
        <v>2</v>
      </c>
      <c r="AB19" s="191">
        <f t="shared" si="3"/>
        <v>224</v>
      </c>
      <c r="AC19" s="192">
        <f t="shared" si="3"/>
        <v>217.58</v>
      </c>
      <c r="AD19" s="193">
        <v>1115382.38</v>
      </c>
      <c r="AE19" s="194">
        <v>57862.1</v>
      </c>
      <c r="AF19" s="194">
        <v>1151.09</v>
      </c>
      <c r="AG19" s="194">
        <v>2951.79</v>
      </c>
      <c r="AH19" s="194">
        <v>131274</v>
      </c>
      <c r="AI19" s="194">
        <v>64419.92</v>
      </c>
      <c r="AJ19" s="195">
        <f t="shared" si="4"/>
        <v>1373041.28</v>
      </c>
      <c r="AK19" s="196">
        <v>4098.01</v>
      </c>
      <c r="AL19" s="264" t="s">
        <v>90</v>
      </c>
      <c r="AM19" s="197">
        <f t="shared" si="5"/>
        <v>4098.01</v>
      </c>
      <c r="AN19" s="197">
        <f t="shared" si="6"/>
        <v>1377139.29</v>
      </c>
      <c r="AO19" s="198"/>
      <c r="AP19" s="272"/>
    </row>
    <row r="20" spans="1:42" ht="90">
      <c r="A20" s="183" t="s">
        <v>124</v>
      </c>
      <c r="B20" s="183" t="s">
        <v>124</v>
      </c>
      <c r="C20" s="183" t="s">
        <v>63</v>
      </c>
      <c r="D20" s="205" t="s">
        <v>48</v>
      </c>
      <c r="E20" s="183">
        <v>15</v>
      </c>
      <c r="F20" s="183">
        <v>14.35</v>
      </c>
      <c r="G20" s="183">
        <v>43</v>
      </c>
      <c r="H20" s="183">
        <v>41.66</v>
      </c>
      <c r="I20" s="183">
        <v>111</v>
      </c>
      <c r="J20" s="183">
        <v>108.11</v>
      </c>
      <c r="K20" s="183">
        <v>40</v>
      </c>
      <c r="L20" s="185">
        <v>38.86</v>
      </c>
      <c r="M20" s="183">
        <v>4</v>
      </c>
      <c r="N20" s="185">
        <v>3.6</v>
      </c>
      <c r="O20" s="183">
        <v>9</v>
      </c>
      <c r="P20" s="185">
        <v>9</v>
      </c>
      <c r="Q20" s="188">
        <f>SUM(E20,G20,I20,K20,M20,O20)</f>
        <v>222</v>
      </c>
      <c r="R20" s="189">
        <f>SUM(F20,H20,J20,L20,N20,P20)</f>
        <v>215.58</v>
      </c>
      <c r="S20" s="183">
        <v>2</v>
      </c>
      <c r="T20" s="187">
        <v>2</v>
      </c>
      <c r="U20" s="164" t="s">
        <v>90</v>
      </c>
      <c r="V20" s="164" t="s">
        <v>90</v>
      </c>
      <c r="W20" s="183">
        <v>0</v>
      </c>
      <c r="X20" s="187">
        <v>0</v>
      </c>
      <c r="Y20" s="164" t="s">
        <v>90</v>
      </c>
      <c r="Z20" s="164" t="s">
        <v>90</v>
      </c>
      <c r="AA20" s="190">
        <f>SUM(S20,U20,W20,Y20,)</f>
        <v>2</v>
      </c>
      <c r="AB20" s="199">
        <f>SUM(T20,V20,X20,Z20)</f>
        <v>2</v>
      </c>
      <c r="AC20" s="191">
        <f>Q20+AA20</f>
        <v>224</v>
      </c>
      <c r="AD20" s="192">
        <f>R20+AB20</f>
        <v>217.58</v>
      </c>
      <c r="AE20" s="193">
        <v>1115382.38</v>
      </c>
      <c r="AF20" s="194">
        <v>57862.1</v>
      </c>
      <c r="AG20" s="194">
        <v>1151.09</v>
      </c>
      <c r="AH20" s="194">
        <v>2951.79</v>
      </c>
      <c r="AI20" s="194">
        <v>131274</v>
      </c>
      <c r="AJ20" s="194">
        <v>64419.92</v>
      </c>
      <c r="AK20" s="195">
        <f>SUM(AE20:AJ20)</f>
        <v>1373041.28</v>
      </c>
      <c r="AL20" s="196">
        <v>4098.01</v>
      </c>
      <c r="AM20" s="164" t="s">
        <v>90</v>
      </c>
      <c r="AN20" s="197">
        <f>SUM(AL20:AM20)</f>
        <v>4098.01</v>
      </c>
      <c r="AO20" s="197">
        <f>SUM(AN20,AK20)</f>
        <v>1377139.29</v>
      </c>
      <c r="AP20" s="198"/>
    </row>
  </sheetData>
  <sheetProtection selectLockedCells="1"/>
  <mergeCells count="32">
    <mergeCell ref="AG5:AG6"/>
    <mergeCell ref="R4:AA4"/>
    <mergeCell ref="AB4:AC5"/>
    <mergeCell ref="AD4:AJ4"/>
    <mergeCell ref="AH5:AH6"/>
    <mergeCell ref="AI5:AI6"/>
    <mergeCell ref="X5:Y5"/>
    <mergeCell ref="Z5:AA5"/>
    <mergeCell ref="AD5:AD6"/>
    <mergeCell ref="AE5:AE6"/>
    <mergeCell ref="AN4:AN6"/>
    <mergeCell ref="AO4:AO6"/>
    <mergeCell ref="AJ5:AJ6"/>
    <mergeCell ref="AK5:AK6"/>
    <mergeCell ref="AL5:AL6"/>
    <mergeCell ref="AK4:AM4"/>
    <mergeCell ref="AM5:AM6"/>
    <mergeCell ref="AF5:AF6"/>
    <mergeCell ref="D5:E5"/>
    <mergeCell ref="F5:G5"/>
    <mergeCell ref="H5:I5"/>
    <mergeCell ref="J5:K5"/>
    <mergeCell ref="T5:U5"/>
    <mergeCell ref="V5:W5"/>
    <mergeCell ref="R5:S5"/>
    <mergeCell ref="A4:A6"/>
    <mergeCell ref="B4:B6"/>
    <mergeCell ref="C4:C6"/>
    <mergeCell ref="D4:Q4"/>
    <mergeCell ref="L5:M5"/>
    <mergeCell ref="N5:O5"/>
    <mergeCell ref="P5:Q5"/>
  </mergeCells>
  <conditionalFormatting sqref="C20 B7:B17 B19">
    <cfRule type="expression" priority="1" dxfId="22" stopIfTrue="1">
      <formula>AND(NOT(ISBLANK($A7)),ISBLANK(B7))</formula>
    </cfRule>
  </conditionalFormatting>
  <conditionalFormatting sqref="D20 C7:C19 A18:B18">
    <cfRule type="expression" priority="2" dxfId="22" stopIfTrue="1">
      <formula>AND(NOT(ISBLANK(IU7)),ISBLANK(A7))</formula>
    </cfRule>
  </conditionalFormatting>
  <conditionalFormatting sqref="S20 M20 K20 E20 I20 W20 G20 O20 D7:D19 N7:N19 R7:R19 F7:F19 T7:T18 V7:V19 L7:L19 J7:J19 H7:H19 X7:X18">
    <cfRule type="expression" priority="3" dxfId="22" stopIfTrue="1">
      <formula>AND(NOT(ISBLANK(E7)),ISBLANK(D7))</formula>
    </cfRule>
  </conditionalFormatting>
  <conditionalFormatting sqref="J20 H20 F20 P20 N20 L20 O7:O19 S7:S19 T19:T20 X19:X20 W7:W19 M7:M19 K7:K19 I7:I19 G7:G19 E7:E19 AD18:AI18 AK18:AL18 AG14 AF15:AG15 AF16:AF17 AH16 AK15 AL14:AL17 AL12 AF12 AL8:AL9 AL19 U7:U19 Y7:Y19">
    <cfRule type="expression" priority="4" dxfId="22" stopIfTrue="1">
      <formula>AND(NOT(ISBLANK(D7)),ISBLANK(E7))</formula>
    </cfRule>
  </conditionalFormatting>
  <dataValidations count="8">
    <dataValidation type="custom" allowBlank="1" showInputMessage="1" showErrorMessage="1" errorTitle="Headcount" error="The value entered in the headcount field must be greater than or equal to the value entered in the FTE field." sqref="D7:D18 F7:F18 L7:L18 J7:J18 H7:H18 V7:V18 X7:X18 T7:T18 R7:R18 N7:N18">
      <formula1>D7&gt;=E7</formula1>
    </dataValidation>
    <dataValidation type="custom" allowBlank="1" showInputMessage="1" showErrorMessage="1" errorTitle="FTE" error="The value entered in the FTE field must be less than or equal to the value entered in the headcount field." sqref="O7:O18 E7:E18 M7:M18 K7:K18 I7:I18 G7:G18 W7:W18 Y7:Y18 U7:U18 S7:S18">
      <formula1>O7&lt;=N7</formula1>
    </dataValidation>
    <dataValidation type="decimal" operator="greaterThanOrEqual" allowBlank="1" showInputMessage="1" showErrorMessage="1" sqref="Y20:Z20 U20:V20 AM20 AK7:AK18 AD7:AI18 AL7:AL19 T19:U19 X19:Y19">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D20 C7:C19">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C20 B7:B19">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20:B20 A7:A19">
      <formula1>INDIRECT("List_of_organisations")</formula1>
    </dataValidation>
    <dataValidation operator="lessThanOrEqual" allowBlank="1" showInputMessage="1" showErrorMessage="1" error="FTE cannot be greater than Headcount&#10;" sqref="AO4 R4 AB4 P5 A4:C4 AB6:AC19 AC20:AD20 AP7:AP20 Q20:R20 P7:Q19 AO7:AO17 AO19"/>
    <dataValidation type="decimal" operator="greaterThan" allowBlank="1" showInputMessage="1" showErrorMessage="1" sqref="AE20:AJ20 AD19:AI19">
      <formula1>0</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O20"/>
  <sheetViews>
    <sheetView workbookViewId="0" topLeftCell="A1">
      <selection activeCell="I11" sqref="I11"/>
    </sheetView>
  </sheetViews>
  <sheetFormatPr defaultColWidth="8.88671875" defaultRowHeight="15"/>
  <cols>
    <col min="2" max="2" width="10.77734375" style="0" customWidth="1"/>
    <col min="3" max="3" width="10.10546875" style="0" customWidth="1"/>
    <col min="30" max="30" width="13.4453125" style="0" bestFit="1" customWidth="1"/>
    <col min="31" max="31" width="10.88671875" style="0" bestFit="1" customWidth="1"/>
    <col min="32" max="32" width="33.21484375" style="0" bestFit="1" customWidth="1"/>
    <col min="33" max="33" width="12.4453125" style="0" customWidth="1"/>
    <col min="34" max="34" width="14.21484375" style="0" customWidth="1"/>
    <col min="35" max="35" width="13.6640625" style="0" customWidth="1"/>
    <col min="36" max="36" width="14.21484375" style="0" customWidth="1"/>
    <col min="37" max="37" width="12.4453125" style="0" customWidth="1"/>
    <col min="38" max="38" width="15.3359375" style="0" customWidth="1"/>
    <col min="39" max="39" width="15.77734375" style="0" customWidth="1"/>
    <col min="40" max="40" width="12.4453125" style="0" customWidth="1"/>
  </cols>
  <sheetData>
    <row r="1" spans="1:41" ht="15">
      <c r="A1" s="2" t="s">
        <v>92</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row>
    <row r="2" spans="1:41" ht="15">
      <c r="A2" s="24" t="s">
        <v>93</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row>
    <row r="3" spans="1:41" ht="15">
      <c r="A3" s="24" t="s">
        <v>94</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row>
    <row r="4" spans="1:41" ht="15">
      <c r="A4" s="313" t="s">
        <v>26</v>
      </c>
      <c r="B4" s="328" t="s">
        <v>15</v>
      </c>
      <c r="C4" s="328" t="s">
        <v>14</v>
      </c>
      <c r="D4" s="315" t="s">
        <v>22</v>
      </c>
      <c r="E4" s="329"/>
      <c r="F4" s="329"/>
      <c r="G4" s="329"/>
      <c r="H4" s="329"/>
      <c r="I4" s="329"/>
      <c r="J4" s="329"/>
      <c r="K4" s="329"/>
      <c r="L4" s="329"/>
      <c r="M4" s="329"/>
      <c r="N4" s="329"/>
      <c r="O4" s="329"/>
      <c r="P4" s="329"/>
      <c r="Q4" s="316"/>
      <c r="R4" s="303" t="s">
        <v>29</v>
      </c>
      <c r="S4" s="304"/>
      <c r="T4" s="304"/>
      <c r="U4" s="304"/>
      <c r="V4" s="304"/>
      <c r="W4" s="304"/>
      <c r="X4" s="304"/>
      <c r="Y4" s="304"/>
      <c r="Z4" s="304"/>
      <c r="AA4" s="305"/>
      <c r="AB4" s="306" t="s">
        <v>39</v>
      </c>
      <c r="AC4" s="307"/>
      <c r="AD4" s="310" t="s">
        <v>25</v>
      </c>
      <c r="AE4" s="311"/>
      <c r="AF4" s="311"/>
      <c r="AG4" s="311"/>
      <c r="AH4" s="311"/>
      <c r="AI4" s="311"/>
      <c r="AJ4" s="312"/>
      <c r="AK4" s="322" t="s">
        <v>115</v>
      </c>
      <c r="AL4" s="323"/>
      <c r="AM4" s="323"/>
      <c r="AN4" s="318" t="s">
        <v>38</v>
      </c>
      <c r="AO4" s="313" t="s">
        <v>126</v>
      </c>
    </row>
    <row r="5" spans="1:41" ht="15">
      <c r="A5" s="326"/>
      <c r="B5" s="326"/>
      <c r="C5" s="326"/>
      <c r="D5" s="324" t="s">
        <v>116</v>
      </c>
      <c r="E5" s="325"/>
      <c r="F5" s="324" t="s">
        <v>117</v>
      </c>
      <c r="G5" s="325"/>
      <c r="H5" s="324" t="s">
        <v>118</v>
      </c>
      <c r="I5" s="325"/>
      <c r="J5" s="324" t="s">
        <v>20</v>
      </c>
      <c r="K5" s="325"/>
      <c r="L5" s="324" t="s">
        <v>119</v>
      </c>
      <c r="M5" s="325"/>
      <c r="N5" s="324" t="s">
        <v>19</v>
      </c>
      <c r="O5" s="325"/>
      <c r="P5" s="315" t="s">
        <v>23</v>
      </c>
      <c r="Q5" s="316"/>
      <c r="R5" s="315" t="s">
        <v>27</v>
      </c>
      <c r="S5" s="305"/>
      <c r="T5" s="303" t="s">
        <v>17</v>
      </c>
      <c r="U5" s="305"/>
      <c r="V5" s="303" t="s">
        <v>18</v>
      </c>
      <c r="W5" s="305"/>
      <c r="X5" s="303" t="s">
        <v>28</v>
      </c>
      <c r="Y5" s="305"/>
      <c r="Z5" s="315" t="s">
        <v>24</v>
      </c>
      <c r="AA5" s="316"/>
      <c r="AB5" s="308"/>
      <c r="AC5" s="309"/>
      <c r="AD5" s="313" t="s">
        <v>31</v>
      </c>
      <c r="AE5" s="313" t="s">
        <v>30</v>
      </c>
      <c r="AF5" s="313" t="s">
        <v>32</v>
      </c>
      <c r="AG5" s="313" t="s">
        <v>33</v>
      </c>
      <c r="AH5" s="313" t="s">
        <v>34</v>
      </c>
      <c r="AI5" s="313" t="s">
        <v>35</v>
      </c>
      <c r="AJ5" s="317" t="s">
        <v>37</v>
      </c>
      <c r="AK5" s="313" t="s">
        <v>120</v>
      </c>
      <c r="AL5" s="313" t="s">
        <v>121</v>
      </c>
      <c r="AM5" s="313" t="s">
        <v>36</v>
      </c>
      <c r="AN5" s="319"/>
      <c r="AO5" s="321"/>
    </row>
    <row r="6" spans="1:41" ht="60">
      <c r="A6" s="327"/>
      <c r="B6" s="327"/>
      <c r="C6" s="327"/>
      <c r="D6" s="175" t="s">
        <v>16</v>
      </c>
      <c r="E6" s="175" t="s">
        <v>21</v>
      </c>
      <c r="F6" s="175" t="s">
        <v>16</v>
      </c>
      <c r="G6" s="175" t="s">
        <v>21</v>
      </c>
      <c r="H6" s="175" t="s">
        <v>16</v>
      </c>
      <c r="I6" s="175" t="s">
        <v>21</v>
      </c>
      <c r="J6" s="175" t="s">
        <v>16</v>
      </c>
      <c r="K6" s="175" t="s">
        <v>21</v>
      </c>
      <c r="L6" s="175" t="s">
        <v>16</v>
      </c>
      <c r="M6" s="175" t="s">
        <v>21</v>
      </c>
      <c r="N6" s="175" t="s">
        <v>16</v>
      </c>
      <c r="O6" s="175" t="s">
        <v>21</v>
      </c>
      <c r="P6" s="175" t="s">
        <v>16</v>
      </c>
      <c r="Q6" s="175" t="s">
        <v>21</v>
      </c>
      <c r="R6" s="174" t="s">
        <v>16</v>
      </c>
      <c r="S6" s="174" t="s">
        <v>21</v>
      </c>
      <c r="T6" s="174" t="s">
        <v>16</v>
      </c>
      <c r="U6" s="174" t="s">
        <v>21</v>
      </c>
      <c r="V6" s="174" t="s">
        <v>16</v>
      </c>
      <c r="W6" s="174" t="s">
        <v>21</v>
      </c>
      <c r="X6" s="174" t="s">
        <v>16</v>
      </c>
      <c r="Y6" s="174" t="s">
        <v>21</v>
      </c>
      <c r="Z6" s="174" t="s">
        <v>16</v>
      </c>
      <c r="AA6" s="174" t="s">
        <v>21</v>
      </c>
      <c r="AB6" s="177" t="s">
        <v>16</v>
      </c>
      <c r="AC6" s="176" t="s">
        <v>21</v>
      </c>
      <c r="AD6" s="314"/>
      <c r="AE6" s="314"/>
      <c r="AF6" s="314"/>
      <c r="AG6" s="314"/>
      <c r="AH6" s="314"/>
      <c r="AI6" s="314"/>
      <c r="AJ6" s="317"/>
      <c r="AK6" s="314"/>
      <c r="AL6" s="314"/>
      <c r="AM6" s="314"/>
      <c r="AN6" s="320"/>
      <c r="AO6" s="314"/>
    </row>
    <row r="7" spans="1:41" ht="45">
      <c r="A7" s="182" t="s">
        <v>48</v>
      </c>
      <c r="B7" s="183" t="s">
        <v>49</v>
      </c>
      <c r="C7" s="182" t="s">
        <v>48</v>
      </c>
      <c r="D7" s="184">
        <f>'[2]Headcount By Band'!$N$29+'[2]Headcount By Band'!$N$28</f>
        <v>988</v>
      </c>
      <c r="E7" s="185">
        <f>'[2]FTE by Band'!$N$29+'[2]FTE by Band'!$N$28</f>
        <v>920.4539148470451</v>
      </c>
      <c r="F7" s="186">
        <f>'[2]Headcount By Band'!$N$27</f>
        <v>921</v>
      </c>
      <c r="G7" s="185">
        <f>'[2]FTE by Band'!$N$27</f>
        <v>884.90652088552</v>
      </c>
      <c r="H7" s="186">
        <f>'[2]Headcount By Band'!$N$25+'[2]Headcount By Band'!$N$26+'[2]Headcount By Band'!$N$30</f>
        <v>1662</v>
      </c>
      <c r="I7" s="185">
        <f>'[2]FTE by Band'!$N$25+'[2]FTE by Band'!$N$26+'[2]FTE by Band'!$N$30</f>
        <v>1616.3258058778292</v>
      </c>
      <c r="J7" s="186">
        <f>'[2]Headcount By Band'!$N$24</f>
        <v>796</v>
      </c>
      <c r="K7" s="185">
        <f>'[2]FTE by Band'!$N$24</f>
        <v>777.1359236343662</v>
      </c>
      <c r="L7" s="186">
        <f>'[2]Headcount By Band'!$N$31</f>
        <v>122</v>
      </c>
      <c r="M7" s="185">
        <f>'[2]FTE by Band'!$N$31</f>
        <v>120.05574444444443</v>
      </c>
      <c r="N7" s="183">
        <v>0</v>
      </c>
      <c r="O7" s="187">
        <v>0</v>
      </c>
      <c r="P7" s="188">
        <f>SUM(D7,F7,H7,J7,L7,N7)</f>
        <v>4489</v>
      </c>
      <c r="Q7" s="189">
        <f>SUM(E7,G7,I7,K7,M7,O7)</f>
        <v>4318.877909689205</v>
      </c>
      <c r="R7" s="183">
        <v>181</v>
      </c>
      <c r="S7" s="183">
        <v>177.43</v>
      </c>
      <c r="T7" s="183">
        <v>15</v>
      </c>
      <c r="U7" s="187">
        <v>15</v>
      </c>
      <c r="V7" s="183">
        <v>210</v>
      </c>
      <c r="W7" s="187">
        <v>210</v>
      </c>
      <c r="X7" s="183">
        <v>0</v>
      </c>
      <c r="Y7" s="187">
        <v>0</v>
      </c>
      <c r="Z7" s="190">
        <f>SUM(R7,T7,V7,X7,)</f>
        <v>406</v>
      </c>
      <c r="AA7" s="203">
        <f>SUM(S7,U7,W7,Y7)</f>
        <v>402.43</v>
      </c>
      <c r="AB7" s="191">
        <f>P7+Z7</f>
        <v>4895</v>
      </c>
      <c r="AC7" s="192">
        <f>Q7+AA7</f>
        <v>4721.307909689205</v>
      </c>
      <c r="AD7" s="193">
        <v>12950573.655000001</v>
      </c>
      <c r="AE7" s="194">
        <v>218650.44</v>
      </c>
      <c r="AF7" s="194">
        <v>19660.12</v>
      </c>
      <c r="AG7" s="194">
        <v>66637.68</v>
      </c>
      <c r="AH7" s="194">
        <v>2381531.7525</v>
      </c>
      <c r="AI7" s="194">
        <v>1245226.3725000003</v>
      </c>
      <c r="AJ7" s="195">
        <f>SUM(AD7:AI7)</f>
        <v>16882280.02</v>
      </c>
      <c r="AK7" s="196">
        <v>2382246.06</v>
      </c>
      <c r="AL7" s="196">
        <v>1916656.47</v>
      </c>
      <c r="AM7" s="197">
        <f>SUM(AK7:AL7)</f>
        <v>4298902.53</v>
      </c>
      <c r="AN7" s="197">
        <f>SUM(AM7,AJ7)</f>
        <v>21181182.55</v>
      </c>
      <c r="AO7" s="198"/>
    </row>
    <row r="8" spans="1:41" ht="75">
      <c r="A8" s="182" t="s">
        <v>76</v>
      </c>
      <c r="B8" s="183" t="s">
        <v>51</v>
      </c>
      <c r="C8" s="182" t="s">
        <v>48</v>
      </c>
      <c r="D8" s="186">
        <v>13354</v>
      </c>
      <c r="E8" s="185">
        <v>11648.637348258246</v>
      </c>
      <c r="F8" s="186">
        <v>2959</v>
      </c>
      <c r="G8" s="185">
        <v>2771.188102372372</v>
      </c>
      <c r="H8" s="186">
        <v>2523</v>
      </c>
      <c r="I8" s="185">
        <v>2342.8051531231235</v>
      </c>
      <c r="J8" s="186">
        <v>548</v>
      </c>
      <c r="K8" s="185">
        <v>534.3931666966967</v>
      </c>
      <c r="L8" s="186">
        <v>31</v>
      </c>
      <c r="M8" s="185">
        <v>30.972972972972972</v>
      </c>
      <c r="N8" s="183">
        <v>0</v>
      </c>
      <c r="O8" s="185">
        <v>0</v>
      </c>
      <c r="P8" s="188">
        <f aca="true" t="shared" si="0" ref="P8:Q19">SUM(D8,F8,H8,J8,L8,N8)</f>
        <v>19415</v>
      </c>
      <c r="Q8" s="189">
        <f t="shared" si="0"/>
        <v>17327.996743423413</v>
      </c>
      <c r="R8" s="183" t="s">
        <v>90</v>
      </c>
      <c r="S8" s="187">
        <v>895.5</v>
      </c>
      <c r="T8" s="183" t="s">
        <v>90</v>
      </c>
      <c r="U8" s="187" t="s">
        <v>90</v>
      </c>
      <c r="V8" s="183" t="s">
        <v>90</v>
      </c>
      <c r="W8" s="187" t="s">
        <v>90</v>
      </c>
      <c r="X8" s="183" t="s">
        <v>90</v>
      </c>
      <c r="Y8" s="187" t="s">
        <v>90</v>
      </c>
      <c r="Z8" s="190">
        <f aca="true" t="shared" si="1" ref="Z8:Z19">SUM(R8,T8,V8,X8,)</f>
        <v>0</v>
      </c>
      <c r="AA8" s="199">
        <f aca="true" t="shared" si="2" ref="AA8:AA19">SUM(S8,U8,W8,Y8)</f>
        <v>895.5</v>
      </c>
      <c r="AB8" s="191">
        <f aca="true" t="shared" si="3" ref="AB8:AC19">P8+Z8</f>
        <v>19415</v>
      </c>
      <c r="AC8" s="192">
        <f t="shared" si="3"/>
        <v>18223.496743423413</v>
      </c>
      <c r="AD8" s="193">
        <v>32940820.33</v>
      </c>
      <c r="AE8" s="194">
        <v>442087.49</v>
      </c>
      <c r="AF8" s="194">
        <v>87356.57</v>
      </c>
      <c r="AG8" s="194">
        <v>423137.87</v>
      </c>
      <c r="AH8" s="194">
        <v>5866321.92</v>
      </c>
      <c r="AI8" s="194">
        <v>2213362.09</v>
      </c>
      <c r="AJ8" s="195">
        <f aca="true" t="shared" si="4" ref="AJ8:AJ19">SUM(AD8:AI8)</f>
        <v>41973086.269999996</v>
      </c>
      <c r="AK8" s="196">
        <v>2046538.33</v>
      </c>
      <c r="AL8" s="196" t="s">
        <v>90</v>
      </c>
      <c r="AM8" s="197">
        <f aca="true" t="shared" si="5" ref="AM8:AM19">SUM(AK8:AL8)</f>
        <v>2046538.33</v>
      </c>
      <c r="AN8" s="197">
        <f aca="true" t="shared" si="6" ref="AN8:AN19">SUM(AM8,AJ8)</f>
        <v>44019624.599999994</v>
      </c>
      <c r="AO8" s="200" t="s">
        <v>122</v>
      </c>
    </row>
    <row r="9" spans="1:41" ht="30">
      <c r="A9" s="182" t="s">
        <v>55</v>
      </c>
      <c r="B9" s="183" t="s">
        <v>51</v>
      </c>
      <c r="C9" s="182" t="s">
        <v>48</v>
      </c>
      <c r="D9" s="183">
        <v>179</v>
      </c>
      <c r="E9" s="183">
        <v>159.25</v>
      </c>
      <c r="F9" s="183">
        <v>128</v>
      </c>
      <c r="G9" s="183">
        <v>122.28</v>
      </c>
      <c r="H9" s="183">
        <v>260</v>
      </c>
      <c r="I9" s="183">
        <v>253.3</v>
      </c>
      <c r="J9" s="183">
        <v>60</v>
      </c>
      <c r="K9" s="183">
        <v>59.33</v>
      </c>
      <c r="L9" s="183">
        <v>6</v>
      </c>
      <c r="M9" s="187">
        <v>6</v>
      </c>
      <c r="N9" s="183">
        <v>0</v>
      </c>
      <c r="O9" s="187">
        <v>0</v>
      </c>
      <c r="P9" s="188">
        <f t="shared" si="0"/>
        <v>633</v>
      </c>
      <c r="Q9" s="189">
        <f t="shared" si="0"/>
        <v>600.16</v>
      </c>
      <c r="R9" s="183">
        <v>17</v>
      </c>
      <c r="S9" s="187">
        <v>16.2</v>
      </c>
      <c r="T9" s="183" t="s">
        <v>90</v>
      </c>
      <c r="U9" s="187" t="s">
        <v>90</v>
      </c>
      <c r="V9" s="183">
        <v>21</v>
      </c>
      <c r="W9" s="187">
        <v>20.4</v>
      </c>
      <c r="X9" s="183" t="s">
        <v>90</v>
      </c>
      <c r="Y9" s="187" t="s">
        <v>90</v>
      </c>
      <c r="Z9" s="190">
        <f t="shared" si="1"/>
        <v>38</v>
      </c>
      <c r="AA9" s="199">
        <f t="shared" si="2"/>
        <v>36.599999999999994</v>
      </c>
      <c r="AB9" s="191">
        <f t="shared" si="3"/>
        <v>671</v>
      </c>
      <c r="AC9" s="192">
        <f t="shared" si="3"/>
        <v>636.76</v>
      </c>
      <c r="AD9" s="193">
        <v>1463695.34</v>
      </c>
      <c r="AE9" s="194">
        <v>13804.38</v>
      </c>
      <c r="AF9" s="196" t="s">
        <v>90</v>
      </c>
      <c r="AG9" s="194">
        <v>8080.19</v>
      </c>
      <c r="AH9" s="194">
        <v>265627.77</v>
      </c>
      <c r="AI9" s="194">
        <v>125652.42</v>
      </c>
      <c r="AJ9" s="195">
        <f t="shared" si="4"/>
        <v>1876860.0999999999</v>
      </c>
      <c r="AK9" s="196">
        <v>118460.24</v>
      </c>
      <c r="AL9" s="196" t="s">
        <v>90</v>
      </c>
      <c r="AM9" s="197">
        <f t="shared" si="5"/>
        <v>118460.24</v>
      </c>
      <c r="AN9" s="197">
        <f t="shared" si="6"/>
        <v>1995320.3399999999</v>
      </c>
      <c r="AO9" s="198"/>
    </row>
    <row r="10" spans="1:41" ht="75">
      <c r="A10" s="23" t="s">
        <v>56</v>
      </c>
      <c r="B10" s="183" t="s">
        <v>51</v>
      </c>
      <c r="C10" s="182" t="s">
        <v>48</v>
      </c>
      <c r="D10" s="183">
        <v>32765</v>
      </c>
      <c r="E10" s="185">
        <v>31199.09</v>
      </c>
      <c r="F10" s="183">
        <v>6005</v>
      </c>
      <c r="G10" s="185">
        <v>5750.99</v>
      </c>
      <c r="H10" s="183">
        <v>3565</v>
      </c>
      <c r="I10" s="185">
        <v>3335.41</v>
      </c>
      <c r="J10" s="183">
        <v>604</v>
      </c>
      <c r="K10" s="185">
        <v>590.18</v>
      </c>
      <c r="L10" s="183">
        <v>37</v>
      </c>
      <c r="M10" s="185">
        <v>36.88</v>
      </c>
      <c r="N10" s="183">
        <v>0</v>
      </c>
      <c r="O10" s="185">
        <v>0</v>
      </c>
      <c r="P10" s="188">
        <f t="shared" si="0"/>
        <v>42976</v>
      </c>
      <c r="Q10" s="189">
        <f t="shared" si="0"/>
        <v>40912.55</v>
      </c>
      <c r="R10" s="156" t="s">
        <v>90</v>
      </c>
      <c r="S10" s="156">
        <v>409.62</v>
      </c>
      <c r="T10" s="156" t="s">
        <v>90</v>
      </c>
      <c r="U10" s="156">
        <v>2.08</v>
      </c>
      <c r="V10" s="156" t="s">
        <v>90</v>
      </c>
      <c r="W10" s="156">
        <v>21.54</v>
      </c>
      <c r="X10" s="156" t="s">
        <v>90</v>
      </c>
      <c r="Y10" s="156">
        <v>12</v>
      </c>
      <c r="Z10" s="190">
        <f t="shared" si="1"/>
        <v>0</v>
      </c>
      <c r="AA10" s="203">
        <f t="shared" si="2"/>
        <v>445.24</v>
      </c>
      <c r="AB10" s="191">
        <f t="shared" si="3"/>
        <v>42976</v>
      </c>
      <c r="AC10" s="192">
        <f t="shared" si="3"/>
        <v>41357.79</v>
      </c>
      <c r="AD10" s="193">
        <v>95425377.28999998</v>
      </c>
      <c r="AE10" s="194">
        <v>0</v>
      </c>
      <c r="AF10" s="194">
        <v>0</v>
      </c>
      <c r="AG10" s="194">
        <v>4101981.78</v>
      </c>
      <c r="AH10" s="194">
        <v>17893033.6</v>
      </c>
      <c r="AI10" s="194">
        <v>7438289.490000002</v>
      </c>
      <c r="AJ10" s="195">
        <f t="shared" si="4"/>
        <v>124858682.16</v>
      </c>
      <c r="AK10" s="196">
        <v>2023135.21</v>
      </c>
      <c r="AL10" s="248">
        <v>-159694.93</v>
      </c>
      <c r="AM10" s="197">
        <f t="shared" si="5"/>
        <v>1863440.28</v>
      </c>
      <c r="AN10" s="197">
        <f t="shared" si="6"/>
        <v>126722122.44</v>
      </c>
      <c r="AO10" s="200" t="s">
        <v>9</v>
      </c>
    </row>
    <row r="11" spans="1:41" ht="168">
      <c r="A11" s="182" t="s">
        <v>58</v>
      </c>
      <c r="B11" s="183" t="s">
        <v>51</v>
      </c>
      <c r="C11" s="182" t="s">
        <v>48</v>
      </c>
      <c r="D11" s="186">
        <v>253</v>
      </c>
      <c r="E11" s="185">
        <v>237.3578016216216</v>
      </c>
      <c r="F11" s="186">
        <v>138</v>
      </c>
      <c r="G11" s="185">
        <v>130.62351</v>
      </c>
      <c r="H11" s="186">
        <v>71</v>
      </c>
      <c r="I11" s="185">
        <v>69.27701081081081</v>
      </c>
      <c r="J11" s="186">
        <v>10</v>
      </c>
      <c r="K11" s="185">
        <v>9.82222</v>
      </c>
      <c r="L11" s="186">
        <v>2</v>
      </c>
      <c r="M11" s="187">
        <v>1.7783799999999998</v>
      </c>
      <c r="N11" s="183">
        <v>0</v>
      </c>
      <c r="O11" s="185">
        <v>0</v>
      </c>
      <c r="P11" s="188">
        <f t="shared" si="0"/>
        <v>474</v>
      </c>
      <c r="Q11" s="189">
        <f t="shared" si="0"/>
        <v>448.85892243243245</v>
      </c>
      <c r="R11" s="183">
        <v>236</v>
      </c>
      <c r="S11" s="183">
        <v>171.89</v>
      </c>
      <c r="T11" s="183">
        <v>0</v>
      </c>
      <c r="U11" s="187">
        <v>0</v>
      </c>
      <c r="V11" s="183">
        <v>2</v>
      </c>
      <c r="W11" s="187">
        <v>2</v>
      </c>
      <c r="X11" s="183">
        <v>0</v>
      </c>
      <c r="Y11" s="187">
        <v>0</v>
      </c>
      <c r="Z11" s="190">
        <f t="shared" si="1"/>
        <v>238</v>
      </c>
      <c r="AA11" s="203">
        <f t="shared" si="2"/>
        <v>173.89</v>
      </c>
      <c r="AB11" s="191">
        <f t="shared" si="3"/>
        <v>712</v>
      </c>
      <c r="AC11" s="192">
        <f t="shared" si="3"/>
        <v>622.7489224324324</v>
      </c>
      <c r="AD11" s="193">
        <v>797052.09</v>
      </c>
      <c r="AE11" s="194">
        <v>10071.12</v>
      </c>
      <c r="AF11" s="251">
        <v>-500</v>
      </c>
      <c r="AG11" s="194">
        <v>32370.3</v>
      </c>
      <c r="AH11" s="194">
        <v>134210.37</v>
      </c>
      <c r="AI11" s="194">
        <v>52736.82</v>
      </c>
      <c r="AJ11" s="195">
        <f t="shared" si="4"/>
        <v>1025940.7</v>
      </c>
      <c r="AK11" s="196">
        <v>566593.04</v>
      </c>
      <c r="AL11" s="196">
        <v>20553.52</v>
      </c>
      <c r="AM11" s="197">
        <f t="shared" si="5"/>
        <v>587146.56</v>
      </c>
      <c r="AN11" s="197">
        <f t="shared" si="6"/>
        <v>1613087.26</v>
      </c>
      <c r="AO11" s="200" t="s">
        <v>148</v>
      </c>
    </row>
    <row r="12" spans="1:41" ht="264">
      <c r="A12" s="182" t="s">
        <v>62</v>
      </c>
      <c r="B12" s="183" t="s">
        <v>63</v>
      </c>
      <c r="C12" s="182" t="s">
        <v>48</v>
      </c>
      <c r="D12" s="183">
        <v>0</v>
      </c>
      <c r="E12" s="185">
        <v>0</v>
      </c>
      <c r="F12" s="183">
        <v>0</v>
      </c>
      <c r="G12" s="187">
        <v>0</v>
      </c>
      <c r="H12" s="183">
        <v>0</v>
      </c>
      <c r="I12" s="187">
        <v>0</v>
      </c>
      <c r="J12" s="183">
        <v>0</v>
      </c>
      <c r="K12" s="187">
        <v>0</v>
      </c>
      <c r="L12" s="183">
        <v>0</v>
      </c>
      <c r="M12" s="187">
        <v>0</v>
      </c>
      <c r="N12" s="183">
        <v>81</v>
      </c>
      <c r="O12" s="183">
        <v>73.56</v>
      </c>
      <c r="P12" s="188">
        <f t="shared" si="0"/>
        <v>81</v>
      </c>
      <c r="Q12" s="189">
        <f t="shared" si="0"/>
        <v>73.56</v>
      </c>
      <c r="R12" s="183">
        <v>4</v>
      </c>
      <c r="S12" s="187">
        <v>4</v>
      </c>
      <c r="T12" s="183">
        <v>4</v>
      </c>
      <c r="U12" s="187">
        <v>4</v>
      </c>
      <c r="V12" s="183" t="s">
        <v>90</v>
      </c>
      <c r="W12" s="187" t="s">
        <v>90</v>
      </c>
      <c r="X12" s="183" t="s">
        <v>90</v>
      </c>
      <c r="Y12" s="187" t="s">
        <v>90</v>
      </c>
      <c r="Z12" s="190">
        <f t="shared" si="1"/>
        <v>8</v>
      </c>
      <c r="AA12" s="199">
        <f t="shared" si="2"/>
        <v>8</v>
      </c>
      <c r="AB12" s="191">
        <f t="shared" si="3"/>
        <v>89</v>
      </c>
      <c r="AC12" s="192">
        <f t="shared" si="3"/>
        <v>81.56</v>
      </c>
      <c r="AD12" s="193">
        <v>207551</v>
      </c>
      <c r="AE12" s="194">
        <v>57</v>
      </c>
      <c r="AF12" s="196" t="s">
        <v>90</v>
      </c>
      <c r="AG12" s="194">
        <v>7354</v>
      </c>
      <c r="AH12" s="194">
        <v>34662</v>
      </c>
      <c r="AI12" s="194">
        <v>18109</v>
      </c>
      <c r="AJ12" s="195">
        <f t="shared" si="4"/>
        <v>267733</v>
      </c>
      <c r="AK12" s="196">
        <v>35894</v>
      </c>
      <c r="AL12" s="196" t="s">
        <v>90</v>
      </c>
      <c r="AM12" s="197">
        <f t="shared" si="5"/>
        <v>35894</v>
      </c>
      <c r="AN12" s="197">
        <f t="shared" si="6"/>
        <v>303627</v>
      </c>
      <c r="AO12" s="200" t="s">
        <v>64</v>
      </c>
    </row>
    <row r="13" spans="1:41" ht="75">
      <c r="A13" s="182" t="s">
        <v>66</v>
      </c>
      <c r="B13" s="183" t="s">
        <v>63</v>
      </c>
      <c r="C13" s="182" t="s">
        <v>48</v>
      </c>
      <c r="D13" s="183">
        <v>0</v>
      </c>
      <c r="E13" s="185">
        <v>0</v>
      </c>
      <c r="F13" s="183">
        <v>0</v>
      </c>
      <c r="G13" s="187">
        <v>0</v>
      </c>
      <c r="H13" s="183">
        <v>0</v>
      </c>
      <c r="I13" s="187">
        <v>0</v>
      </c>
      <c r="J13" s="183">
        <v>0</v>
      </c>
      <c r="K13" s="187">
        <v>0</v>
      </c>
      <c r="L13" s="183">
        <v>0</v>
      </c>
      <c r="M13" s="187">
        <v>0</v>
      </c>
      <c r="N13" s="183">
        <v>390</v>
      </c>
      <c r="O13" s="183">
        <v>366.02</v>
      </c>
      <c r="P13" s="188">
        <f t="shared" si="0"/>
        <v>390</v>
      </c>
      <c r="Q13" s="189">
        <f t="shared" si="0"/>
        <v>366.02</v>
      </c>
      <c r="R13" s="183">
        <v>12</v>
      </c>
      <c r="S13" s="187">
        <v>12</v>
      </c>
      <c r="T13" s="183">
        <v>0</v>
      </c>
      <c r="U13" s="187">
        <v>0</v>
      </c>
      <c r="V13" s="183">
        <v>0</v>
      </c>
      <c r="W13" s="187">
        <v>0</v>
      </c>
      <c r="X13" s="183">
        <v>0</v>
      </c>
      <c r="Y13" s="187">
        <v>0</v>
      </c>
      <c r="Z13" s="190">
        <f t="shared" si="1"/>
        <v>12</v>
      </c>
      <c r="AA13" s="199">
        <f t="shared" si="2"/>
        <v>12</v>
      </c>
      <c r="AB13" s="191">
        <f t="shared" si="3"/>
        <v>402</v>
      </c>
      <c r="AC13" s="192">
        <f t="shared" si="3"/>
        <v>378.02</v>
      </c>
      <c r="AD13" s="193">
        <v>809688.64</v>
      </c>
      <c r="AE13" s="194">
        <v>1335.49</v>
      </c>
      <c r="AF13" s="194">
        <v>0</v>
      </c>
      <c r="AG13" s="194">
        <v>11005.15</v>
      </c>
      <c r="AH13" s="194">
        <v>146402.63</v>
      </c>
      <c r="AI13" s="194">
        <v>54630.55</v>
      </c>
      <c r="AJ13" s="195">
        <f t="shared" si="4"/>
        <v>1023062.4600000001</v>
      </c>
      <c r="AK13" s="196">
        <v>428255.39</v>
      </c>
      <c r="AL13" s="196" t="s">
        <v>90</v>
      </c>
      <c r="AM13" s="197">
        <f t="shared" si="5"/>
        <v>428255.39</v>
      </c>
      <c r="AN13" s="197">
        <f t="shared" si="6"/>
        <v>1451317.85</v>
      </c>
      <c r="AO13" s="198"/>
    </row>
    <row r="14" spans="1:41" ht="75">
      <c r="A14" s="182" t="s">
        <v>67</v>
      </c>
      <c r="B14" s="183" t="s">
        <v>63</v>
      </c>
      <c r="C14" s="182" t="s">
        <v>48</v>
      </c>
      <c r="D14" s="183">
        <v>14</v>
      </c>
      <c r="E14" s="185">
        <v>13.54</v>
      </c>
      <c r="F14" s="183">
        <v>17</v>
      </c>
      <c r="G14" s="187">
        <v>15.94</v>
      </c>
      <c r="H14" s="183">
        <v>22</v>
      </c>
      <c r="I14" s="183">
        <v>21.69</v>
      </c>
      <c r="J14" s="183">
        <v>12</v>
      </c>
      <c r="K14" s="187">
        <v>10.95</v>
      </c>
      <c r="L14" s="183">
        <v>3</v>
      </c>
      <c r="M14" s="187">
        <v>3</v>
      </c>
      <c r="N14" s="183">
        <v>1</v>
      </c>
      <c r="O14" s="187">
        <v>0.4</v>
      </c>
      <c r="P14" s="188">
        <f t="shared" si="0"/>
        <v>69</v>
      </c>
      <c r="Q14" s="189">
        <f t="shared" si="0"/>
        <v>65.52000000000001</v>
      </c>
      <c r="R14" s="183">
        <v>4</v>
      </c>
      <c r="S14" s="187">
        <v>4</v>
      </c>
      <c r="T14" s="183" t="s">
        <v>90</v>
      </c>
      <c r="U14" s="187" t="s">
        <v>90</v>
      </c>
      <c r="V14" s="183" t="s">
        <v>90</v>
      </c>
      <c r="W14" s="187" t="s">
        <v>90</v>
      </c>
      <c r="X14" s="183" t="s">
        <v>90</v>
      </c>
      <c r="Y14" s="187" t="s">
        <v>90</v>
      </c>
      <c r="Z14" s="190">
        <f t="shared" si="1"/>
        <v>4</v>
      </c>
      <c r="AA14" s="199">
        <f t="shared" si="2"/>
        <v>4</v>
      </c>
      <c r="AB14" s="191">
        <f t="shared" si="3"/>
        <v>73</v>
      </c>
      <c r="AC14" s="192">
        <f t="shared" si="3"/>
        <v>69.52000000000001</v>
      </c>
      <c r="AD14" s="193">
        <v>171826.78</v>
      </c>
      <c r="AE14" s="194">
        <v>3261.66</v>
      </c>
      <c r="AF14" s="194">
        <v>200</v>
      </c>
      <c r="AG14" s="196" t="s">
        <v>90</v>
      </c>
      <c r="AH14" s="194">
        <v>36249.54</v>
      </c>
      <c r="AI14" s="194">
        <v>14840.12</v>
      </c>
      <c r="AJ14" s="195">
        <f t="shared" si="4"/>
        <v>226378.1</v>
      </c>
      <c r="AK14" s="196">
        <v>10099.48</v>
      </c>
      <c r="AL14" s="196" t="s">
        <v>90</v>
      </c>
      <c r="AM14" s="197">
        <f t="shared" si="5"/>
        <v>10099.48</v>
      </c>
      <c r="AN14" s="197">
        <f t="shared" si="6"/>
        <v>236477.58000000002</v>
      </c>
      <c r="AO14" s="198"/>
    </row>
    <row r="15" spans="1:41" ht="156">
      <c r="A15" s="182" t="s">
        <v>68</v>
      </c>
      <c r="B15" s="183" t="s">
        <v>63</v>
      </c>
      <c r="C15" s="182" t="s">
        <v>48</v>
      </c>
      <c r="D15" s="183">
        <v>0</v>
      </c>
      <c r="E15" s="185">
        <v>0</v>
      </c>
      <c r="F15" s="183">
        <v>0</v>
      </c>
      <c r="G15" s="187">
        <v>0</v>
      </c>
      <c r="H15" s="183">
        <v>0</v>
      </c>
      <c r="I15" s="187">
        <v>0</v>
      </c>
      <c r="J15" s="183">
        <v>0</v>
      </c>
      <c r="K15" s="187">
        <v>0</v>
      </c>
      <c r="L15" s="183">
        <v>0</v>
      </c>
      <c r="M15" s="187">
        <v>0</v>
      </c>
      <c r="N15" s="183">
        <v>30</v>
      </c>
      <c r="O15" s="187">
        <v>29.8</v>
      </c>
      <c r="P15" s="188">
        <f t="shared" si="0"/>
        <v>30</v>
      </c>
      <c r="Q15" s="189">
        <f t="shared" si="0"/>
        <v>29.8</v>
      </c>
      <c r="R15" s="183">
        <v>0</v>
      </c>
      <c r="S15" s="187">
        <v>0</v>
      </c>
      <c r="T15" s="183">
        <v>0</v>
      </c>
      <c r="U15" s="187">
        <v>0</v>
      </c>
      <c r="V15" s="183">
        <v>0</v>
      </c>
      <c r="W15" s="187">
        <v>0</v>
      </c>
      <c r="X15" s="183">
        <v>0</v>
      </c>
      <c r="Y15" s="187">
        <v>0</v>
      </c>
      <c r="Z15" s="190">
        <f t="shared" si="1"/>
        <v>0</v>
      </c>
      <c r="AA15" s="199">
        <f t="shared" si="2"/>
        <v>0</v>
      </c>
      <c r="AB15" s="191">
        <f t="shared" si="3"/>
        <v>30</v>
      </c>
      <c r="AC15" s="192">
        <f t="shared" si="3"/>
        <v>29.8</v>
      </c>
      <c r="AD15" s="193">
        <v>136683.14</v>
      </c>
      <c r="AE15" s="196" t="s">
        <v>90</v>
      </c>
      <c r="AF15" s="196" t="s">
        <v>90</v>
      </c>
      <c r="AG15" s="196" t="s">
        <v>90</v>
      </c>
      <c r="AH15" s="194">
        <v>31011.39</v>
      </c>
      <c r="AI15" s="194">
        <v>16347.65</v>
      </c>
      <c r="AJ15" s="195">
        <f t="shared" si="4"/>
        <v>184042.18000000002</v>
      </c>
      <c r="AK15" s="196" t="s">
        <v>90</v>
      </c>
      <c r="AL15" s="196" t="s">
        <v>90</v>
      </c>
      <c r="AM15" s="197">
        <f t="shared" si="5"/>
        <v>0</v>
      </c>
      <c r="AN15" s="197">
        <f t="shared" si="6"/>
        <v>184042.18000000002</v>
      </c>
      <c r="AO15" s="200" t="s">
        <v>69</v>
      </c>
    </row>
    <row r="16" spans="1:41" ht="75">
      <c r="A16" s="211" t="s">
        <v>70</v>
      </c>
      <c r="B16" s="183" t="s">
        <v>63</v>
      </c>
      <c r="C16" s="182" t="s">
        <v>48</v>
      </c>
      <c r="D16" s="183">
        <v>843</v>
      </c>
      <c r="E16" s="183">
        <v>795.23</v>
      </c>
      <c r="F16" s="183">
        <v>276</v>
      </c>
      <c r="G16" s="183">
        <v>266.11</v>
      </c>
      <c r="H16" s="183">
        <v>414</v>
      </c>
      <c r="I16" s="183">
        <v>397.17</v>
      </c>
      <c r="J16" s="183">
        <v>122</v>
      </c>
      <c r="K16" s="183">
        <v>118.63</v>
      </c>
      <c r="L16" s="183">
        <v>10</v>
      </c>
      <c r="M16" s="187">
        <v>10</v>
      </c>
      <c r="N16" s="183">
        <v>7</v>
      </c>
      <c r="O16" s="187">
        <v>1.2</v>
      </c>
      <c r="P16" s="188">
        <f t="shared" si="0"/>
        <v>1672</v>
      </c>
      <c r="Q16" s="189">
        <f t="shared" si="0"/>
        <v>1588.3400000000004</v>
      </c>
      <c r="R16" s="183">
        <v>38</v>
      </c>
      <c r="S16" s="187">
        <v>36.4</v>
      </c>
      <c r="T16" s="183" t="s">
        <v>90</v>
      </c>
      <c r="U16" s="187" t="s">
        <v>90</v>
      </c>
      <c r="V16" s="183">
        <v>73</v>
      </c>
      <c r="W16" s="187">
        <v>73</v>
      </c>
      <c r="X16" s="183" t="s">
        <v>90</v>
      </c>
      <c r="Y16" s="187" t="s">
        <v>90</v>
      </c>
      <c r="Z16" s="190">
        <f t="shared" si="1"/>
        <v>111</v>
      </c>
      <c r="AA16" s="199">
        <f t="shared" si="2"/>
        <v>109.4</v>
      </c>
      <c r="AB16" s="191">
        <f t="shared" si="3"/>
        <v>1783</v>
      </c>
      <c r="AC16" s="192">
        <f t="shared" si="3"/>
        <v>1697.7400000000005</v>
      </c>
      <c r="AD16" s="193">
        <v>3767138.97</v>
      </c>
      <c r="AE16" s="196" t="s">
        <v>90</v>
      </c>
      <c r="AF16" s="196" t="s">
        <v>90</v>
      </c>
      <c r="AG16" s="194">
        <v>111074.23</v>
      </c>
      <c r="AH16" s="196" t="s">
        <v>90</v>
      </c>
      <c r="AI16" s="194">
        <v>310899.69</v>
      </c>
      <c r="AJ16" s="195">
        <f t="shared" si="4"/>
        <v>4189112.89</v>
      </c>
      <c r="AK16" s="196">
        <v>886580.9</v>
      </c>
      <c r="AL16" s="196" t="s">
        <v>90</v>
      </c>
      <c r="AM16" s="197">
        <f t="shared" si="5"/>
        <v>886580.9</v>
      </c>
      <c r="AN16" s="197">
        <f t="shared" si="6"/>
        <v>5075693.79</v>
      </c>
      <c r="AO16" s="198"/>
    </row>
    <row r="17" spans="1:41" ht="168">
      <c r="A17" s="182" t="s">
        <v>71</v>
      </c>
      <c r="B17" s="183" t="s">
        <v>63</v>
      </c>
      <c r="C17" s="182" t="s">
        <v>48</v>
      </c>
      <c r="D17" s="186">
        <v>21</v>
      </c>
      <c r="E17" s="186">
        <v>20.2</v>
      </c>
      <c r="F17" s="186">
        <v>46</v>
      </c>
      <c r="G17" s="183">
        <v>44.7</v>
      </c>
      <c r="H17" s="186">
        <v>17</v>
      </c>
      <c r="I17" s="183">
        <v>16.6</v>
      </c>
      <c r="J17" s="183">
        <v>3</v>
      </c>
      <c r="K17" s="187">
        <v>3</v>
      </c>
      <c r="L17" s="186">
        <v>2</v>
      </c>
      <c r="M17" s="187">
        <v>1.4</v>
      </c>
      <c r="N17" s="183">
        <v>0</v>
      </c>
      <c r="O17" s="187">
        <v>0</v>
      </c>
      <c r="P17" s="188">
        <f t="shared" si="0"/>
        <v>89</v>
      </c>
      <c r="Q17" s="189">
        <f t="shared" si="0"/>
        <v>85.9</v>
      </c>
      <c r="R17" s="183">
        <v>11</v>
      </c>
      <c r="S17" s="187">
        <v>11</v>
      </c>
      <c r="T17" s="183">
        <v>0</v>
      </c>
      <c r="U17" s="187">
        <v>0</v>
      </c>
      <c r="V17" s="183">
        <v>0</v>
      </c>
      <c r="W17" s="187">
        <v>0</v>
      </c>
      <c r="X17" s="183">
        <v>0</v>
      </c>
      <c r="Y17" s="187">
        <v>0</v>
      </c>
      <c r="Z17" s="190">
        <f t="shared" si="1"/>
        <v>11</v>
      </c>
      <c r="AA17" s="199">
        <f t="shared" si="2"/>
        <v>11</v>
      </c>
      <c r="AB17" s="191">
        <f t="shared" si="3"/>
        <v>100</v>
      </c>
      <c r="AC17" s="192">
        <f t="shared" si="3"/>
        <v>96.9</v>
      </c>
      <c r="AD17" s="193">
        <v>189219.05</v>
      </c>
      <c r="AE17" s="194">
        <v>20986.1</v>
      </c>
      <c r="AF17" s="196" t="s">
        <v>90</v>
      </c>
      <c r="AG17" s="194">
        <v>1927.46</v>
      </c>
      <c r="AH17" s="194">
        <v>34436.79</v>
      </c>
      <c r="AI17" s="194">
        <v>17410.48</v>
      </c>
      <c r="AJ17" s="195">
        <f t="shared" si="4"/>
        <v>263979.88</v>
      </c>
      <c r="AK17" s="196">
        <v>14625</v>
      </c>
      <c r="AL17" s="196" t="s">
        <v>90</v>
      </c>
      <c r="AM17" s="197">
        <f t="shared" si="5"/>
        <v>14625</v>
      </c>
      <c r="AN17" s="197">
        <f t="shared" si="6"/>
        <v>278604.88</v>
      </c>
      <c r="AO17" s="200" t="s">
        <v>144</v>
      </c>
    </row>
    <row r="18" spans="1:41" ht="409.5">
      <c r="A18" s="182" t="s">
        <v>72</v>
      </c>
      <c r="B18" s="182" t="s">
        <v>63</v>
      </c>
      <c r="C18" s="182" t="s">
        <v>48</v>
      </c>
      <c r="D18" s="264">
        <v>0</v>
      </c>
      <c r="E18" s="266">
        <v>0</v>
      </c>
      <c r="F18" s="264">
        <v>0</v>
      </c>
      <c r="G18" s="266">
        <v>0</v>
      </c>
      <c r="H18" s="264">
        <v>0</v>
      </c>
      <c r="I18" s="266">
        <v>0</v>
      </c>
      <c r="J18" s="264">
        <v>0</v>
      </c>
      <c r="K18" s="266">
        <v>0</v>
      </c>
      <c r="L18" s="264">
        <v>0</v>
      </c>
      <c r="M18" s="266">
        <v>0</v>
      </c>
      <c r="N18" s="264">
        <v>18297</v>
      </c>
      <c r="O18" s="266">
        <v>16493</v>
      </c>
      <c r="P18" s="267">
        <f t="shared" si="0"/>
        <v>18297</v>
      </c>
      <c r="Q18" s="265">
        <f t="shared" si="0"/>
        <v>16493</v>
      </c>
      <c r="R18" s="264">
        <v>1382</v>
      </c>
      <c r="S18" s="266">
        <v>1382</v>
      </c>
      <c r="T18" s="264">
        <v>8</v>
      </c>
      <c r="U18" s="266">
        <v>8</v>
      </c>
      <c r="V18" s="264" t="s">
        <v>90</v>
      </c>
      <c r="W18" s="264" t="s">
        <v>90</v>
      </c>
      <c r="X18" s="264" t="s">
        <v>90</v>
      </c>
      <c r="Y18" s="264" t="s">
        <v>90</v>
      </c>
      <c r="Z18" s="269">
        <f t="shared" si="1"/>
        <v>1390</v>
      </c>
      <c r="AA18" s="270">
        <f t="shared" si="2"/>
        <v>1390</v>
      </c>
      <c r="AB18" s="271">
        <f t="shared" si="3"/>
        <v>19687</v>
      </c>
      <c r="AC18" s="268">
        <f t="shared" si="3"/>
        <v>17883</v>
      </c>
      <c r="AD18" s="196" t="s">
        <v>90</v>
      </c>
      <c r="AE18" s="196" t="s">
        <v>90</v>
      </c>
      <c r="AF18" s="196" t="s">
        <v>90</v>
      </c>
      <c r="AG18" s="196" t="s">
        <v>90</v>
      </c>
      <c r="AH18" s="196" t="s">
        <v>90</v>
      </c>
      <c r="AI18" s="196" t="s">
        <v>90</v>
      </c>
      <c r="AJ18" s="274">
        <f t="shared" si="4"/>
        <v>0</v>
      </c>
      <c r="AK18" s="196" t="s">
        <v>90</v>
      </c>
      <c r="AL18" s="196" t="s">
        <v>90</v>
      </c>
      <c r="AM18" s="273">
        <f t="shared" si="5"/>
        <v>0</v>
      </c>
      <c r="AN18" s="273">
        <f t="shared" si="6"/>
        <v>0</v>
      </c>
      <c r="AO18" s="204" t="s">
        <v>149</v>
      </c>
    </row>
    <row r="19" spans="1:41" ht="90">
      <c r="A19" s="183" t="s">
        <v>124</v>
      </c>
      <c r="B19" s="183" t="s">
        <v>63</v>
      </c>
      <c r="C19" s="205" t="s">
        <v>48</v>
      </c>
      <c r="D19" s="183">
        <v>15</v>
      </c>
      <c r="E19" s="183">
        <v>14.35</v>
      </c>
      <c r="F19" s="183">
        <v>43</v>
      </c>
      <c r="G19" s="183">
        <v>41.66</v>
      </c>
      <c r="H19" s="183">
        <v>113</v>
      </c>
      <c r="I19" s="183">
        <v>110.11</v>
      </c>
      <c r="J19" s="183">
        <v>41</v>
      </c>
      <c r="K19" s="185">
        <v>39.86</v>
      </c>
      <c r="L19" s="183">
        <v>4</v>
      </c>
      <c r="M19" s="185">
        <v>3.6</v>
      </c>
      <c r="N19" s="183">
        <v>9</v>
      </c>
      <c r="O19" s="185">
        <v>9</v>
      </c>
      <c r="P19" s="188">
        <f t="shared" si="0"/>
        <v>225</v>
      </c>
      <c r="Q19" s="189">
        <f t="shared" si="0"/>
        <v>218.58</v>
      </c>
      <c r="R19" s="183">
        <v>2</v>
      </c>
      <c r="S19" s="187">
        <v>2</v>
      </c>
      <c r="T19" s="183" t="s">
        <v>90</v>
      </c>
      <c r="U19" s="187" t="s">
        <v>90</v>
      </c>
      <c r="V19" s="183">
        <v>0</v>
      </c>
      <c r="W19" s="187">
        <v>0</v>
      </c>
      <c r="X19" s="183" t="s">
        <v>90</v>
      </c>
      <c r="Y19" s="187" t="s">
        <v>90</v>
      </c>
      <c r="Z19" s="190">
        <f t="shared" si="1"/>
        <v>2</v>
      </c>
      <c r="AA19" s="199">
        <f t="shared" si="2"/>
        <v>2</v>
      </c>
      <c r="AB19" s="191">
        <f t="shared" si="3"/>
        <v>227</v>
      </c>
      <c r="AC19" s="192">
        <f t="shared" si="3"/>
        <v>220.58</v>
      </c>
      <c r="AD19" s="193">
        <v>788756.24</v>
      </c>
      <c r="AE19" s="194">
        <v>49183.5</v>
      </c>
      <c r="AF19" s="194">
        <v>15000</v>
      </c>
      <c r="AG19" s="194">
        <v>4819.32</v>
      </c>
      <c r="AH19" s="194">
        <v>138845.62</v>
      </c>
      <c r="AI19" s="194">
        <v>75956.19</v>
      </c>
      <c r="AJ19" s="195">
        <f t="shared" si="4"/>
        <v>1072560.8699999999</v>
      </c>
      <c r="AK19" s="196">
        <v>467.46999999999935</v>
      </c>
      <c r="AL19" s="196" t="s">
        <v>90</v>
      </c>
      <c r="AM19" s="197">
        <f t="shared" si="5"/>
        <v>467.46999999999935</v>
      </c>
      <c r="AN19" s="197">
        <f t="shared" si="6"/>
        <v>1073028.3399999999</v>
      </c>
      <c r="AO19" s="198"/>
    </row>
    <row r="20" spans="1:41" ht="90">
      <c r="A20" s="183" t="s">
        <v>124</v>
      </c>
      <c r="B20" s="183" t="s">
        <v>63</v>
      </c>
      <c r="C20" s="205" t="s">
        <v>48</v>
      </c>
      <c r="D20" s="183">
        <v>15</v>
      </c>
      <c r="E20" s="183">
        <v>14.35</v>
      </c>
      <c r="F20" s="183">
        <v>43</v>
      </c>
      <c r="G20" s="183">
        <v>41.66</v>
      </c>
      <c r="H20" s="183">
        <v>113</v>
      </c>
      <c r="I20" s="183">
        <v>110.11</v>
      </c>
      <c r="J20" s="183">
        <v>41</v>
      </c>
      <c r="K20" s="185">
        <v>39.86</v>
      </c>
      <c r="L20" s="183">
        <v>4</v>
      </c>
      <c r="M20" s="185">
        <v>3.6</v>
      </c>
      <c r="N20" s="183">
        <v>9</v>
      </c>
      <c r="O20" s="185">
        <v>9</v>
      </c>
      <c r="P20" s="188">
        <f>SUM(D20,F20,H20,J20,L20,N20)</f>
        <v>225</v>
      </c>
      <c r="Q20" s="189">
        <f>SUM(E20,G20,I20,K20,M20,O20)</f>
        <v>218.58</v>
      </c>
      <c r="R20" s="183">
        <v>2</v>
      </c>
      <c r="S20" s="187">
        <v>2</v>
      </c>
      <c r="T20" s="183" t="s">
        <v>90</v>
      </c>
      <c r="U20" s="187" t="s">
        <v>90</v>
      </c>
      <c r="V20" s="183">
        <v>0</v>
      </c>
      <c r="W20" s="187">
        <v>0</v>
      </c>
      <c r="X20" s="183" t="s">
        <v>90</v>
      </c>
      <c r="Y20" s="187" t="s">
        <v>90</v>
      </c>
      <c r="Z20" s="190">
        <f>SUM(R20,T20,V20,X20,)</f>
        <v>2</v>
      </c>
      <c r="AA20" s="199">
        <f>SUM(S20,U20,W20,Y20)</f>
        <v>2</v>
      </c>
      <c r="AB20" s="191">
        <f>P20+Z20</f>
        <v>227</v>
      </c>
      <c r="AC20" s="192">
        <f>Q20+AA20</f>
        <v>220.58</v>
      </c>
      <c r="AD20" s="193">
        <v>788756.24</v>
      </c>
      <c r="AE20" s="194">
        <v>49183.5</v>
      </c>
      <c r="AF20" s="194">
        <v>15000</v>
      </c>
      <c r="AG20" s="194">
        <v>4819.32</v>
      </c>
      <c r="AH20" s="194">
        <v>138845.62</v>
      </c>
      <c r="AI20" s="194">
        <v>75956.19</v>
      </c>
      <c r="AJ20" s="195">
        <f>SUM(AD20:AI20)</f>
        <v>1072560.8699999999</v>
      </c>
      <c r="AK20" s="196">
        <v>467.46999999999935</v>
      </c>
      <c r="AL20" s="196" t="s">
        <v>146</v>
      </c>
      <c r="AM20" s="197">
        <f>SUM(AK20:AL20)</f>
        <v>467.46999999999935</v>
      </c>
      <c r="AN20" s="197">
        <f>SUM(AM20,AJ20)</f>
        <v>1073028.3399999999</v>
      </c>
      <c r="AO20" s="198"/>
    </row>
  </sheetData>
  <sheetProtection selectLockedCells="1"/>
  <mergeCells count="32">
    <mergeCell ref="A4:A6"/>
    <mergeCell ref="B4:B6"/>
    <mergeCell ref="C4:C6"/>
    <mergeCell ref="D4:Q4"/>
    <mergeCell ref="AM5:AM6"/>
    <mergeCell ref="AF5:AF6"/>
    <mergeCell ref="AG5:AG6"/>
    <mergeCell ref="AH5:AH6"/>
    <mergeCell ref="AI5:AI6"/>
    <mergeCell ref="AJ5:AJ6"/>
    <mergeCell ref="AK5:AK6"/>
    <mergeCell ref="AL5:AL6"/>
    <mergeCell ref="AN4:AN6"/>
    <mergeCell ref="AO4:AO6"/>
    <mergeCell ref="D5:E5"/>
    <mergeCell ref="F5:G5"/>
    <mergeCell ref="H5:I5"/>
    <mergeCell ref="J5:K5"/>
    <mergeCell ref="L5:M5"/>
    <mergeCell ref="N5:O5"/>
    <mergeCell ref="P5:Q5"/>
    <mergeCell ref="R5:S5"/>
    <mergeCell ref="R4:AA4"/>
    <mergeCell ref="AB4:AC5"/>
    <mergeCell ref="AD4:AJ4"/>
    <mergeCell ref="AK4:AM4"/>
    <mergeCell ref="T5:U5"/>
    <mergeCell ref="V5:W5"/>
    <mergeCell ref="X5:Y5"/>
    <mergeCell ref="Z5:AA5"/>
    <mergeCell ref="AD5:AD6"/>
    <mergeCell ref="AE5:AE6"/>
  </mergeCells>
  <conditionalFormatting sqref="B7:B17 B19:B20">
    <cfRule type="expression" priority="1" dxfId="22" stopIfTrue="1">
      <formula>AND(NOT(ISBLANK($A7)),ISBLANK(B7))</formula>
    </cfRule>
  </conditionalFormatting>
  <conditionalFormatting sqref="C7:C20 A18:B18">
    <cfRule type="expression" priority="2" dxfId="22" stopIfTrue="1">
      <formula>AND(NOT(ISBLANK(IU7)),ISBLANK(A7))</formula>
    </cfRule>
  </conditionalFormatting>
  <conditionalFormatting sqref="D7:D20 N7:N20 R7:R20 X7:X20 T7:T20 V7:V20 F7:F20 H7:H20 J7:J20 L7:L20">
    <cfRule type="expression" priority="3" dxfId="22" stopIfTrue="1">
      <formula>AND(NOT(ISBLANK(E7)),ISBLANK(D7))</formula>
    </cfRule>
  </conditionalFormatting>
  <conditionalFormatting sqref="O7:O20 S7:S20 Y7:Y20 U7:U20 W7:W20 G7:G20 I7:I20 K7:K20 M7:M20 E7:E20">
    <cfRule type="expression" priority="4" dxfId="22" stopIfTrue="1">
      <formula>AND(NOT(ISBLANK(D7)),ISBLANK(E7))</formula>
    </cfRule>
  </conditionalFormatting>
  <dataValidations count="8">
    <dataValidation type="custom" allowBlank="1" showInputMessage="1" showErrorMessage="1" errorTitle="Headcount" error="The value entered in the headcount field must be greater than or equal to the value entered in the FTE field." sqref="D7:D18 H7:H18 J7:J18 L7:L18 F7:F18 T7:T18 V7:V18 X7:X18 R7:R18 N7:N18">
      <formula1>D7&gt;=E7</formula1>
    </dataValidation>
    <dataValidation type="custom" allowBlank="1" showInputMessage="1" showErrorMessage="1" errorTitle="FTE" error="The value entered in the FTE field must be less than or equal to the value entered in the headcount field." sqref="O7:O18 E7:E18 G7:G18 I7:I18 K7:K18 M7:M18 U7:U18 W7:W18 Y7:Y18 S7:S18">
      <formula1>O7&lt;=N7</formula1>
    </dataValidation>
    <dataValidation type="decimal" operator="greaterThanOrEqual" allowBlank="1" showInputMessage="1" showErrorMessage="1" sqref="AK7:AK18 AL7:AL20 AD7:AI18">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20">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20">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20">
      <formula1>INDIRECT("List_of_organisations")</formula1>
    </dataValidation>
    <dataValidation operator="lessThanOrEqual" allowBlank="1" showInputMessage="1" showErrorMessage="1" error="FTE cannot be greater than Headcount&#10;" sqref="AO4 R4 AO7:AO20 P5 A4:C4 AB4 P7:Q20 AB6:AC20"/>
    <dataValidation type="decimal" operator="greaterThan" allowBlank="1" showInputMessage="1" showErrorMessage="1" sqref="AD19:AI20">
      <formula1>0</formula1>
    </dataValidation>
  </dataValidations>
  <printOptions/>
  <pageMargins left="0.75" right="0.75" top="1" bottom="1" header="0.5" footer="0.5"/>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AO20"/>
  <sheetViews>
    <sheetView workbookViewId="0" topLeftCell="A1">
      <selection activeCell="A7" sqref="A7:AO20"/>
    </sheetView>
  </sheetViews>
  <sheetFormatPr defaultColWidth="8.88671875" defaultRowHeight="15"/>
  <cols>
    <col min="2" max="2" width="10.77734375" style="0" customWidth="1"/>
    <col min="3" max="3" width="10.10546875" style="0" customWidth="1"/>
    <col min="30" max="30" width="13.4453125" style="0" bestFit="1" customWidth="1"/>
    <col min="31" max="31" width="10.88671875" style="0" bestFit="1" customWidth="1"/>
    <col min="32" max="32" width="33.21484375" style="0" bestFit="1" customWidth="1"/>
    <col min="33" max="33" width="12.4453125" style="0" customWidth="1"/>
    <col min="34" max="34" width="14.21484375" style="0" customWidth="1"/>
    <col min="35" max="35" width="13.6640625" style="0" customWidth="1"/>
    <col min="36" max="36" width="14.21484375" style="0" customWidth="1"/>
    <col min="37" max="37" width="12.4453125" style="0" customWidth="1"/>
    <col min="38" max="38" width="15.3359375" style="0" customWidth="1"/>
    <col min="39" max="39" width="15.77734375" style="0" customWidth="1"/>
    <col min="40" max="40" width="12.4453125" style="0" customWidth="1"/>
  </cols>
  <sheetData>
    <row r="1" spans="1:41" ht="15">
      <c r="A1" s="2" t="s">
        <v>92</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row>
    <row r="2" spans="1:41" ht="15">
      <c r="A2" s="24" t="s">
        <v>93</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row>
    <row r="3" spans="1:41" ht="15">
      <c r="A3" s="24" t="s">
        <v>94</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row>
    <row r="4" spans="1:41" ht="15">
      <c r="A4" s="313" t="s">
        <v>26</v>
      </c>
      <c r="B4" s="328" t="s">
        <v>15</v>
      </c>
      <c r="C4" s="328" t="s">
        <v>14</v>
      </c>
      <c r="D4" s="315" t="s">
        <v>22</v>
      </c>
      <c r="E4" s="329"/>
      <c r="F4" s="329"/>
      <c r="G4" s="329"/>
      <c r="H4" s="329"/>
      <c r="I4" s="329"/>
      <c r="J4" s="329"/>
      <c r="K4" s="329"/>
      <c r="L4" s="329"/>
      <c r="M4" s="329"/>
      <c r="N4" s="329"/>
      <c r="O4" s="329"/>
      <c r="P4" s="329"/>
      <c r="Q4" s="316"/>
      <c r="R4" s="303" t="s">
        <v>29</v>
      </c>
      <c r="S4" s="304"/>
      <c r="T4" s="304"/>
      <c r="U4" s="304"/>
      <c r="V4" s="304"/>
      <c r="W4" s="304"/>
      <c r="X4" s="304"/>
      <c r="Y4" s="304"/>
      <c r="Z4" s="304"/>
      <c r="AA4" s="305"/>
      <c r="AB4" s="306" t="s">
        <v>39</v>
      </c>
      <c r="AC4" s="307"/>
      <c r="AD4" s="310" t="s">
        <v>25</v>
      </c>
      <c r="AE4" s="311"/>
      <c r="AF4" s="311"/>
      <c r="AG4" s="311"/>
      <c r="AH4" s="311"/>
      <c r="AI4" s="311"/>
      <c r="AJ4" s="312"/>
      <c r="AK4" s="322" t="s">
        <v>115</v>
      </c>
      <c r="AL4" s="323"/>
      <c r="AM4" s="323"/>
      <c r="AN4" s="318" t="s">
        <v>38</v>
      </c>
      <c r="AO4" s="313" t="s">
        <v>126</v>
      </c>
    </row>
    <row r="5" spans="1:41" ht="15">
      <c r="A5" s="326"/>
      <c r="B5" s="326"/>
      <c r="C5" s="326"/>
      <c r="D5" s="324" t="s">
        <v>116</v>
      </c>
      <c r="E5" s="325"/>
      <c r="F5" s="324" t="s">
        <v>117</v>
      </c>
      <c r="G5" s="325"/>
      <c r="H5" s="324" t="s">
        <v>118</v>
      </c>
      <c r="I5" s="325"/>
      <c r="J5" s="324" t="s">
        <v>20</v>
      </c>
      <c r="K5" s="325"/>
      <c r="L5" s="324" t="s">
        <v>119</v>
      </c>
      <c r="M5" s="325"/>
      <c r="N5" s="324" t="s">
        <v>19</v>
      </c>
      <c r="O5" s="325"/>
      <c r="P5" s="315" t="s">
        <v>23</v>
      </c>
      <c r="Q5" s="316"/>
      <c r="R5" s="315" t="s">
        <v>27</v>
      </c>
      <c r="S5" s="305"/>
      <c r="T5" s="303" t="s">
        <v>17</v>
      </c>
      <c r="U5" s="305"/>
      <c r="V5" s="303" t="s">
        <v>18</v>
      </c>
      <c r="W5" s="305"/>
      <c r="X5" s="303" t="s">
        <v>28</v>
      </c>
      <c r="Y5" s="305"/>
      <c r="Z5" s="315" t="s">
        <v>24</v>
      </c>
      <c r="AA5" s="316"/>
      <c r="AB5" s="308"/>
      <c r="AC5" s="309"/>
      <c r="AD5" s="313" t="s">
        <v>31</v>
      </c>
      <c r="AE5" s="313" t="s">
        <v>30</v>
      </c>
      <c r="AF5" s="313" t="s">
        <v>32</v>
      </c>
      <c r="AG5" s="313" t="s">
        <v>33</v>
      </c>
      <c r="AH5" s="313" t="s">
        <v>34</v>
      </c>
      <c r="AI5" s="313" t="s">
        <v>35</v>
      </c>
      <c r="AJ5" s="317" t="s">
        <v>37</v>
      </c>
      <c r="AK5" s="313" t="s">
        <v>120</v>
      </c>
      <c r="AL5" s="313" t="s">
        <v>121</v>
      </c>
      <c r="AM5" s="313" t="s">
        <v>36</v>
      </c>
      <c r="AN5" s="319"/>
      <c r="AO5" s="321"/>
    </row>
    <row r="6" spans="1:41" ht="60">
      <c r="A6" s="327"/>
      <c r="B6" s="327"/>
      <c r="C6" s="327"/>
      <c r="D6" s="175" t="s">
        <v>16</v>
      </c>
      <c r="E6" s="175" t="s">
        <v>21</v>
      </c>
      <c r="F6" s="175" t="s">
        <v>16</v>
      </c>
      <c r="G6" s="175" t="s">
        <v>21</v>
      </c>
      <c r="H6" s="175" t="s">
        <v>16</v>
      </c>
      <c r="I6" s="175" t="s">
        <v>21</v>
      </c>
      <c r="J6" s="175" t="s">
        <v>16</v>
      </c>
      <c r="K6" s="175" t="s">
        <v>21</v>
      </c>
      <c r="L6" s="175" t="s">
        <v>16</v>
      </c>
      <c r="M6" s="175" t="s">
        <v>21</v>
      </c>
      <c r="N6" s="175" t="s">
        <v>16</v>
      </c>
      <c r="O6" s="175" t="s">
        <v>21</v>
      </c>
      <c r="P6" s="175" t="s">
        <v>16</v>
      </c>
      <c r="Q6" s="175" t="s">
        <v>21</v>
      </c>
      <c r="R6" s="174" t="s">
        <v>16</v>
      </c>
      <c r="S6" s="174" t="s">
        <v>21</v>
      </c>
      <c r="T6" s="174" t="s">
        <v>16</v>
      </c>
      <c r="U6" s="174" t="s">
        <v>21</v>
      </c>
      <c r="V6" s="174" t="s">
        <v>16</v>
      </c>
      <c r="W6" s="174" t="s">
        <v>21</v>
      </c>
      <c r="X6" s="174" t="s">
        <v>16</v>
      </c>
      <c r="Y6" s="174" t="s">
        <v>21</v>
      </c>
      <c r="Z6" s="174" t="s">
        <v>16</v>
      </c>
      <c r="AA6" s="174" t="s">
        <v>21</v>
      </c>
      <c r="AB6" s="177" t="s">
        <v>16</v>
      </c>
      <c r="AC6" s="176" t="s">
        <v>21</v>
      </c>
      <c r="AD6" s="314"/>
      <c r="AE6" s="314"/>
      <c r="AF6" s="314"/>
      <c r="AG6" s="314"/>
      <c r="AH6" s="314"/>
      <c r="AI6" s="314"/>
      <c r="AJ6" s="317"/>
      <c r="AK6" s="314"/>
      <c r="AL6" s="314"/>
      <c r="AM6" s="314"/>
      <c r="AN6" s="320"/>
      <c r="AO6" s="314"/>
    </row>
    <row r="7" spans="1:41" ht="45">
      <c r="A7" s="182" t="s">
        <v>48</v>
      </c>
      <c r="B7" s="183" t="s">
        <v>49</v>
      </c>
      <c r="C7" s="182" t="s">
        <v>48</v>
      </c>
      <c r="D7" s="184">
        <v>980</v>
      </c>
      <c r="E7" s="185">
        <v>912.6010747312148</v>
      </c>
      <c r="F7" s="186">
        <v>932</v>
      </c>
      <c r="G7" s="185">
        <v>894.6177479919643</v>
      </c>
      <c r="H7" s="186">
        <v>1669</v>
      </c>
      <c r="I7" s="185">
        <v>1623.121763253916</v>
      </c>
      <c r="J7" s="186">
        <v>806</v>
      </c>
      <c r="K7" s="185">
        <v>787.0485095934961</v>
      </c>
      <c r="L7" s="186">
        <v>123</v>
      </c>
      <c r="M7" s="185">
        <v>119.93142444444445</v>
      </c>
      <c r="N7" s="183">
        <v>0</v>
      </c>
      <c r="O7" s="187">
        <v>0</v>
      </c>
      <c r="P7" s="188">
        <f>SUM(D7,F7,H7,J7,L7,N7)</f>
        <v>4510</v>
      </c>
      <c r="Q7" s="189">
        <f>SUM(E7,G7,I7,K7,M7,O7)</f>
        <v>4337.320520015035</v>
      </c>
      <c r="R7" s="183">
        <v>183</v>
      </c>
      <c r="S7" s="183">
        <v>180.25</v>
      </c>
      <c r="T7" s="183">
        <v>15</v>
      </c>
      <c r="U7" s="187">
        <v>15</v>
      </c>
      <c r="V7" s="183">
        <v>188</v>
      </c>
      <c r="W7" s="187">
        <v>188</v>
      </c>
      <c r="X7" s="183">
        <v>0</v>
      </c>
      <c r="Y7" s="187">
        <v>0</v>
      </c>
      <c r="Z7" s="190">
        <f>SUM(R7,T7,V7,X7,)</f>
        <v>386</v>
      </c>
      <c r="AA7" s="203">
        <f>SUM(S7,U7,W7,Y7)</f>
        <v>383.25</v>
      </c>
      <c r="AB7" s="191">
        <f>P7+Z7</f>
        <v>4896</v>
      </c>
      <c r="AC7" s="192">
        <f>Q7+AA7</f>
        <v>4720.570520015035</v>
      </c>
      <c r="AD7" s="193">
        <v>12983569.084999999</v>
      </c>
      <c r="AE7" s="194">
        <v>200493.02</v>
      </c>
      <c r="AF7" s="194">
        <v>43386.9</v>
      </c>
      <c r="AG7" s="194">
        <v>87067.01</v>
      </c>
      <c r="AH7" s="194">
        <v>2573406.1725</v>
      </c>
      <c r="AI7" s="194">
        <v>1066272.7425000002</v>
      </c>
      <c r="AJ7" s="195">
        <f>SUM(AD7:AI7)</f>
        <v>16954194.93</v>
      </c>
      <c r="AK7" s="196">
        <v>2280956.36</v>
      </c>
      <c r="AL7" s="196">
        <v>1184458.14</v>
      </c>
      <c r="AM7" s="197">
        <f>SUM(AK7:AL7)</f>
        <v>3465414.5</v>
      </c>
      <c r="AN7" s="197">
        <f>SUM(AM7,AJ7)</f>
        <v>20419609.43</v>
      </c>
      <c r="AO7" s="198"/>
    </row>
    <row r="8" spans="1:41" ht="75">
      <c r="A8" s="182" t="s">
        <v>76</v>
      </c>
      <c r="B8" s="183" t="s">
        <v>51</v>
      </c>
      <c r="C8" s="182" t="s">
        <v>48</v>
      </c>
      <c r="D8" s="186">
        <v>13370</v>
      </c>
      <c r="E8" s="185">
        <v>11661.053481051096</v>
      </c>
      <c r="F8" s="186">
        <v>2937</v>
      </c>
      <c r="G8" s="185">
        <v>2750.1741677777773</v>
      </c>
      <c r="H8" s="186">
        <v>2514</v>
      </c>
      <c r="I8" s="185">
        <v>2332.469885405401</v>
      </c>
      <c r="J8" s="186">
        <v>550</v>
      </c>
      <c r="K8" s="185">
        <v>536.6949858858859</v>
      </c>
      <c r="L8" s="186">
        <v>32</v>
      </c>
      <c r="M8" s="185">
        <v>32</v>
      </c>
      <c r="N8" s="183">
        <v>0</v>
      </c>
      <c r="O8" s="185">
        <v>0</v>
      </c>
      <c r="P8" s="188">
        <f aca="true" t="shared" si="0" ref="P8:Q19">SUM(D8,F8,H8,J8,L8,N8)</f>
        <v>19403</v>
      </c>
      <c r="Q8" s="189">
        <f t="shared" si="0"/>
        <v>17312.39252012016</v>
      </c>
      <c r="R8" s="156" t="s">
        <v>90</v>
      </c>
      <c r="S8" s="187">
        <v>898.4</v>
      </c>
      <c r="T8" s="156" t="s">
        <v>90</v>
      </c>
      <c r="U8" s="156" t="s">
        <v>90</v>
      </c>
      <c r="V8" s="156" t="s">
        <v>90</v>
      </c>
      <c r="W8" s="156" t="s">
        <v>90</v>
      </c>
      <c r="X8" s="156" t="s">
        <v>90</v>
      </c>
      <c r="Y8" s="156" t="s">
        <v>90</v>
      </c>
      <c r="Z8" s="190">
        <f aca="true" t="shared" si="1" ref="Z8:Z19">SUM(R8,T8,V8,X8,)</f>
        <v>0</v>
      </c>
      <c r="AA8" s="199">
        <f aca="true" t="shared" si="2" ref="AA8:AA19">SUM(S8,U8,W8,Y8)</f>
        <v>898.4</v>
      </c>
      <c r="AB8" s="191">
        <f aca="true" t="shared" si="3" ref="AB8:AC19">P8+Z8</f>
        <v>19403</v>
      </c>
      <c r="AC8" s="192">
        <f t="shared" si="3"/>
        <v>18210.79252012016</v>
      </c>
      <c r="AD8" s="193">
        <v>33036336.43</v>
      </c>
      <c r="AE8" s="194">
        <v>517682.29</v>
      </c>
      <c r="AF8" s="194">
        <v>153408.76</v>
      </c>
      <c r="AG8" s="194">
        <v>415027.13</v>
      </c>
      <c r="AH8" s="194">
        <v>5867328.66</v>
      </c>
      <c r="AI8" s="194">
        <v>2258182.74</v>
      </c>
      <c r="AJ8" s="195">
        <f aca="true" t="shared" si="4" ref="AJ8:AJ19">SUM(AD8:AI8)</f>
        <v>42247966.01</v>
      </c>
      <c r="AK8" s="196">
        <v>1580116.14</v>
      </c>
      <c r="AL8" s="196"/>
      <c r="AM8" s="197">
        <f aca="true" t="shared" si="5" ref="AM8:AM19">SUM(AK8:AL8)</f>
        <v>1580116.14</v>
      </c>
      <c r="AN8" s="197">
        <f aca="true" t="shared" si="6" ref="AN8:AN19">SUM(AM8,AJ8)</f>
        <v>43828082.15</v>
      </c>
      <c r="AO8" s="200" t="s">
        <v>122</v>
      </c>
    </row>
    <row r="9" spans="1:41" ht="30">
      <c r="A9" s="182" t="s">
        <v>55</v>
      </c>
      <c r="B9" s="183" t="s">
        <v>51</v>
      </c>
      <c r="C9" s="182" t="s">
        <v>48</v>
      </c>
      <c r="D9" s="183">
        <v>185</v>
      </c>
      <c r="E9" s="183">
        <v>166.21</v>
      </c>
      <c r="F9" s="183">
        <v>123</v>
      </c>
      <c r="G9" s="183">
        <v>118.52</v>
      </c>
      <c r="H9" s="183">
        <v>253</v>
      </c>
      <c r="I9" s="183">
        <v>245</v>
      </c>
      <c r="J9" s="183">
        <v>63</v>
      </c>
      <c r="K9" s="183">
        <v>62.16</v>
      </c>
      <c r="L9" s="183">
        <v>6</v>
      </c>
      <c r="M9" s="187">
        <v>6</v>
      </c>
      <c r="N9" s="183">
        <v>0</v>
      </c>
      <c r="O9" s="187">
        <v>0</v>
      </c>
      <c r="P9" s="188">
        <f t="shared" si="0"/>
        <v>630</v>
      </c>
      <c r="Q9" s="189">
        <f t="shared" si="0"/>
        <v>597.89</v>
      </c>
      <c r="R9" s="183">
        <v>18</v>
      </c>
      <c r="S9" s="187">
        <v>14.1</v>
      </c>
      <c r="T9" s="156" t="s">
        <v>90</v>
      </c>
      <c r="U9" s="156" t="s">
        <v>90</v>
      </c>
      <c r="V9" s="183">
        <v>19</v>
      </c>
      <c r="W9" s="187">
        <v>19</v>
      </c>
      <c r="X9" s="156" t="s">
        <v>90</v>
      </c>
      <c r="Y9" s="156" t="s">
        <v>90</v>
      </c>
      <c r="Z9" s="190">
        <f t="shared" si="1"/>
        <v>37</v>
      </c>
      <c r="AA9" s="199">
        <f t="shared" si="2"/>
        <v>33.1</v>
      </c>
      <c r="AB9" s="191">
        <f t="shared" si="3"/>
        <v>667</v>
      </c>
      <c r="AC9" s="192">
        <f t="shared" si="3"/>
        <v>630.99</v>
      </c>
      <c r="AD9" s="193">
        <v>1487221.76</v>
      </c>
      <c r="AE9" s="194">
        <v>14400.93</v>
      </c>
      <c r="AF9" s="156" t="s">
        <v>90</v>
      </c>
      <c r="AG9" s="194">
        <v>15395.44</v>
      </c>
      <c r="AH9" s="194">
        <v>268617.3</v>
      </c>
      <c r="AI9" s="194">
        <v>125790.86</v>
      </c>
      <c r="AJ9" s="195">
        <f t="shared" si="4"/>
        <v>1911426.29</v>
      </c>
      <c r="AK9" s="196">
        <v>99838.42</v>
      </c>
      <c r="AL9" s="196"/>
      <c r="AM9" s="197">
        <f t="shared" si="5"/>
        <v>99838.42</v>
      </c>
      <c r="AN9" s="197">
        <f t="shared" si="6"/>
        <v>2011264.71</v>
      </c>
      <c r="AO9" s="198"/>
    </row>
    <row r="10" spans="1:41" ht="75">
      <c r="A10" s="23" t="s">
        <v>56</v>
      </c>
      <c r="B10" s="183" t="s">
        <v>51</v>
      </c>
      <c r="C10" s="182" t="s">
        <v>48</v>
      </c>
      <c r="D10" s="183">
        <v>32927</v>
      </c>
      <c r="E10" s="185">
        <v>31368.47</v>
      </c>
      <c r="F10" s="183">
        <v>6046</v>
      </c>
      <c r="G10" s="185">
        <v>5789.08</v>
      </c>
      <c r="H10" s="183">
        <v>3609</v>
      </c>
      <c r="I10" s="185">
        <v>3377.7</v>
      </c>
      <c r="J10" s="183">
        <v>606</v>
      </c>
      <c r="K10" s="185">
        <v>591.61</v>
      </c>
      <c r="L10" s="183">
        <v>37</v>
      </c>
      <c r="M10" s="185">
        <v>36.88</v>
      </c>
      <c r="N10" s="183">
        <v>0</v>
      </c>
      <c r="O10" s="185">
        <v>0</v>
      </c>
      <c r="P10" s="188">
        <f t="shared" si="0"/>
        <v>43225</v>
      </c>
      <c r="Q10" s="189">
        <f t="shared" si="0"/>
        <v>41163.74</v>
      </c>
      <c r="R10" s="156" t="s">
        <v>90</v>
      </c>
      <c r="S10" s="156">
        <v>480.8</v>
      </c>
      <c r="T10" s="156" t="s">
        <v>90</v>
      </c>
      <c r="U10" s="156">
        <v>1.54</v>
      </c>
      <c r="V10" s="156" t="s">
        <v>90</v>
      </c>
      <c r="W10" s="156">
        <v>20.54</v>
      </c>
      <c r="X10" s="156" t="s">
        <v>90</v>
      </c>
      <c r="Y10" s="156">
        <v>12</v>
      </c>
      <c r="Z10" s="190">
        <f t="shared" si="1"/>
        <v>0</v>
      </c>
      <c r="AA10" s="203">
        <f t="shared" si="2"/>
        <v>514.8800000000001</v>
      </c>
      <c r="AB10" s="191">
        <f t="shared" si="3"/>
        <v>43225</v>
      </c>
      <c r="AC10" s="192">
        <f t="shared" si="3"/>
        <v>41678.619999999995</v>
      </c>
      <c r="AD10" s="193">
        <v>95829384.37999998</v>
      </c>
      <c r="AE10" s="194">
        <v>0</v>
      </c>
      <c r="AF10" s="194">
        <v>0</v>
      </c>
      <c r="AG10" s="194">
        <v>4480245.63</v>
      </c>
      <c r="AH10" s="194">
        <v>18095841.649999987</v>
      </c>
      <c r="AI10" s="194">
        <v>7599209.8999999985</v>
      </c>
      <c r="AJ10" s="195">
        <f t="shared" si="4"/>
        <v>126004681.55999997</v>
      </c>
      <c r="AK10" s="196">
        <v>2969318.82</v>
      </c>
      <c r="AL10" s="196">
        <v>113121.12</v>
      </c>
      <c r="AM10" s="197">
        <f t="shared" si="5"/>
        <v>3082439.94</v>
      </c>
      <c r="AN10" s="197">
        <f t="shared" si="6"/>
        <v>129087121.49999997</v>
      </c>
      <c r="AO10" s="200" t="s">
        <v>9</v>
      </c>
    </row>
    <row r="11" spans="1:41" ht="180">
      <c r="A11" s="182" t="s">
        <v>58</v>
      </c>
      <c r="B11" s="183" t="s">
        <v>51</v>
      </c>
      <c r="C11" s="182" t="s">
        <v>48</v>
      </c>
      <c r="D11" s="186">
        <v>256</v>
      </c>
      <c r="E11" s="185">
        <v>240.48242081081085</v>
      </c>
      <c r="F11" s="186">
        <v>136</v>
      </c>
      <c r="G11" s="185">
        <v>128.54243999999997</v>
      </c>
      <c r="H11" s="186">
        <v>69</v>
      </c>
      <c r="I11" s="185">
        <v>67.38513081081081</v>
      </c>
      <c r="J11" s="186">
        <v>10</v>
      </c>
      <c r="K11" s="185">
        <v>9.82222</v>
      </c>
      <c r="L11" s="186">
        <v>2</v>
      </c>
      <c r="M11" s="187">
        <v>1.7783799999999998</v>
      </c>
      <c r="N11" s="183">
        <v>0</v>
      </c>
      <c r="O11" s="185">
        <v>0</v>
      </c>
      <c r="P11" s="188">
        <f t="shared" si="0"/>
        <v>473</v>
      </c>
      <c r="Q11" s="189">
        <f t="shared" si="0"/>
        <v>448.0105916216217</v>
      </c>
      <c r="R11" s="183">
        <v>236</v>
      </c>
      <c r="S11" s="183">
        <v>173.07</v>
      </c>
      <c r="T11" s="183">
        <v>0</v>
      </c>
      <c r="U11" s="187">
        <v>0</v>
      </c>
      <c r="V11" s="183">
        <v>0</v>
      </c>
      <c r="W11" s="187">
        <v>0</v>
      </c>
      <c r="X11" s="183">
        <v>0</v>
      </c>
      <c r="Y11" s="187">
        <v>0</v>
      </c>
      <c r="Z11" s="190">
        <f t="shared" si="1"/>
        <v>236</v>
      </c>
      <c r="AA11" s="203">
        <f t="shared" si="2"/>
        <v>173.07</v>
      </c>
      <c r="AB11" s="191">
        <f t="shared" si="3"/>
        <v>709</v>
      </c>
      <c r="AC11" s="192">
        <f t="shared" si="3"/>
        <v>621.0805916216217</v>
      </c>
      <c r="AD11" s="193">
        <v>842296.09</v>
      </c>
      <c r="AE11" s="194">
        <v>10659.03</v>
      </c>
      <c r="AF11" s="194">
        <v>500</v>
      </c>
      <c r="AG11" s="194">
        <v>16418.4</v>
      </c>
      <c r="AH11" s="194">
        <v>138837.58</v>
      </c>
      <c r="AI11" s="194">
        <v>47071.14</v>
      </c>
      <c r="AJ11" s="195">
        <f t="shared" si="4"/>
        <v>1055782.24</v>
      </c>
      <c r="AK11" s="196">
        <v>367979.65</v>
      </c>
      <c r="AL11" s="156" t="s">
        <v>90</v>
      </c>
      <c r="AM11" s="197">
        <f t="shared" si="5"/>
        <v>367979.65</v>
      </c>
      <c r="AN11" s="197">
        <f t="shared" si="6"/>
        <v>1423761.8900000001</v>
      </c>
      <c r="AO11" s="200" t="s">
        <v>10</v>
      </c>
    </row>
    <row r="12" spans="1:41" ht="264">
      <c r="A12" s="182" t="s">
        <v>62</v>
      </c>
      <c r="B12" s="183" t="s">
        <v>63</v>
      </c>
      <c r="C12" s="182" t="s">
        <v>48</v>
      </c>
      <c r="D12" s="183">
        <v>0</v>
      </c>
      <c r="E12" s="185">
        <v>0</v>
      </c>
      <c r="F12" s="183">
        <v>0</v>
      </c>
      <c r="G12" s="187">
        <v>0</v>
      </c>
      <c r="H12" s="183">
        <v>0</v>
      </c>
      <c r="I12" s="187">
        <v>0</v>
      </c>
      <c r="J12" s="183">
        <v>0</v>
      </c>
      <c r="K12" s="187">
        <v>0</v>
      </c>
      <c r="L12" s="183">
        <v>0</v>
      </c>
      <c r="M12" s="187">
        <v>0</v>
      </c>
      <c r="N12" s="183">
        <v>81</v>
      </c>
      <c r="O12" s="183">
        <v>73.56</v>
      </c>
      <c r="P12" s="188">
        <f t="shared" si="0"/>
        <v>81</v>
      </c>
      <c r="Q12" s="189">
        <f t="shared" si="0"/>
        <v>73.56</v>
      </c>
      <c r="R12" s="183">
        <v>4</v>
      </c>
      <c r="S12" s="187">
        <v>4</v>
      </c>
      <c r="T12" s="183">
        <v>4</v>
      </c>
      <c r="U12" s="187">
        <v>4</v>
      </c>
      <c r="V12" s="156" t="s">
        <v>90</v>
      </c>
      <c r="W12" s="156" t="s">
        <v>90</v>
      </c>
      <c r="X12" s="156" t="s">
        <v>90</v>
      </c>
      <c r="Y12" s="156" t="s">
        <v>90</v>
      </c>
      <c r="Z12" s="190">
        <f t="shared" si="1"/>
        <v>8</v>
      </c>
      <c r="AA12" s="199">
        <f t="shared" si="2"/>
        <v>8</v>
      </c>
      <c r="AB12" s="191">
        <f t="shared" si="3"/>
        <v>89</v>
      </c>
      <c r="AC12" s="192">
        <f t="shared" si="3"/>
        <v>81.56</v>
      </c>
      <c r="AD12" s="193">
        <v>203508</v>
      </c>
      <c r="AE12" s="194">
        <v>57</v>
      </c>
      <c r="AF12" s="156" t="s">
        <v>90</v>
      </c>
      <c r="AG12" s="194">
        <v>5728</v>
      </c>
      <c r="AH12" s="194">
        <v>33910</v>
      </c>
      <c r="AI12" s="194">
        <v>17493</v>
      </c>
      <c r="AJ12" s="195">
        <f t="shared" si="4"/>
        <v>260696</v>
      </c>
      <c r="AK12" s="196">
        <v>28705</v>
      </c>
      <c r="AL12" s="156" t="s">
        <v>90</v>
      </c>
      <c r="AM12" s="197">
        <f t="shared" si="5"/>
        <v>28705</v>
      </c>
      <c r="AN12" s="197">
        <f t="shared" si="6"/>
        <v>289401</v>
      </c>
      <c r="AO12" s="200" t="s">
        <v>64</v>
      </c>
    </row>
    <row r="13" spans="1:41" ht="75">
      <c r="A13" s="182" t="s">
        <v>66</v>
      </c>
      <c r="B13" s="183" t="s">
        <v>63</v>
      </c>
      <c r="C13" s="182" t="s">
        <v>48</v>
      </c>
      <c r="D13" s="183">
        <v>0</v>
      </c>
      <c r="E13" s="185">
        <v>0</v>
      </c>
      <c r="F13" s="183">
        <v>0</v>
      </c>
      <c r="G13" s="187">
        <v>0</v>
      </c>
      <c r="H13" s="183">
        <v>0</v>
      </c>
      <c r="I13" s="187">
        <v>0</v>
      </c>
      <c r="J13" s="183">
        <v>0</v>
      </c>
      <c r="K13" s="187">
        <v>0</v>
      </c>
      <c r="L13" s="183">
        <v>0</v>
      </c>
      <c r="M13" s="187">
        <v>0</v>
      </c>
      <c r="N13" s="183">
        <v>392</v>
      </c>
      <c r="O13" s="183">
        <v>367.03</v>
      </c>
      <c r="P13" s="188">
        <f t="shared" si="0"/>
        <v>392</v>
      </c>
      <c r="Q13" s="189">
        <f t="shared" si="0"/>
        <v>367.03</v>
      </c>
      <c r="R13" s="183">
        <v>12</v>
      </c>
      <c r="S13" s="187">
        <v>12</v>
      </c>
      <c r="T13" s="183">
        <v>0</v>
      </c>
      <c r="U13" s="187">
        <v>0</v>
      </c>
      <c r="V13" s="183">
        <v>0</v>
      </c>
      <c r="W13" s="187">
        <v>0</v>
      </c>
      <c r="X13" s="183">
        <v>0</v>
      </c>
      <c r="Y13" s="187">
        <v>0</v>
      </c>
      <c r="Z13" s="190">
        <f t="shared" si="1"/>
        <v>12</v>
      </c>
      <c r="AA13" s="199">
        <f t="shared" si="2"/>
        <v>12</v>
      </c>
      <c r="AB13" s="191">
        <f t="shared" si="3"/>
        <v>404</v>
      </c>
      <c r="AC13" s="192">
        <f t="shared" si="3"/>
        <v>379.03</v>
      </c>
      <c r="AD13" s="193">
        <v>815723.58</v>
      </c>
      <c r="AE13" s="194">
        <v>1335.49</v>
      </c>
      <c r="AF13" s="194">
        <v>0</v>
      </c>
      <c r="AG13" s="194">
        <v>4418</v>
      </c>
      <c r="AH13" s="194">
        <v>146301.88</v>
      </c>
      <c r="AI13" s="194">
        <v>55514.56</v>
      </c>
      <c r="AJ13" s="195">
        <f t="shared" si="4"/>
        <v>1023293.51</v>
      </c>
      <c r="AK13" s="196">
        <v>37593.22</v>
      </c>
      <c r="AL13" s="156" t="s">
        <v>90</v>
      </c>
      <c r="AM13" s="197">
        <f t="shared" si="5"/>
        <v>37593.22</v>
      </c>
      <c r="AN13" s="197">
        <f t="shared" si="6"/>
        <v>1060886.73</v>
      </c>
      <c r="AO13" s="198"/>
    </row>
    <row r="14" spans="1:41" ht="75">
      <c r="A14" s="182" t="s">
        <v>67</v>
      </c>
      <c r="B14" s="183" t="s">
        <v>63</v>
      </c>
      <c r="C14" s="182" t="s">
        <v>48</v>
      </c>
      <c r="D14" s="183">
        <v>14</v>
      </c>
      <c r="E14" s="185">
        <v>13.54</v>
      </c>
      <c r="F14" s="183">
        <v>17</v>
      </c>
      <c r="G14" s="187">
        <v>15.94</v>
      </c>
      <c r="H14" s="183">
        <v>22</v>
      </c>
      <c r="I14" s="183">
        <v>21.69</v>
      </c>
      <c r="J14" s="183">
        <v>12</v>
      </c>
      <c r="K14" s="187">
        <v>10.55</v>
      </c>
      <c r="L14" s="183">
        <v>3</v>
      </c>
      <c r="M14" s="187">
        <v>3</v>
      </c>
      <c r="N14" s="183">
        <v>1</v>
      </c>
      <c r="O14" s="187">
        <v>0.4</v>
      </c>
      <c r="P14" s="188">
        <f t="shared" si="0"/>
        <v>69</v>
      </c>
      <c r="Q14" s="189">
        <f t="shared" si="0"/>
        <v>65.12</v>
      </c>
      <c r="R14" s="183">
        <v>4</v>
      </c>
      <c r="S14" s="187">
        <v>4</v>
      </c>
      <c r="T14" s="156" t="s">
        <v>90</v>
      </c>
      <c r="U14" s="156" t="s">
        <v>90</v>
      </c>
      <c r="V14" s="156" t="s">
        <v>90</v>
      </c>
      <c r="W14" s="156" t="s">
        <v>90</v>
      </c>
      <c r="X14" s="156" t="s">
        <v>90</v>
      </c>
      <c r="Y14" s="156" t="s">
        <v>90</v>
      </c>
      <c r="Z14" s="190">
        <f t="shared" si="1"/>
        <v>4</v>
      </c>
      <c r="AA14" s="199">
        <f t="shared" si="2"/>
        <v>4</v>
      </c>
      <c r="AB14" s="191">
        <f t="shared" si="3"/>
        <v>73</v>
      </c>
      <c r="AC14" s="192">
        <f t="shared" si="3"/>
        <v>69.12</v>
      </c>
      <c r="AD14" s="193">
        <v>179342.44</v>
      </c>
      <c r="AE14" s="194">
        <v>4357</v>
      </c>
      <c r="AF14" s="194">
        <v>1000</v>
      </c>
      <c r="AG14" s="156" t="s">
        <v>90</v>
      </c>
      <c r="AH14" s="194">
        <v>35630.52</v>
      </c>
      <c r="AI14" s="194">
        <v>14884.3</v>
      </c>
      <c r="AJ14" s="195">
        <f t="shared" si="4"/>
        <v>235214.25999999998</v>
      </c>
      <c r="AK14" s="196">
        <v>12565.95</v>
      </c>
      <c r="AL14" s="156" t="s">
        <v>90</v>
      </c>
      <c r="AM14" s="197">
        <f t="shared" si="5"/>
        <v>12565.95</v>
      </c>
      <c r="AN14" s="197">
        <f t="shared" si="6"/>
        <v>247780.21</v>
      </c>
      <c r="AO14" s="198"/>
    </row>
    <row r="15" spans="1:41" ht="156">
      <c r="A15" s="182" t="s">
        <v>68</v>
      </c>
      <c r="B15" s="183" t="s">
        <v>63</v>
      </c>
      <c r="C15" s="182" t="s">
        <v>48</v>
      </c>
      <c r="D15" s="183">
        <v>0</v>
      </c>
      <c r="E15" s="185">
        <v>0</v>
      </c>
      <c r="F15" s="183">
        <v>0</v>
      </c>
      <c r="G15" s="187">
        <v>0</v>
      </c>
      <c r="H15" s="183">
        <v>0</v>
      </c>
      <c r="I15" s="187">
        <v>0</v>
      </c>
      <c r="J15" s="183">
        <v>0</v>
      </c>
      <c r="K15" s="187">
        <v>0</v>
      </c>
      <c r="L15" s="183">
        <v>0</v>
      </c>
      <c r="M15" s="187">
        <v>0</v>
      </c>
      <c r="N15" s="183">
        <v>29</v>
      </c>
      <c r="O15" s="187">
        <v>28.8</v>
      </c>
      <c r="P15" s="188">
        <f t="shared" si="0"/>
        <v>29</v>
      </c>
      <c r="Q15" s="189">
        <f t="shared" si="0"/>
        <v>28.8</v>
      </c>
      <c r="R15" s="183">
        <v>0</v>
      </c>
      <c r="S15" s="187">
        <v>0</v>
      </c>
      <c r="T15" s="183">
        <v>0</v>
      </c>
      <c r="U15" s="187">
        <v>0</v>
      </c>
      <c r="V15" s="183">
        <v>0</v>
      </c>
      <c r="W15" s="187">
        <v>0</v>
      </c>
      <c r="X15" s="183">
        <v>0</v>
      </c>
      <c r="Y15" s="187">
        <v>0</v>
      </c>
      <c r="Z15" s="190">
        <f t="shared" si="1"/>
        <v>0</v>
      </c>
      <c r="AA15" s="199">
        <f t="shared" si="2"/>
        <v>0</v>
      </c>
      <c r="AB15" s="191">
        <f t="shared" si="3"/>
        <v>29</v>
      </c>
      <c r="AC15" s="192">
        <f t="shared" si="3"/>
        <v>28.8</v>
      </c>
      <c r="AD15" s="193">
        <v>131274.79</v>
      </c>
      <c r="AE15" s="156" t="s">
        <v>90</v>
      </c>
      <c r="AF15" s="156" t="s">
        <v>90</v>
      </c>
      <c r="AG15" s="156" t="s">
        <v>90</v>
      </c>
      <c r="AH15" s="194">
        <v>31011.39</v>
      </c>
      <c r="AI15" s="194">
        <v>16288.52</v>
      </c>
      <c r="AJ15" s="195">
        <f t="shared" si="4"/>
        <v>178574.69999999998</v>
      </c>
      <c r="AK15" s="156" t="s">
        <v>90</v>
      </c>
      <c r="AL15" s="156" t="s">
        <v>90</v>
      </c>
      <c r="AM15" s="197">
        <f t="shared" si="5"/>
        <v>0</v>
      </c>
      <c r="AN15" s="197">
        <f t="shared" si="6"/>
        <v>178574.69999999998</v>
      </c>
      <c r="AO15" s="200" t="s">
        <v>69</v>
      </c>
    </row>
    <row r="16" spans="1:41" ht="75">
      <c r="A16" s="182" t="s">
        <v>70</v>
      </c>
      <c r="B16" s="183" t="s">
        <v>63</v>
      </c>
      <c r="C16" s="182" t="s">
        <v>48</v>
      </c>
      <c r="D16" s="183">
        <v>850</v>
      </c>
      <c r="E16" s="183">
        <v>800.92</v>
      </c>
      <c r="F16" s="183">
        <v>272</v>
      </c>
      <c r="G16" s="183">
        <v>262.22</v>
      </c>
      <c r="H16" s="183">
        <v>409</v>
      </c>
      <c r="I16" s="183">
        <v>391.57</v>
      </c>
      <c r="J16" s="183">
        <v>121</v>
      </c>
      <c r="K16" s="183">
        <v>118.73</v>
      </c>
      <c r="L16" s="183">
        <v>11</v>
      </c>
      <c r="M16" s="187">
        <v>11</v>
      </c>
      <c r="N16" s="183">
        <v>7</v>
      </c>
      <c r="O16" s="187">
        <v>1.2</v>
      </c>
      <c r="P16" s="188">
        <f t="shared" si="0"/>
        <v>1670</v>
      </c>
      <c r="Q16" s="189">
        <f t="shared" si="0"/>
        <v>1585.6399999999999</v>
      </c>
      <c r="R16" s="183">
        <v>29</v>
      </c>
      <c r="S16" s="187">
        <v>26.5</v>
      </c>
      <c r="T16" s="156" t="s">
        <v>90</v>
      </c>
      <c r="U16" s="156" t="s">
        <v>90</v>
      </c>
      <c r="V16" s="183">
        <v>72</v>
      </c>
      <c r="W16" s="187">
        <v>72</v>
      </c>
      <c r="X16" s="156" t="s">
        <v>90</v>
      </c>
      <c r="Y16" s="156" t="s">
        <v>90</v>
      </c>
      <c r="Z16" s="190">
        <f t="shared" si="1"/>
        <v>101</v>
      </c>
      <c r="AA16" s="199">
        <f t="shared" si="2"/>
        <v>98.5</v>
      </c>
      <c r="AB16" s="191">
        <f t="shared" si="3"/>
        <v>1771</v>
      </c>
      <c r="AC16" s="192">
        <f t="shared" si="3"/>
        <v>1684.1399999999999</v>
      </c>
      <c r="AD16" s="193">
        <v>3770977.88</v>
      </c>
      <c r="AE16" s="156" t="s">
        <v>90</v>
      </c>
      <c r="AF16" s="156" t="s">
        <v>90</v>
      </c>
      <c r="AG16" s="194">
        <v>62141.22</v>
      </c>
      <c r="AH16" s="194"/>
      <c r="AI16" s="194">
        <v>288924.26</v>
      </c>
      <c r="AJ16" s="195">
        <f t="shared" si="4"/>
        <v>4122043.3600000003</v>
      </c>
      <c r="AK16" s="196">
        <v>898926.8</v>
      </c>
      <c r="AL16" s="156" t="s">
        <v>90</v>
      </c>
      <c r="AM16" s="197">
        <f t="shared" si="5"/>
        <v>898926.8</v>
      </c>
      <c r="AN16" s="197">
        <f t="shared" si="6"/>
        <v>5020970.16</v>
      </c>
      <c r="AO16" s="198"/>
    </row>
    <row r="17" spans="1:41" ht="75">
      <c r="A17" s="182" t="s">
        <v>71</v>
      </c>
      <c r="B17" s="183" t="s">
        <v>63</v>
      </c>
      <c r="C17" s="182" t="s">
        <v>48</v>
      </c>
      <c r="D17" s="186">
        <v>22</v>
      </c>
      <c r="E17" s="186">
        <v>20.87</v>
      </c>
      <c r="F17" s="186">
        <v>44</v>
      </c>
      <c r="G17" s="183">
        <v>43.7</v>
      </c>
      <c r="H17" s="186">
        <v>17</v>
      </c>
      <c r="I17" s="183">
        <v>16.6</v>
      </c>
      <c r="J17" s="183">
        <v>4</v>
      </c>
      <c r="K17" s="187">
        <v>4</v>
      </c>
      <c r="L17" s="186">
        <v>1</v>
      </c>
      <c r="M17" s="187">
        <v>1</v>
      </c>
      <c r="N17" s="183">
        <v>0</v>
      </c>
      <c r="O17" s="187">
        <v>0</v>
      </c>
      <c r="P17" s="188">
        <f t="shared" si="0"/>
        <v>88</v>
      </c>
      <c r="Q17" s="189">
        <f t="shared" si="0"/>
        <v>86.17000000000002</v>
      </c>
      <c r="R17" s="183">
        <v>8</v>
      </c>
      <c r="S17" s="187">
        <v>8</v>
      </c>
      <c r="T17" s="183">
        <v>0</v>
      </c>
      <c r="U17" s="187">
        <v>0</v>
      </c>
      <c r="V17" s="183">
        <v>0</v>
      </c>
      <c r="W17" s="187">
        <v>0</v>
      </c>
      <c r="X17" s="183">
        <v>0</v>
      </c>
      <c r="Y17" s="187">
        <v>0</v>
      </c>
      <c r="Z17" s="190">
        <f t="shared" si="1"/>
        <v>8</v>
      </c>
      <c r="AA17" s="199">
        <f t="shared" si="2"/>
        <v>8</v>
      </c>
      <c r="AB17" s="191">
        <f t="shared" si="3"/>
        <v>96</v>
      </c>
      <c r="AC17" s="192">
        <f t="shared" si="3"/>
        <v>94.17000000000002</v>
      </c>
      <c r="AD17" s="193">
        <v>188472.18</v>
      </c>
      <c r="AE17" s="194">
        <v>21166.18</v>
      </c>
      <c r="AF17" s="156" t="s">
        <v>90</v>
      </c>
      <c r="AG17" s="194">
        <v>1287.72</v>
      </c>
      <c r="AH17" s="194">
        <v>34570.59</v>
      </c>
      <c r="AI17" s="194">
        <v>17495.95</v>
      </c>
      <c r="AJ17" s="195">
        <f t="shared" si="4"/>
        <v>262992.62</v>
      </c>
      <c r="AK17" s="196">
        <v>23701</v>
      </c>
      <c r="AL17" s="156" t="s">
        <v>90</v>
      </c>
      <c r="AM17" s="197">
        <f t="shared" si="5"/>
        <v>23701</v>
      </c>
      <c r="AN17" s="197">
        <f t="shared" si="6"/>
        <v>286693.62</v>
      </c>
      <c r="AO17" s="198"/>
    </row>
    <row r="18" spans="1:41" ht="409.5">
      <c r="A18" s="264" t="s">
        <v>72</v>
      </c>
      <c r="B18" s="156" t="s">
        <v>63</v>
      </c>
      <c r="C18" s="23" t="s">
        <v>48</v>
      </c>
      <c r="D18" s="183">
        <v>0</v>
      </c>
      <c r="E18" s="185">
        <v>0</v>
      </c>
      <c r="F18" s="183">
        <v>0</v>
      </c>
      <c r="G18" s="187">
        <v>0</v>
      </c>
      <c r="H18" s="183">
        <v>0</v>
      </c>
      <c r="I18" s="187">
        <v>0</v>
      </c>
      <c r="J18" s="183">
        <v>0</v>
      </c>
      <c r="K18" s="187">
        <v>0</v>
      </c>
      <c r="L18" s="183">
        <v>0</v>
      </c>
      <c r="M18" s="187">
        <v>0</v>
      </c>
      <c r="N18" s="156">
        <v>18303</v>
      </c>
      <c r="O18" s="158">
        <v>16487</v>
      </c>
      <c r="P18" s="188">
        <f t="shared" si="0"/>
        <v>18303</v>
      </c>
      <c r="Q18" s="189">
        <f t="shared" si="0"/>
        <v>16487</v>
      </c>
      <c r="R18" s="156">
        <v>1351</v>
      </c>
      <c r="S18" s="158">
        <v>1351</v>
      </c>
      <c r="T18" s="156">
        <v>8</v>
      </c>
      <c r="U18" s="158">
        <v>8</v>
      </c>
      <c r="V18" s="156" t="s">
        <v>90</v>
      </c>
      <c r="W18" s="156" t="s">
        <v>90</v>
      </c>
      <c r="X18" s="156" t="s">
        <v>90</v>
      </c>
      <c r="Y18" s="156" t="s">
        <v>90</v>
      </c>
      <c r="Z18" s="190">
        <f t="shared" si="1"/>
        <v>1359</v>
      </c>
      <c r="AA18" s="203">
        <f t="shared" si="2"/>
        <v>1359</v>
      </c>
      <c r="AB18" s="191">
        <f t="shared" si="3"/>
        <v>19662</v>
      </c>
      <c r="AC18" s="192">
        <f t="shared" si="3"/>
        <v>17846</v>
      </c>
      <c r="AD18" s="156" t="s">
        <v>90</v>
      </c>
      <c r="AE18" s="156" t="s">
        <v>90</v>
      </c>
      <c r="AF18" s="156" t="s">
        <v>90</v>
      </c>
      <c r="AG18" s="156" t="s">
        <v>90</v>
      </c>
      <c r="AH18" s="156" t="s">
        <v>90</v>
      </c>
      <c r="AI18" s="156" t="s">
        <v>90</v>
      </c>
      <c r="AJ18" s="195">
        <f t="shared" si="4"/>
        <v>0</v>
      </c>
      <c r="AK18" s="156" t="s">
        <v>90</v>
      </c>
      <c r="AL18" s="156" t="s">
        <v>90</v>
      </c>
      <c r="AM18" s="197">
        <f t="shared" si="5"/>
        <v>0</v>
      </c>
      <c r="AN18" s="197">
        <f t="shared" si="6"/>
        <v>0</v>
      </c>
      <c r="AO18" s="204" t="s">
        <v>149</v>
      </c>
    </row>
    <row r="19" spans="1:41" ht="90">
      <c r="A19" s="183" t="s">
        <v>124</v>
      </c>
      <c r="B19" s="183" t="s">
        <v>63</v>
      </c>
      <c r="C19" s="205" t="s">
        <v>48</v>
      </c>
      <c r="D19" s="183">
        <v>15</v>
      </c>
      <c r="E19" s="183">
        <v>14.35</v>
      </c>
      <c r="F19" s="183">
        <v>43</v>
      </c>
      <c r="G19" s="183">
        <v>41.66</v>
      </c>
      <c r="H19" s="183">
        <v>112</v>
      </c>
      <c r="I19" s="183">
        <v>109.11</v>
      </c>
      <c r="J19" s="183">
        <v>41</v>
      </c>
      <c r="K19" s="185">
        <v>40.36</v>
      </c>
      <c r="L19" s="183">
        <v>4</v>
      </c>
      <c r="M19" s="185">
        <v>3.6</v>
      </c>
      <c r="N19" s="183">
        <v>9</v>
      </c>
      <c r="O19" s="185">
        <v>9</v>
      </c>
      <c r="P19" s="188">
        <f t="shared" si="0"/>
        <v>224</v>
      </c>
      <c r="Q19" s="189">
        <f t="shared" si="0"/>
        <v>218.08</v>
      </c>
      <c r="R19" s="183">
        <v>2</v>
      </c>
      <c r="S19" s="187">
        <v>2</v>
      </c>
      <c r="T19" s="156" t="s">
        <v>90</v>
      </c>
      <c r="U19" s="156" t="s">
        <v>90</v>
      </c>
      <c r="V19" s="183">
        <v>3</v>
      </c>
      <c r="W19" s="187">
        <v>2.8</v>
      </c>
      <c r="X19" s="156" t="s">
        <v>90</v>
      </c>
      <c r="Y19" s="156" t="s">
        <v>90</v>
      </c>
      <c r="Z19" s="190">
        <f t="shared" si="1"/>
        <v>5</v>
      </c>
      <c r="AA19" s="199">
        <f t="shared" si="2"/>
        <v>4.8</v>
      </c>
      <c r="AB19" s="191">
        <f t="shared" si="3"/>
        <v>229</v>
      </c>
      <c r="AC19" s="192">
        <f t="shared" si="3"/>
        <v>222.88000000000002</v>
      </c>
      <c r="AD19" s="193">
        <v>616521.83</v>
      </c>
      <c r="AE19" s="194">
        <v>61417.23</v>
      </c>
      <c r="AF19" s="156" t="s">
        <v>90</v>
      </c>
      <c r="AG19" s="194">
        <v>3630.05</v>
      </c>
      <c r="AH19" s="194">
        <v>135466.81</v>
      </c>
      <c r="AI19" s="194">
        <v>62982.84</v>
      </c>
      <c r="AJ19" s="195">
        <f t="shared" si="4"/>
        <v>880018.7599999999</v>
      </c>
      <c r="AK19" s="196">
        <v>12238.61</v>
      </c>
      <c r="AL19" s="156" t="s">
        <v>90</v>
      </c>
      <c r="AM19" s="197">
        <f t="shared" si="5"/>
        <v>12238.61</v>
      </c>
      <c r="AN19" s="197">
        <f t="shared" si="6"/>
        <v>892257.3699999999</v>
      </c>
      <c r="AO19" s="198"/>
    </row>
    <row r="20" spans="1:41" ht="90">
      <c r="A20" s="183" t="s">
        <v>124</v>
      </c>
      <c r="B20" s="183" t="s">
        <v>63</v>
      </c>
      <c r="C20" s="205" t="s">
        <v>48</v>
      </c>
      <c r="D20" s="183">
        <v>15</v>
      </c>
      <c r="E20" s="183">
        <v>14.35</v>
      </c>
      <c r="F20" s="183">
        <v>43</v>
      </c>
      <c r="G20" s="183">
        <v>41.66</v>
      </c>
      <c r="H20" s="183">
        <v>112</v>
      </c>
      <c r="I20" s="183">
        <v>109.11</v>
      </c>
      <c r="J20" s="183">
        <v>41</v>
      </c>
      <c r="K20" s="185">
        <v>40.36</v>
      </c>
      <c r="L20" s="183">
        <v>4</v>
      </c>
      <c r="M20" s="185">
        <v>3.6</v>
      </c>
      <c r="N20" s="183">
        <v>9</v>
      </c>
      <c r="O20" s="185">
        <v>9</v>
      </c>
      <c r="P20" s="188">
        <v>224</v>
      </c>
      <c r="Q20" s="189">
        <v>218.08</v>
      </c>
      <c r="R20" s="183">
        <v>2</v>
      </c>
      <c r="S20" s="187">
        <v>2</v>
      </c>
      <c r="T20" s="156" t="s">
        <v>90</v>
      </c>
      <c r="U20" s="156" t="s">
        <v>90</v>
      </c>
      <c r="V20" s="183">
        <v>3</v>
      </c>
      <c r="W20" s="187">
        <v>2.8</v>
      </c>
      <c r="X20" s="156" t="s">
        <v>90</v>
      </c>
      <c r="Y20" s="156" t="s">
        <v>90</v>
      </c>
      <c r="Z20" s="190">
        <v>5</v>
      </c>
      <c r="AA20" s="199">
        <v>4.8</v>
      </c>
      <c r="AB20" s="191">
        <v>229</v>
      </c>
      <c r="AC20" s="192">
        <v>222.88</v>
      </c>
      <c r="AD20" s="193">
        <v>616521.83</v>
      </c>
      <c r="AE20" s="194">
        <v>61417.23</v>
      </c>
      <c r="AF20" s="156" t="s">
        <v>90</v>
      </c>
      <c r="AG20" s="194">
        <v>3630.05</v>
      </c>
      <c r="AH20" s="194">
        <v>135466.81</v>
      </c>
      <c r="AI20" s="194">
        <v>62982.84</v>
      </c>
      <c r="AJ20" s="195">
        <v>880018.76</v>
      </c>
      <c r="AK20" s="196">
        <v>12238.61</v>
      </c>
      <c r="AL20" s="156" t="s">
        <v>90</v>
      </c>
      <c r="AM20" s="197">
        <v>12238.61</v>
      </c>
      <c r="AN20" s="197">
        <v>892257.37</v>
      </c>
      <c r="AO20" s="198"/>
    </row>
  </sheetData>
  <sheetProtection selectLockedCells="1"/>
  <mergeCells count="32">
    <mergeCell ref="AG5:AG6"/>
    <mergeCell ref="AJ5:AJ6"/>
    <mergeCell ref="AK5:AK6"/>
    <mergeCell ref="P5:Q5"/>
    <mergeCell ref="R5:S5"/>
    <mergeCell ref="T5:U5"/>
    <mergeCell ref="V5:W5"/>
    <mergeCell ref="AN4:AN6"/>
    <mergeCell ref="AO4:AO6"/>
    <mergeCell ref="AK4:AM4"/>
    <mergeCell ref="AL5:AL6"/>
    <mergeCell ref="AM5:AM6"/>
    <mergeCell ref="A4:A6"/>
    <mergeCell ref="B4:B6"/>
    <mergeCell ref="C4:C6"/>
    <mergeCell ref="D4:Q4"/>
    <mergeCell ref="D5:E5"/>
    <mergeCell ref="F5:G5"/>
    <mergeCell ref="H5:I5"/>
    <mergeCell ref="J5:K5"/>
    <mergeCell ref="L5:M5"/>
    <mergeCell ref="N5:O5"/>
    <mergeCell ref="R4:AA4"/>
    <mergeCell ref="AB4:AC5"/>
    <mergeCell ref="AD4:AJ4"/>
    <mergeCell ref="AH5:AH6"/>
    <mergeCell ref="AI5:AI6"/>
    <mergeCell ref="X5:Y5"/>
    <mergeCell ref="Z5:AA5"/>
    <mergeCell ref="AD5:AD6"/>
    <mergeCell ref="AE5:AE6"/>
    <mergeCell ref="AF5:AF6"/>
  </mergeCells>
  <conditionalFormatting sqref="B7:B19">
    <cfRule type="expression" priority="1" dxfId="22" stopIfTrue="1">
      <formula>AND(NOT(ISBLANK($A7)),ISBLANK(B7))</formula>
    </cfRule>
  </conditionalFormatting>
  <conditionalFormatting sqref="C7:C19">
    <cfRule type="expression" priority="2" dxfId="22" stopIfTrue="1">
      <formula>AND(NOT(ISBLANK(A7)),ISBLANK(C7))</formula>
    </cfRule>
  </conditionalFormatting>
  <conditionalFormatting sqref="T20:U20 N7:N19 Y12 D7:D19 F7:F19 H7:H19 J7:J19 L7:L19 Y18 W18 U19:V19 U14 X19:Y20 U16 Y16 W14 W8 Y14 W12 R7:R19 V7:V18 U8:U9 T7:T19 X7:X18 Y8:Y9 AF9 AF12 AG14:AG15 AE15:AF16 AF17 AD18:AI18 AK18:AL18 AL16:AL17 AK15:AL15 AL11:AL14 AL19:AL20 AF19:AF20">
    <cfRule type="expression" priority="3" dxfId="22" stopIfTrue="1">
      <formula>AND(NOT(ISBLANK(E7)),ISBLANK(D7))</formula>
    </cfRule>
  </conditionalFormatting>
  <conditionalFormatting sqref="O7:O19 S7:S19 U17:U18 E7:E19 W19 G7:G19 I7:I19 K7:K19 M7:M19 U15 Y17 W15:W17 Y13 Y15 W13 U10:U13 W9:W11 U7 W7 Y7 Y10:Y11">
    <cfRule type="expression" priority="4" dxfId="22" stopIfTrue="1">
      <formula>AND(NOT(ISBLANK(D7)),ISBLANK(E7))</formula>
    </cfRule>
  </conditionalFormatting>
  <dataValidations count="8">
    <dataValidation type="custom" allowBlank="1" showInputMessage="1" showErrorMessage="1" errorTitle="Headcount" error="The value entered in the headcount field must be greater than or equal to the value entered in the FTE field." sqref="T20:U20 AL19:AL20 N7:N18 F7:F18 L7:L18 J7:J18 H7:H18 D7:D18 W18:Y18 X19:Y20 X13 U19 U14:Y14 U16 Y16 V15:V18 V9:V13 X15:X17 W12:Y12 R7:R18 U8:Y8 U9 V7 X7 T7:T19 X9:X11 Y9 AF9 AF12 AE15:AG15 AG14 AE16:AF16 AF17:AF20 AD18:AE18 AG18:AI18 AK18:AL18 AL11:AL17 AK15">
      <formula1>T20&gt;=U20</formula1>
    </dataValidation>
    <dataValidation type="custom" allowBlank="1" showInputMessage="1" showErrorMessage="1" errorTitle="FTE" error="The value entered in the FTE field must be less than or equal to the value entered in the headcount field." sqref="O7:O18 M7:M18 K7:K18 I7:I18 G7:G18 E7:E18 U15 S7:S18 U17:U18 Y17 W15:W17 Y13 Y15 W13 U10:U13 W9:W11 U7 W7 Y7 Y10:Y11">
      <formula1>O7&lt;=N7</formula1>
    </dataValidation>
    <dataValidation type="decimal" operator="greaterThanOrEqual" allowBlank="1" showInputMessage="1" showErrorMessage="1" sqref="AH7:AI17 AF7:AF8 AF10:AF11 AF13:AF14 AG16:AG17 AG7:AG13 AE17 AE7:AE14 AD7:AD17 AL7:AL10 AK16:AK17 AK7:AK14">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19">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19">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19">
      <formula1>INDIRECT("List_of_organisations")</formula1>
    </dataValidation>
    <dataValidation operator="lessThanOrEqual" allowBlank="1" showInputMessage="1" showErrorMessage="1" error="FTE cannot be greater than Headcount&#10;" sqref="AO4 A4:C4 R4 AB4 P5 AB6:AC19 AO7:AO19 P7:Q19"/>
    <dataValidation type="decimal" operator="greaterThan" allowBlank="1" showInputMessage="1" showErrorMessage="1" sqref="AD19:AE19 AG19:AI19">
      <formula1>0</formula1>
    </dataValidation>
  </dataValidations>
  <printOptions/>
  <pageMargins left="0.75" right="0.75" top="1" bottom="1" header="0.5" footer="0.5"/>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AP19"/>
  <sheetViews>
    <sheetView workbookViewId="0" topLeftCell="A1">
      <selection activeCell="A1" sqref="A1:IV16384"/>
    </sheetView>
  </sheetViews>
  <sheetFormatPr defaultColWidth="8.88671875" defaultRowHeight="15"/>
  <cols>
    <col min="2" max="2" width="10.77734375" style="0" customWidth="1"/>
    <col min="3" max="3" width="10.10546875" style="0" customWidth="1"/>
    <col min="30" max="30" width="13.4453125" style="0" bestFit="1" customWidth="1"/>
    <col min="31" max="31" width="10.88671875" style="0" bestFit="1" customWidth="1"/>
    <col min="32" max="32" width="33.21484375" style="0" bestFit="1" customWidth="1"/>
    <col min="33" max="33" width="12.4453125" style="0" customWidth="1"/>
    <col min="34" max="34" width="14.21484375" style="0" customWidth="1"/>
    <col min="35" max="35" width="13.6640625" style="0" customWidth="1"/>
    <col min="36" max="36" width="14.21484375" style="0" customWidth="1"/>
    <col min="37" max="37" width="12.4453125" style="0" customWidth="1"/>
    <col min="38" max="38" width="15.3359375" style="0" customWidth="1"/>
    <col min="39" max="39" width="15.77734375" style="0" customWidth="1"/>
    <col min="40" max="40" width="12.4453125" style="0" customWidth="1"/>
  </cols>
  <sheetData>
    <row r="1" spans="1:41" ht="15">
      <c r="A1" s="2" t="s">
        <v>92</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row>
    <row r="2" spans="1:41" ht="15">
      <c r="A2" s="24" t="s">
        <v>93</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row>
    <row r="3" spans="1:41" ht="15">
      <c r="A3" s="24" t="s">
        <v>94</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row>
    <row r="4" spans="1:41" ht="15">
      <c r="A4" s="313" t="s">
        <v>26</v>
      </c>
      <c r="B4" s="328" t="s">
        <v>15</v>
      </c>
      <c r="C4" s="328" t="s">
        <v>14</v>
      </c>
      <c r="D4" s="315" t="s">
        <v>22</v>
      </c>
      <c r="E4" s="329"/>
      <c r="F4" s="329"/>
      <c r="G4" s="329"/>
      <c r="H4" s="329"/>
      <c r="I4" s="329"/>
      <c r="J4" s="329"/>
      <c r="K4" s="329"/>
      <c r="L4" s="329"/>
      <c r="M4" s="329"/>
      <c r="N4" s="329"/>
      <c r="O4" s="329"/>
      <c r="P4" s="329"/>
      <c r="Q4" s="316"/>
      <c r="R4" s="303" t="s">
        <v>29</v>
      </c>
      <c r="S4" s="304"/>
      <c r="T4" s="304"/>
      <c r="U4" s="304"/>
      <c r="V4" s="304"/>
      <c r="W4" s="304"/>
      <c r="X4" s="304"/>
      <c r="Y4" s="304"/>
      <c r="Z4" s="304"/>
      <c r="AA4" s="305"/>
      <c r="AB4" s="306" t="s">
        <v>39</v>
      </c>
      <c r="AC4" s="307"/>
      <c r="AD4" s="310" t="s">
        <v>25</v>
      </c>
      <c r="AE4" s="311"/>
      <c r="AF4" s="311"/>
      <c r="AG4" s="311"/>
      <c r="AH4" s="311"/>
      <c r="AI4" s="311"/>
      <c r="AJ4" s="312"/>
      <c r="AK4" s="322" t="s">
        <v>115</v>
      </c>
      <c r="AL4" s="323"/>
      <c r="AM4" s="323"/>
      <c r="AN4" s="318" t="s">
        <v>38</v>
      </c>
      <c r="AO4" s="313" t="s">
        <v>126</v>
      </c>
    </row>
    <row r="5" spans="1:41" ht="15">
      <c r="A5" s="326"/>
      <c r="B5" s="326"/>
      <c r="C5" s="326"/>
      <c r="D5" s="324" t="s">
        <v>116</v>
      </c>
      <c r="E5" s="325"/>
      <c r="F5" s="324" t="s">
        <v>117</v>
      </c>
      <c r="G5" s="325"/>
      <c r="H5" s="324" t="s">
        <v>118</v>
      </c>
      <c r="I5" s="325"/>
      <c r="J5" s="324" t="s">
        <v>20</v>
      </c>
      <c r="K5" s="325"/>
      <c r="L5" s="324" t="s">
        <v>119</v>
      </c>
      <c r="M5" s="325"/>
      <c r="N5" s="324" t="s">
        <v>19</v>
      </c>
      <c r="O5" s="325"/>
      <c r="P5" s="315" t="s">
        <v>23</v>
      </c>
      <c r="Q5" s="316"/>
      <c r="R5" s="315" t="s">
        <v>27</v>
      </c>
      <c r="S5" s="305"/>
      <c r="T5" s="303" t="s">
        <v>17</v>
      </c>
      <c r="U5" s="305"/>
      <c r="V5" s="303" t="s">
        <v>18</v>
      </c>
      <c r="W5" s="305"/>
      <c r="X5" s="303" t="s">
        <v>28</v>
      </c>
      <c r="Y5" s="305"/>
      <c r="Z5" s="315" t="s">
        <v>24</v>
      </c>
      <c r="AA5" s="316"/>
      <c r="AB5" s="308"/>
      <c r="AC5" s="309"/>
      <c r="AD5" s="313" t="s">
        <v>31</v>
      </c>
      <c r="AE5" s="313" t="s">
        <v>30</v>
      </c>
      <c r="AF5" s="313" t="s">
        <v>32</v>
      </c>
      <c r="AG5" s="313" t="s">
        <v>33</v>
      </c>
      <c r="AH5" s="313" t="s">
        <v>34</v>
      </c>
      <c r="AI5" s="313" t="s">
        <v>35</v>
      </c>
      <c r="AJ5" s="317" t="s">
        <v>37</v>
      </c>
      <c r="AK5" s="313" t="s">
        <v>120</v>
      </c>
      <c r="AL5" s="313" t="s">
        <v>121</v>
      </c>
      <c r="AM5" s="313" t="s">
        <v>36</v>
      </c>
      <c r="AN5" s="319"/>
      <c r="AO5" s="321"/>
    </row>
    <row r="6" spans="1:41" ht="60">
      <c r="A6" s="327"/>
      <c r="B6" s="327"/>
      <c r="C6" s="327"/>
      <c r="D6" s="175" t="s">
        <v>16</v>
      </c>
      <c r="E6" s="175" t="s">
        <v>21</v>
      </c>
      <c r="F6" s="175" t="s">
        <v>16</v>
      </c>
      <c r="G6" s="175" t="s">
        <v>21</v>
      </c>
      <c r="H6" s="175" t="s">
        <v>16</v>
      </c>
      <c r="I6" s="175" t="s">
        <v>21</v>
      </c>
      <c r="J6" s="175" t="s">
        <v>16</v>
      </c>
      <c r="K6" s="175" t="s">
        <v>21</v>
      </c>
      <c r="L6" s="175" t="s">
        <v>16</v>
      </c>
      <c r="M6" s="175" t="s">
        <v>21</v>
      </c>
      <c r="N6" s="175" t="s">
        <v>16</v>
      </c>
      <c r="O6" s="175" t="s">
        <v>21</v>
      </c>
      <c r="P6" s="175" t="s">
        <v>16</v>
      </c>
      <c r="Q6" s="175" t="s">
        <v>21</v>
      </c>
      <c r="R6" s="174" t="s">
        <v>16</v>
      </c>
      <c r="S6" s="174" t="s">
        <v>21</v>
      </c>
      <c r="T6" s="174" t="s">
        <v>16</v>
      </c>
      <c r="U6" s="174" t="s">
        <v>21</v>
      </c>
      <c r="V6" s="174" t="s">
        <v>16</v>
      </c>
      <c r="W6" s="174" t="s">
        <v>21</v>
      </c>
      <c r="X6" s="174" t="s">
        <v>16</v>
      </c>
      <c r="Y6" s="174" t="s">
        <v>21</v>
      </c>
      <c r="Z6" s="174" t="s">
        <v>16</v>
      </c>
      <c r="AA6" s="174" t="s">
        <v>21</v>
      </c>
      <c r="AB6" s="177" t="s">
        <v>16</v>
      </c>
      <c r="AC6" s="176" t="s">
        <v>21</v>
      </c>
      <c r="AD6" s="314"/>
      <c r="AE6" s="314"/>
      <c r="AF6" s="314"/>
      <c r="AG6" s="314"/>
      <c r="AH6" s="314"/>
      <c r="AI6" s="314"/>
      <c r="AJ6" s="317"/>
      <c r="AK6" s="314"/>
      <c r="AL6" s="314"/>
      <c r="AM6" s="314"/>
      <c r="AN6" s="320"/>
      <c r="AO6" s="314"/>
    </row>
    <row r="7" spans="1:42" ht="45">
      <c r="A7" s="182" t="s">
        <v>48</v>
      </c>
      <c r="B7" s="183" t="s">
        <v>49</v>
      </c>
      <c r="C7" s="182" t="s">
        <v>48</v>
      </c>
      <c r="D7" s="184">
        <v>982</v>
      </c>
      <c r="E7" s="185">
        <v>913.4808715137113</v>
      </c>
      <c r="F7" s="186">
        <v>936</v>
      </c>
      <c r="G7" s="185">
        <v>898.4471915227423</v>
      </c>
      <c r="H7" s="186">
        <v>1670</v>
      </c>
      <c r="I7" s="185">
        <v>1622.4921338888364</v>
      </c>
      <c r="J7" s="186">
        <v>806</v>
      </c>
      <c r="K7" s="185">
        <v>785.535919593496</v>
      </c>
      <c r="L7" s="186">
        <v>123</v>
      </c>
      <c r="M7" s="185">
        <v>120.59448</v>
      </c>
      <c r="N7" s="183">
        <v>0</v>
      </c>
      <c r="O7" s="187">
        <v>0</v>
      </c>
      <c r="P7" s="188">
        <f>SUM(D7,F7,H7,J7,L7,N7)</f>
        <v>4517</v>
      </c>
      <c r="Q7" s="189">
        <f>SUM(E7,G7,I7,K7,M7,O7)</f>
        <v>4340.550596518786</v>
      </c>
      <c r="R7" s="183">
        <v>181</v>
      </c>
      <c r="S7" s="183">
        <v>178.43</v>
      </c>
      <c r="T7" s="183">
        <v>14</v>
      </c>
      <c r="U7" s="187">
        <v>14</v>
      </c>
      <c r="V7" s="183">
        <v>201</v>
      </c>
      <c r="W7" s="187">
        <v>200.5</v>
      </c>
      <c r="X7" s="183">
        <v>6</v>
      </c>
      <c r="Y7" s="187">
        <v>1.45</v>
      </c>
      <c r="Z7" s="190">
        <f>SUM(R7,T7,V7,X7,)</f>
        <v>402</v>
      </c>
      <c r="AA7" s="190">
        <f>SUM(S7,U7,W7,Y7)</f>
        <v>394.38</v>
      </c>
      <c r="AB7" s="191">
        <f>P7+Z7</f>
        <v>4919</v>
      </c>
      <c r="AC7" s="192">
        <f>Q7+AA7</f>
        <v>4734.930596518786</v>
      </c>
      <c r="AD7" s="193">
        <v>13133528.405000001</v>
      </c>
      <c r="AE7" s="194">
        <v>225753.86</v>
      </c>
      <c r="AF7" s="194">
        <v>22590.34</v>
      </c>
      <c r="AG7" s="194">
        <v>66202.23</v>
      </c>
      <c r="AH7" s="194">
        <v>2572851.7024999997</v>
      </c>
      <c r="AI7" s="194">
        <v>1079812.2325000004</v>
      </c>
      <c r="AJ7" s="195">
        <f>SUM(AD7:AI7)</f>
        <v>17100738.770000003</v>
      </c>
      <c r="AK7" s="196">
        <v>3150356.79</v>
      </c>
      <c r="AL7" s="248">
        <v>-196470.92</v>
      </c>
      <c r="AM7" s="197">
        <f>SUM(AK7:AL7)</f>
        <v>2953885.87</v>
      </c>
      <c r="AN7" s="197">
        <f>SUM(AM7,AJ7)</f>
        <v>20054624.640000004</v>
      </c>
      <c r="AO7" s="198"/>
      <c r="AP7" s="198"/>
    </row>
    <row r="8" spans="1:42" ht="75">
      <c r="A8" s="182" t="s">
        <v>76</v>
      </c>
      <c r="B8" s="183" t="s">
        <v>51</v>
      </c>
      <c r="C8" s="182" t="s">
        <v>48</v>
      </c>
      <c r="D8" s="186">
        <v>13456</v>
      </c>
      <c r="E8" s="185">
        <v>11750.916428978991</v>
      </c>
      <c r="F8" s="186">
        <v>2894</v>
      </c>
      <c r="G8" s="185">
        <v>2705.1780293993934</v>
      </c>
      <c r="H8" s="186">
        <v>2516</v>
      </c>
      <c r="I8" s="185">
        <v>2335.4024954054007</v>
      </c>
      <c r="J8" s="186">
        <v>599</v>
      </c>
      <c r="K8" s="185">
        <v>584.7461758858855</v>
      </c>
      <c r="L8" s="186">
        <v>33</v>
      </c>
      <c r="M8" s="185">
        <v>33</v>
      </c>
      <c r="N8" s="183">
        <v>0</v>
      </c>
      <c r="O8" s="187">
        <v>0</v>
      </c>
      <c r="P8" s="188">
        <f aca="true" t="shared" si="0" ref="P8:Q19">SUM(D8,F8,H8,J8,L8,N8)</f>
        <v>19498</v>
      </c>
      <c r="Q8" s="189">
        <f t="shared" si="0"/>
        <v>17409.24312966967</v>
      </c>
      <c r="R8" s="183" t="s">
        <v>146</v>
      </c>
      <c r="S8" s="187">
        <v>762.7</v>
      </c>
      <c r="T8" s="183" t="s">
        <v>146</v>
      </c>
      <c r="U8" s="187" t="s">
        <v>146</v>
      </c>
      <c r="V8" s="183" t="s">
        <v>146</v>
      </c>
      <c r="W8" s="187" t="s">
        <v>146</v>
      </c>
      <c r="X8" s="183" t="s">
        <v>146</v>
      </c>
      <c r="Y8" s="187" t="s">
        <v>146</v>
      </c>
      <c r="Z8" s="190">
        <f aca="true" t="shared" si="1" ref="Z8:Z19">SUM(R8,T8,V8,X8,)</f>
        <v>0</v>
      </c>
      <c r="AA8" s="199">
        <f aca="true" t="shared" si="2" ref="AA8:AA19">SUM(S8,U8,W8,Y8)</f>
        <v>762.7</v>
      </c>
      <c r="AB8" s="191">
        <f aca="true" t="shared" si="3" ref="AB8:AC19">P8+Z8</f>
        <v>19498</v>
      </c>
      <c r="AC8" s="192">
        <f t="shared" si="3"/>
        <v>18171.94312966967</v>
      </c>
      <c r="AD8" s="193">
        <v>32971478.03</v>
      </c>
      <c r="AE8" s="194">
        <v>327305.53</v>
      </c>
      <c r="AF8" s="194">
        <v>61898.82</v>
      </c>
      <c r="AG8" s="194">
        <v>426678.9</v>
      </c>
      <c r="AH8" s="194">
        <v>5890932.54</v>
      </c>
      <c r="AI8" s="194">
        <v>2197992.53</v>
      </c>
      <c r="AJ8" s="195">
        <f aca="true" t="shared" si="4" ref="AJ8:AJ19">SUM(AD8:AI8)</f>
        <v>41876286.35</v>
      </c>
      <c r="AK8" s="196">
        <v>2224913</v>
      </c>
      <c r="AL8" s="196" t="s">
        <v>146</v>
      </c>
      <c r="AM8" s="197">
        <f aca="true" t="shared" si="5" ref="AM8:AM19">SUM(AK8:AL8)</f>
        <v>2224913</v>
      </c>
      <c r="AN8" s="197">
        <f aca="true" t="shared" si="6" ref="AN8:AN19">SUM(AM8,AJ8)</f>
        <v>44101199.35</v>
      </c>
      <c r="AO8" s="200" t="s">
        <v>122</v>
      </c>
      <c r="AP8" s="198"/>
    </row>
    <row r="9" spans="1:42" ht="30">
      <c r="A9" s="182" t="s">
        <v>55</v>
      </c>
      <c r="B9" s="183" t="s">
        <v>51</v>
      </c>
      <c r="C9" s="182" t="s">
        <v>48</v>
      </c>
      <c r="D9" s="183">
        <v>182</v>
      </c>
      <c r="E9" s="183">
        <v>160.49</v>
      </c>
      <c r="F9" s="183">
        <v>131</v>
      </c>
      <c r="G9" s="183">
        <v>125.38</v>
      </c>
      <c r="H9" s="183">
        <v>266</v>
      </c>
      <c r="I9" s="183">
        <v>258.1</v>
      </c>
      <c r="J9" s="183">
        <v>59</v>
      </c>
      <c r="K9" s="183">
        <v>58.33</v>
      </c>
      <c r="L9" s="183">
        <v>6</v>
      </c>
      <c r="M9" s="187">
        <v>6</v>
      </c>
      <c r="N9" s="183">
        <v>0</v>
      </c>
      <c r="O9" s="187">
        <v>0</v>
      </c>
      <c r="P9" s="188">
        <f t="shared" si="0"/>
        <v>644</v>
      </c>
      <c r="Q9" s="189">
        <f t="shared" si="0"/>
        <v>608.3000000000001</v>
      </c>
      <c r="R9" s="183">
        <v>5</v>
      </c>
      <c r="S9" s="187">
        <v>3</v>
      </c>
      <c r="T9" s="183">
        <v>0</v>
      </c>
      <c r="U9" s="187">
        <v>0</v>
      </c>
      <c r="V9" s="183">
        <v>18</v>
      </c>
      <c r="W9" s="187">
        <v>18</v>
      </c>
      <c r="X9" s="183">
        <v>0</v>
      </c>
      <c r="Y9" s="187">
        <v>0</v>
      </c>
      <c r="Z9" s="190">
        <f t="shared" si="1"/>
        <v>23</v>
      </c>
      <c r="AA9" s="199">
        <f t="shared" si="2"/>
        <v>21</v>
      </c>
      <c r="AB9" s="191">
        <f t="shared" si="3"/>
        <v>667</v>
      </c>
      <c r="AC9" s="192">
        <f t="shared" si="3"/>
        <v>629.3000000000001</v>
      </c>
      <c r="AD9" s="193">
        <v>1515823.38</v>
      </c>
      <c r="AE9" s="194">
        <v>8318.64</v>
      </c>
      <c r="AF9" s="194" t="s">
        <v>146</v>
      </c>
      <c r="AG9" s="194">
        <v>7953.64</v>
      </c>
      <c r="AH9" s="194">
        <v>271273.83</v>
      </c>
      <c r="AI9" s="194">
        <v>127434.39</v>
      </c>
      <c r="AJ9" s="195">
        <f t="shared" si="4"/>
        <v>1930803.8799999997</v>
      </c>
      <c r="AK9" s="196">
        <v>101391.38</v>
      </c>
      <c r="AL9" s="196" t="s">
        <v>146</v>
      </c>
      <c r="AM9" s="197">
        <f t="shared" si="5"/>
        <v>101391.38</v>
      </c>
      <c r="AN9" s="197">
        <f t="shared" si="6"/>
        <v>2032195.2599999998</v>
      </c>
      <c r="AO9" s="200"/>
      <c r="AP9" s="200"/>
    </row>
    <row r="10" spans="1:42" ht="75">
      <c r="A10" s="23" t="s">
        <v>56</v>
      </c>
      <c r="B10" s="183" t="s">
        <v>51</v>
      </c>
      <c r="C10" s="182" t="s">
        <v>48</v>
      </c>
      <c r="D10" s="183">
        <v>33178</v>
      </c>
      <c r="E10" s="185">
        <v>31615.37</v>
      </c>
      <c r="F10" s="183">
        <v>6076</v>
      </c>
      <c r="G10" s="185">
        <v>5816.34</v>
      </c>
      <c r="H10" s="183">
        <v>3618</v>
      </c>
      <c r="I10" s="185">
        <v>3390.07</v>
      </c>
      <c r="J10" s="183">
        <v>606</v>
      </c>
      <c r="K10" s="185">
        <v>591.58</v>
      </c>
      <c r="L10" s="183">
        <v>38</v>
      </c>
      <c r="M10" s="185">
        <v>37.88</v>
      </c>
      <c r="N10" s="183">
        <v>0</v>
      </c>
      <c r="O10" s="187">
        <v>0</v>
      </c>
      <c r="P10" s="188">
        <f t="shared" si="0"/>
        <v>43516</v>
      </c>
      <c r="Q10" s="189">
        <f t="shared" si="0"/>
        <v>41451.24</v>
      </c>
      <c r="R10" s="156" t="s">
        <v>146</v>
      </c>
      <c r="S10" s="156">
        <v>550.27</v>
      </c>
      <c r="T10" s="156" t="s">
        <v>146</v>
      </c>
      <c r="U10" s="156">
        <v>1.54</v>
      </c>
      <c r="V10" s="156" t="s">
        <v>146</v>
      </c>
      <c r="W10" s="156">
        <v>7.54</v>
      </c>
      <c r="X10" s="156" t="s">
        <v>146</v>
      </c>
      <c r="Y10" s="156">
        <v>4</v>
      </c>
      <c r="Z10" s="190">
        <f t="shared" si="1"/>
        <v>0</v>
      </c>
      <c r="AA10" s="190">
        <f t="shared" si="2"/>
        <v>563.3499999999999</v>
      </c>
      <c r="AB10" s="191">
        <f t="shared" si="3"/>
        <v>43516</v>
      </c>
      <c r="AC10" s="191">
        <f t="shared" si="3"/>
        <v>42014.59</v>
      </c>
      <c r="AD10" s="193">
        <v>97240178.69000001</v>
      </c>
      <c r="AE10" s="194">
        <v>0</v>
      </c>
      <c r="AF10" s="194">
        <v>0</v>
      </c>
      <c r="AG10" s="194">
        <v>3578600.96</v>
      </c>
      <c r="AH10" s="194">
        <v>18607573.68000001</v>
      </c>
      <c r="AI10" s="194">
        <v>7527238.639999997</v>
      </c>
      <c r="AJ10" s="195">
        <f t="shared" si="4"/>
        <v>126953591.97000001</v>
      </c>
      <c r="AK10" s="248">
        <v>-563518.39</v>
      </c>
      <c r="AL10" s="196">
        <v>55979.09</v>
      </c>
      <c r="AM10" s="197">
        <f t="shared" si="5"/>
        <v>-507539.30000000005</v>
      </c>
      <c r="AN10" s="197">
        <f t="shared" si="6"/>
        <v>126446052.67000002</v>
      </c>
      <c r="AO10" s="200" t="s">
        <v>122</v>
      </c>
      <c r="AP10" s="250"/>
    </row>
    <row r="11" spans="1:42" ht="132">
      <c r="A11" s="182" t="s">
        <v>58</v>
      </c>
      <c r="B11" s="183" t="s">
        <v>51</v>
      </c>
      <c r="C11" s="182" t="s">
        <v>48</v>
      </c>
      <c r="D11" s="186">
        <v>262</v>
      </c>
      <c r="E11" s="185">
        <v>246.6526754054054</v>
      </c>
      <c r="F11" s="186">
        <v>140</v>
      </c>
      <c r="G11" s="185">
        <v>132.60737</v>
      </c>
      <c r="H11" s="186">
        <v>67</v>
      </c>
      <c r="I11" s="185">
        <v>65.03377081081081</v>
      </c>
      <c r="J11" s="186">
        <v>11</v>
      </c>
      <c r="K11" s="185">
        <v>10.82222</v>
      </c>
      <c r="L11" s="186">
        <v>2</v>
      </c>
      <c r="M11" s="187">
        <v>1.7783799999999998</v>
      </c>
      <c r="N11" s="183">
        <v>0</v>
      </c>
      <c r="O11" s="187">
        <v>0</v>
      </c>
      <c r="P11" s="188">
        <f t="shared" si="0"/>
        <v>482</v>
      </c>
      <c r="Q11" s="189">
        <f t="shared" si="0"/>
        <v>456.89441621621626</v>
      </c>
      <c r="R11" s="183">
        <v>227</v>
      </c>
      <c r="S11" s="183">
        <v>171.52</v>
      </c>
      <c r="T11" s="183">
        <v>0</v>
      </c>
      <c r="U11" s="187">
        <v>0</v>
      </c>
      <c r="V11" s="183">
        <v>0</v>
      </c>
      <c r="W11" s="187">
        <v>0</v>
      </c>
      <c r="X11" s="183">
        <v>0</v>
      </c>
      <c r="Y11" s="187">
        <v>0</v>
      </c>
      <c r="Z11" s="190">
        <f t="shared" si="1"/>
        <v>227</v>
      </c>
      <c r="AA11" s="190">
        <f t="shared" si="2"/>
        <v>171.52</v>
      </c>
      <c r="AB11" s="191">
        <f t="shared" si="3"/>
        <v>709</v>
      </c>
      <c r="AC11" s="192">
        <f t="shared" si="3"/>
        <v>628.4144162162163</v>
      </c>
      <c r="AD11" s="193">
        <v>842423.62</v>
      </c>
      <c r="AE11" s="194">
        <v>11505.96</v>
      </c>
      <c r="AF11" s="194">
        <v>1030</v>
      </c>
      <c r="AG11" s="251">
        <v>-1839.94</v>
      </c>
      <c r="AH11" s="194">
        <v>146250.89</v>
      </c>
      <c r="AI11" s="194">
        <v>54685.72</v>
      </c>
      <c r="AJ11" s="195">
        <f t="shared" si="4"/>
        <v>1054056.25</v>
      </c>
      <c r="AK11" s="196">
        <v>262861.95</v>
      </c>
      <c r="AL11" s="196">
        <v>0</v>
      </c>
      <c r="AM11" s="197">
        <f t="shared" si="5"/>
        <v>262861.95</v>
      </c>
      <c r="AN11" s="197">
        <f t="shared" si="6"/>
        <v>1316918.2</v>
      </c>
      <c r="AO11" s="200" t="s">
        <v>143</v>
      </c>
      <c r="AP11" s="198"/>
    </row>
    <row r="12" spans="1:42" ht="264">
      <c r="A12" s="182" t="s">
        <v>62</v>
      </c>
      <c r="B12" s="183" t="s">
        <v>63</v>
      </c>
      <c r="C12" s="182" t="s">
        <v>48</v>
      </c>
      <c r="D12" s="183">
        <v>0</v>
      </c>
      <c r="E12" s="185">
        <v>0</v>
      </c>
      <c r="F12" s="183">
        <v>0</v>
      </c>
      <c r="G12" s="187">
        <v>0</v>
      </c>
      <c r="H12" s="183">
        <v>0</v>
      </c>
      <c r="I12" s="187">
        <v>0</v>
      </c>
      <c r="J12" s="183">
        <v>0</v>
      </c>
      <c r="K12" s="187">
        <v>0</v>
      </c>
      <c r="L12" s="183">
        <v>0</v>
      </c>
      <c r="M12" s="187">
        <v>0</v>
      </c>
      <c r="N12" s="183">
        <v>77</v>
      </c>
      <c r="O12" s="183">
        <v>69.98</v>
      </c>
      <c r="P12" s="188">
        <f t="shared" si="0"/>
        <v>77</v>
      </c>
      <c r="Q12" s="189">
        <f t="shared" si="0"/>
        <v>69.98</v>
      </c>
      <c r="R12" s="183">
        <v>4</v>
      </c>
      <c r="S12" s="187">
        <v>4</v>
      </c>
      <c r="T12" s="183">
        <v>4</v>
      </c>
      <c r="U12" s="187">
        <v>4</v>
      </c>
      <c r="V12" s="183">
        <v>0</v>
      </c>
      <c r="W12" s="187">
        <v>0</v>
      </c>
      <c r="X12" s="183">
        <v>0</v>
      </c>
      <c r="Y12" s="187">
        <v>0</v>
      </c>
      <c r="Z12" s="190">
        <f t="shared" si="1"/>
        <v>8</v>
      </c>
      <c r="AA12" s="199">
        <f t="shared" si="2"/>
        <v>8</v>
      </c>
      <c r="AB12" s="191">
        <f t="shared" si="3"/>
        <v>85</v>
      </c>
      <c r="AC12" s="192">
        <f t="shared" si="3"/>
        <v>77.98</v>
      </c>
      <c r="AD12" s="193">
        <v>200063</v>
      </c>
      <c r="AE12" s="194">
        <v>57</v>
      </c>
      <c r="AF12" s="194" t="s">
        <v>146</v>
      </c>
      <c r="AG12" s="194">
        <v>7784</v>
      </c>
      <c r="AH12" s="194">
        <v>35063</v>
      </c>
      <c r="AI12" s="194">
        <v>17690</v>
      </c>
      <c r="AJ12" s="195">
        <f t="shared" si="4"/>
        <v>260657</v>
      </c>
      <c r="AK12" s="196">
        <v>23638</v>
      </c>
      <c r="AL12" s="196" t="s">
        <v>146</v>
      </c>
      <c r="AM12" s="197">
        <f t="shared" si="5"/>
        <v>23638</v>
      </c>
      <c r="AN12" s="197">
        <f t="shared" si="6"/>
        <v>284295</v>
      </c>
      <c r="AO12" s="200" t="s">
        <v>64</v>
      </c>
      <c r="AP12" s="198"/>
    </row>
    <row r="13" spans="1:42" ht="75">
      <c r="A13" s="182" t="s">
        <v>66</v>
      </c>
      <c r="B13" s="183" t="s">
        <v>63</v>
      </c>
      <c r="C13" s="182" t="s">
        <v>48</v>
      </c>
      <c r="D13" s="183">
        <v>0</v>
      </c>
      <c r="E13" s="185">
        <v>0</v>
      </c>
      <c r="F13" s="183">
        <v>0</v>
      </c>
      <c r="G13" s="187">
        <v>0</v>
      </c>
      <c r="H13" s="183">
        <v>0</v>
      </c>
      <c r="I13" s="187">
        <v>0</v>
      </c>
      <c r="J13" s="183">
        <v>0</v>
      </c>
      <c r="K13" s="187">
        <v>0</v>
      </c>
      <c r="L13" s="183">
        <v>0</v>
      </c>
      <c r="M13" s="187">
        <v>0</v>
      </c>
      <c r="N13" s="183">
        <v>384</v>
      </c>
      <c r="O13" s="183">
        <v>361.33</v>
      </c>
      <c r="P13" s="188">
        <f t="shared" si="0"/>
        <v>384</v>
      </c>
      <c r="Q13" s="189">
        <f t="shared" si="0"/>
        <v>361.33</v>
      </c>
      <c r="R13" s="183">
        <v>12</v>
      </c>
      <c r="S13" s="187">
        <v>12</v>
      </c>
      <c r="T13" s="183">
        <v>0</v>
      </c>
      <c r="U13" s="187">
        <v>0</v>
      </c>
      <c r="V13" s="183">
        <v>0</v>
      </c>
      <c r="W13" s="187">
        <v>0</v>
      </c>
      <c r="X13" s="183">
        <v>0</v>
      </c>
      <c r="Y13" s="187">
        <v>0</v>
      </c>
      <c r="Z13" s="190">
        <f t="shared" si="1"/>
        <v>12</v>
      </c>
      <c r="AA13" s="199">
        <f t="shared" si="2"/>
        <v>12</v>
      </c>
      <c r="AB13" s="191">
        <f t="shared" si="3"/>
        <v>396</v>
      </c>
      <c r="AC13" s="192">
        <f t="shared" si="3"/>
        <v>373.33</v>
      </c>
      <c r="AD13" s="193">
        <v>835660.85</v>
      </c>
      <c r="AE13" s="194">
        <v>1335.49</v>
      </c>
      <c r="AF13" s="194">
        <v>27010.8</v>
      </c>
      <c r="AG13" s="194">
        <v>6023.98</v>
      </c>
      <c r="AH13" s="194">
        <v>151061.97</v>
      </c>
      <c r="AI13" s="194">
        <v>60629.05</v>
      </c>
      <c r="AJ13" s="195">
        <f t="shared" si="4"/>
        <v>1081722.14</v>
      </c>
      <c r="AK13" s="196">
        <v>27006.25</v>
      </c>
      <c r="AL13" s="196">
        <v>0</v>
      </c>
      <c r="AM13" s="197">
        <f t="shared" si="5"/>
        <v>27006.25</v>
      </c>
      <c r="AN13" s="197">
        <f t="shared" si="6"/>
        <v>1108728.39</v>
      </c>
      <c r="AO13" s="198"/>
      <c r="AP13" s="198"/>
    </row>
    <row r="14" spans="1:42" ht="75">
      <c r="A14" s="182" t="s">
        <v>67</v>
      </c>
      <c r="B14" s="183" t="s">
        <v>63</v>
      </c>
      <c r="C14" s="182" t="s">
        <v>48</v>
      </c>
      <c r="D14" s="183">
        <v>12</v>
      </c>
      <c r="E14" s="185">
        <v>11.54</v>
      </c>
      <c r="F14" s="183">
        <v>18</v>
      </c>
      <c r="G14" s="187">
        <v>16.94</v>
      </c>
      <c r="H14" s="183">
        <v>23</v>
      </c>
      <c r="I14" s="183">
        <v>22.69</v>
      </c>
      <c r="J14" s="183">
        <v>12</v>
      </c>
      <c r="K14" s="187">
        <v>11.2</v>
      </c>
      <c r="L14" s="183">
        <v>3</v>
      </c>
      <c r="M14" s="187">
        <v>3</v>
      </c>
      <c r="N14" s="183">
        <v>1</v>
      </c>
      <c r="O14" s="187">
        <v>0.4</v>
      </c>
      <c r="P14" s="188">
        <f t="shared" si="0"/>
        <v>69</v>
      </c>
      <c r="Q14" s="189">
        <f t="shared" si="0"/>
        <v>65.77000000000001</v>
      </c>
      <c r="R14" s="183">
        <v>5</v>
      </c>
      <c r="S14" s="187">
        <v>5</v>
      </c>
      <c r="T14" s="183">
        <v>0</v>
      </c>
      <c r="U14" s="187">
        <v>0</v>
      </c>
      <c r="V14" s="183">
        <v>0</v>
      </c>
      <c r="W14" s="187">
        <v>0</v>
      </c>
      <c r="X14" s="183">
        <v>0</v>
      </c>
      <c r="Y14" s="187">
        <v>0</v>
      </c>
      <c r="Z14" s="190">
        <f t="shared" si="1"/>
        <v>5</v>
      </c>
      <c r="AA14" s="199">
        <f t="shared" si="2"/>
        <v>5</v>
      </c>
      <c r="AB14" s="191">
        <f t="shared" si="3"/>
        <v>74</v>
      </c>
      <c r="AC14" s="192">
        <f t="shared" si="3"/>
        <v>70.77000000000001</v>
      </c>
      <c r="AD14" s="193">
        <v>175618.3</v>
      </c>
      <c r="AE14" s="194">
        <v>4171.12</v>
      </c>
      <c r="AF14" s="194">
        <v>650</v>
      </c>
      <c r="AG14" s="194" t="s">
        <v>146</v>
      </c>
      <c r="AH14" s="194">
        <v>35050.53</v>
      </c>
      <c r="AI14" s="194">
        <v>14551.35</v>
      </c>
      <c r="AJ14" s="195">
        <f t="shared" si="4"/>
        <v>230041.3</v>
      </c>
      <c r="AK14" s="196">
        <v>18003.85</v>
      </c>
      <c r="AL14" s="196" t="s">
        <v>146</v>
      </c>
      <c r="AM14" s="197">
        <f t="shared" si="5"/>
        <v>18003.85</v>
      </c>
      <c r="AN14" s="197">
        <f t="shared" si="6"/>
        <v>248045.15</v>
      </c>
      <c r="AO14" s="198"/>
      <c r="AP14" s="198"/>
    </row>
    <row r="15" spans="1:42" ht="409.5">
      <c r="A15" s="182" t="s">
        <v>68</v>
      </c>
      <c r="B15" s="183" t="s">
        <v>63</v>
      </c>
      <c r="C15" s="182" t="s">
        <v>48</v>
      </c>
      <c r="D15" s="183">
        <v>0</v>
      </c>
      <c r="E15" s="185">
        <v>0</v>
      </c>
      <c r="F15" s="183">
        <v>0</v>
      </c>
      <c r="G15" s="187">
        <v>0</v>
      </c>
      <c r="H15" s="183">
        <v>0</v>
      </c>
      <c r="I15" s="187">
        <v>0</v>
      </c>
      <c r="J15" s="183">
        <v>0</v>
      </c>
      <c r="K15" s="187">
        <v>0</v>
      </c>
      <c r="L15" s="183">
        <v>0</v>
      </c>
      <c r="M15" s="187">
        <v>0</v>
      </c>
      <c r="N15" s="183">
        <v>29</v>
      </c>
      <c r="O15" s="187">
        <v>28.8</v>
      </c>
      <c r="P15" s="188">
        <f t="shared" si="0"/>
        <v>29</v>
      </c>
      <c r="Q15" s="189">
        <f t="shared" si="0"/>
        <v>28.8</v>
      </c>
      <c r="R15" s="183">
        <v>0</v>
      </c>
      <c r="S15" s="187">
        <v>0</v>
      </c>
      <c r="T15" s="183">
        <v>0</v>
      </c>
      <c r="U15" s="187">
        <v>0</v>
      </c>
      <c r="V15" s="183">
        <v>0</v>
      </c>
      <c r="W15" s="187">
        <v>0</v>
      </c>
      <c r="X15" s="183">
        <v>0</v>
      </c>
      <c r="Y15" s="187">
        <v>0</v>
      </c>
      <c r="Z15" s="190">
        <f t="shared" si="1"/>
        <v>0</v>
      </c>
      <c r="AA15" s="199">
        <f t="shared" si="2"/>
        <v>0</v>
      </c>
      <c r="AB15" s="191">
        <f t="shared" si="3"/>
        <v>29</v>
      </c>
      <c r="AC15" s="192">
        <f t="shared" si="3"/>
        <v>28.8</v>
      </c>
      <c r="AD15" s="193">
        <v>131728.83</v>
      </c>
      <c r="AE15" s="194" t="s">
        <v>146</v>
      </c>
      <c r="AF15" s="194" t="s">
        <v>146</v>
      </c>
      <c r="AG15" s="194" t="s">
        <v>146</v>
      </c>
      <c r="AH15" s="194">
        <v>31011.39</v>
      </c>
      <c r="AI15" s="194">
        <v>16221.85</v>
      </c>
      <c r="AJ15" s="195">
        <f t="shared" si="4"/>
        <v>178962.06999999998</v>
      </c>
      <c r="AK15" s="196" t="s">
        <v>146</v>
      </c>
      <c r="AL15" s="196" t="s">
        <v>146</v>
      </c>
      <c r="AM15" s="197">
        <f t="shared" si="5"/>
        <v>0</v>
      </c>
      <c r="AN15" s="197">
        <f t="shared" si="6"/>
        <v>178962.06999999998</v>
      </c>
      <c r="AO15" s="200" t="s">
        <v>69</v>
      </c>
      <c r="AP15" s="200" t="s">
        <v>138</v>
      </c>
    </row>
    <row r="16" spans="1:42" ht="84">
      <c r="A16" s="182" t="s">
        <v>70</v>
      </c>
      <c r="B16" s="183" t="s">
        <v>63</v>
      </c>
      <c r="C16" s="182" t="s">
        <v>48</v>
      </c>
      <c r="D16" s="183">
        <v>859</v>
      </c>
      <c r="E16" s="183">
        <v>810.26</v>
      </c>
      <c r="F16" s="183">
        <v>273</v>
      </c>
      <c r="G16" s="183">
        <v>263.25</v>
      </c>
      <c r="H16" s="183">
        <v>409</v>
      </c>
      <c r="I16" s="183">
        <v>392.49</v>
      </c>
      <c r="J16" s="183">
        <v>121</v>
      </c>
      <c r="K16" s="183">
        <v>119.13</v>
      </c>
      <c r="L16" s="183">
        <v>11</v>
      </c>
      <c r="M16" s="187">
        <v>11</v>
      </c>
      <c r="N16" s="183">
        <v>7</v>
      </c>
      <c r="O16" s="187">
        <v>1.2</v>
      </c>
      <c r="P16" s="188">
        <f t="shared" si="0"/>
        <v>1680</v>
      </c>
      <c r="Q16" s="189">
        <f t="shared" si="0"/>
        <v>1597.3300000000002</v>
      </c>
      <c r="R16" s="183">
        <v>29</v>
      </c>
      <c r="S16" s="187">
        <v>27</v>
      </c>
      <c r="T16" s="183">
        <v>0</v>
      </c>
      <c r="U16" s="187">
        <v>0</v>
      </c>
      <c r="V16" s="183">
        <v>74</v>
      </c>
      <c r="W16" s="187">
        <v>74</v>
      </c>
      <c r="X16" s="183">
        <v>0</v>
      </c>
      <c r="Y16" s="187">
        <v>0</v>
      </c>
      <c r="Z16" s="190">
        <f t="shared" si="1"/>
        <v>103</v>
      </c>
      <c r="AA16" s="199">
        <f t="shared" si="2"/>
        <v>101</v>
      </c>
      <c r="AB16" s="191">
        <f t="shared" si="3"/>
        <v>1783</v>
      </c>
      <c r="AC16" s="192">
        <f t="shared" si="3"/>
        <v>1698.3300000000002</v>
      </c>
      <c r="AD16" s="193">
        <v>2570503.42</v>
      </c>
      <c r="AE16" s="194" t="s">
        <v>146</v>
      </c>
      <c r="AF16" s="194" t="s">
        <v>146</v>
      </c>
      <c r="AG16" s="194">
        <v>197529.01</v>
      </c>
      <c r="AH16" s="194" t="s">
        <v>146</v>
      </c>
      <c r="AI16" s="194">
        <v>203898.87</v>
      </c>
      <c r="AJ16" s="195">
        <f t="shared" si="4"/>
        <v>2971931.3</v>
      </c>
      <c r="AK16" s="196">
        <v>843589.2</v>
      </c>
      <c r="AL16" s="194" t="s">
        <v>146</v>
      </c>
      <c r="AM16" s="197">
        <f t="shared" si="5"/>
        <v>843589.2</v>
      </c>
      <c r="AN16" s="197">
        <f t="shared" si="6"/>
        <v>3815520.5</v>
      </c>
      <c r="AO16" s="198"/>
      <c r="AP16" s="200" t="s">
        <v>139</v>
      </c>
    </row>
    <row r="17" spans="1:42" ht="168">
      <c r="A17" s="182" t="s">
        <v>71</v>
      </c>
      <c r="B17" s="183" t="s">
        <v>63</v>
      </c>
      <c r="C17" s="182" t="s">
        <v>48</v>
      </c>
      <c r="D17" s="183">
        <v>21</v>
      </c>
      <c r="E17" s="183">
        <v>20.2</v>
      </c>
      <c r="F17" s="183">
        <v>43</v>
      </c>
      <c r="G17" s="183">
        <v>42.7</v>
      </c>
      <c r="H17" s="183">
        <v>17</v>
      </c>
      <c r="I17" s="183">
        <v>16.06</v>
      </c>
      <c r="J17" s="183">
        <v>5</v>
      </c>
      <c r="K17" s="187">
        <v>5</v>
      </c>
      <c r="L17" s="183">
        <v>2</v>
      </c>
      <c r="M17" s="187">
        <v>1.4</v>
      </c>
      <c r="N17" s="183">
        <v>0</v>
      </c>
      <c r="O17" s="187">
        <v>0</v>
      </c>
      <c r="P17" s="188">
        <f t="shared" si="0"/>
        <v>88</v>
      </c>
      <c r="Q17" s="189">
        <f t="shared" si="0"/>
        <v>85.36000000000001</v>
      </c>
      <c r="R17" s="183">
        <v>7</v>
      </c>
      <c r="S17" s="187">
        <v>7</v>
      </c>
      <c r="T17" s="183">
        <v>0</v>
      </c>
      <c r="U17" s="187">
        <v>0</v>
      </c>
      <c r="V17" s="183">
        <v>0</v>
      </c>
      <c r="W17" s="187">
        <v>0</v>
      </c>
      <c r="X17" s="183">
        <v>0</v>
      </c>
      <c r="Y17" s="187">
        <v>0</v>
      </c>
      <c r="Z17" s="190">
        <f t="shared" si="1"/>
        <v>7</v>
      </c>
      <c r="AA17" s="199">
        <f t="shared" si="2"/>
        <v>7</v>
      </c>
      <c r="AB17" s="191">
        <f t="shared" si="3"/>
        <v>95</v>
      </c>
      <c r="AC17" s="192">
        <f t="shared" si="3"/>
        <v>92.36000000000001</v>
      </c>
      <c r="AD17" s="193">
        <v>189138.69</v>
      </c>
      <c r="AE17" s="194">
        <v>21065.45</v>
      </c>
      <c r="AF17" s="194" t="s">
        <v>146</v>
      </c>
      <c r="AG17" s="194">
        <v>2460.49</v>
      </c>
      <c r="AH17" s="194">
        <v>33314.28</v>
      </c>
      <c r="AI17" s="194">
        <v>17537.34</v>
      </c>
      <c r="AJ17" s="195">
        <f t="shared" si="4"/>
        <v>263516.25</v>
      </c>
      <c r="AK17" s="196">
        <v>26728</v>
      </c>
      <c r="AL17" s="194" t="s">
        <v>146</v>
      </c>
      <c r="AM17" s="197">
        <f t="shared" si="5"/>
        <v>26728</v>
      </c>
      <c r="AN17" s="197">
        <f t="shared" si="6"/>
        <v>290244.25</v>
      </c>
      <c r="AO17" s="200" t="s">
        <v>144</v>
      </c>
      <c r="AP17" s="198"/>
    </row>
    <row r="18" spans="1:42" ht="409.5">
      <c r="A18" s="156" t="s">
        <v>72</v>
      </c>
      <c r="B18" s="156" t="s">
        <v>63</v>
      </c>
      <c r="C18" s="156" t="s">
        <v>48</v>
      </c>
      <c r="D18" s="156">
        <v>0</v>
      </c>
      <c r="E18" s="156">
        <v>0</v>
      </c>
      <c r="F18" s="156">
        <v>0</v>
      </c>
      <c r="G18" s="156">
        <v>0</v>
      </c>
      <c r="H18" s="156">
        <v>0</v>
      </c>
      <c r="I18" s="156">
        <v>0</v>
      </c>
      <c r="J18" s="156">
        <v>0</v>
      </c>
      <c r="K18" s="156">
        <v>0</v>
      </c>
      <c r="L18" s="156">
        <v>0</v>
      </c>
      <c r="M18" s="156">
        <v>0</v>
      </c>
      <c r="N18" s="156">
        <v>18359</v>
      </c>
      <c r="O18" s="156">
        <v>16552</v>
      </c>
      <c r="P18" s="188">
        <f t="shared" si="0"/>
        <v>18359</v>
      </c>
      <c r="Q18" s="189">
        <f t="shared" si="0"/>
        <v>16552</v>
      </c>
      <c r="R18" s="156">
        <v>1376</v>
      </c>
      <c r="S18" s="156">
        <v>1376</v>
      </c>
      <c r="T18" s="156">
        <v>8</v>
      </c>
      <c r="U18" s="156">
        <v>8</v>
      </c>
      <c r="V18" s="156">
        <v>0</v>
      </c>
      <c r="W18" s="156">
        <v>0</v>
      </c>
      <c r="X18" s="156">
        <v>0</v>
      </c>
      <c r="Y18" s="156">
        <v>0</v>
      </c>
      <c r="Z18" s="190">
        <f t="shared" si="1"/>
        <v>1384</v>
      </c>
      <c r="AA18" s="203">
        <f t="shared" si="2"/>
        <v>1384</v>
      </c>
      <c r="AB18" s="191">
        <f t="shared" si="3"/>
        <v>19743</v>
      </c>
      <c r="AC18" s="192">
        <f t="shared" si="3"/>
        <v>17936</v>
      </c>
      <c r="AD18" s="194" t="s">
        <v>146</v>
      </c>
      <c r="AE18" s="194" t="s">
        <v>146</v>
      </c>
      <c r="AF18" s="194" t="s">
        <v>146</v>
      </c>
      <c r="AG18" s="194" t="s">
        <v>146</v>
      </c>
      <c r="AH18" s="194" t="s">
        <v>146</v>
      </c>
      <c r="AI18" s="194" t="s">
        <v>146</v>
      </c>
      <c r="AJ18" s="195">
        <f t="shared" si="4"/>
        <v>0</v>
      </c>
      <c r="AK18" s="194" t="s">
        <v>146</v>
      </c>
      <c r="AL18" s="194" t="s">
        <v>146</v>
      </c>
      <c r="AM18" s="197">
        <f t="shared" si="5"/>
        <v>0</v>
      </c>
      <c r="AN18" s="197">
        <f t="shared" si="6"/>
        <v>0</v>
      </c>
      <c r="AO18" s="252" t="s">
        <v>145</v>
      </c>
      <c r="AP18" s="253" t="s">
        <v>141</v>
      </c>
    </row>
    <row r="19" spans="1:42" ht="90">
      <c r="A19" s="183" t="s">
        <v>124</v>
      </c>
      <c r="B19" s="183" t="s">
        <v>63</v>
      </c>
      <c r="C19" s="205" t="s">
        <v>48</v>
      </c>
      <c r="D19" s="183">
        <v>15</v>
      </c>
      <c r="E19" s="183">
        <v>14.35</v>
      </c>
      <c r="F19" s="183">
        <v>44</v>
      </c>
      <c r="G19" s="183">
        <v>42.66</v>
      </c>
      <c r="H19" s="183">
        <v>108</v>
      </c>
      <c r="I19" s="183">
        <v>104.37</v>
      </c>
      <c r="J19" s="183">
        <v>40</v>
      </c>
      <c r="K19" s="185">
        <v>38.86</v>
      </c>
      <c r="L19" s="183">
        <v>4</v>
      </c>
      <c r="M19" s="185">
        <v>3.6</v>
      </c>
      <c r="N19" s="183">
        <v>0</v>
      </c>
      <c r="O19" s="185">
        <v>0</v>
      </c>
      <c r="P19" s="188">
        <f t="shared" si="0"/>
        <v>211</v>
      </c>
      <c r="Q19" s="189">
        <f t="shared" si="0"/>
        <v>203.84</v>
      </c>
      <c r="R19" s="183">
        <v>2</v>
      </c>
      <c r="S19" s="187">
        <v>2</v>
      </c>
      <c r="T19" s="183">
        <v>0</v>
      </c>
      <c r="U19" s="187">
        <v>0</v>
      </c>
      <c r="V19" s="183">
        <v>4</v>
      </c>
      <c r="W19" s="187">
        <v>3.8</v>
      </c>
      <c r="X19" s="183">
        <v>0</v>
      </c>
      <c r="Y19" s="187">
        <v>0</v>
      </c>
      <c r="Z19" s="190">
        <f t="shared" si="1"/>
        <v>6</v>
      </c>
      <c r="AA19" s="199">
        <f t="shared" si="2"/>
        <v>5.8</v>
      </c>
      <c r="AB19" s="191">
        <f t="shared" si="3"/>
        <v>217</v>
      </c>
      <c r="AC19" s="192">
        <f t="shared" si="3"/>
        <v>209.64000000000001</v>
      </c>
      <c r="AD19" s="193">
        <v>653126.75</v>
      </c>
      <c r="AE19" s="194">
        <v>51916.45</v>
      </c>
      <c r="AF19" s="194">
        <v>790.74</v>
      </c>
      <c r="AG19" s="194">
        <v>3396.75</v>
      </c>
      <c r="AH19" s="194">
        <v>132722.31</v>
      </c>
      <c r="AI19" s="194">
        <v>61698.04</v>
      </c>
      <c r="AJ19" s="195">
        <f t="shared" si="4"/>
        <v>903651.04</v>
      </c>
      <c r="AK19" s="196">
        <v>27578.86</v>
      </c>
      <c r="AL19" s="194" t="s">
        <v>146</v>
      </c>
      <c r="AM19" s="197">
        <f t="shared" si="5"/>
        <v>27578.86</v>
      </c>
      <c r="AN19" s="197">
        <f t="shared" si="6"/>
        <v>931229.9</v>
      </c>
      <c r="AO19" s="198"/>
      <c r="AP19" s="198"/>
    </row>
  </sheetData>
  <mergeCells count="32">
    <mergeCell ref="AJ5:AJ6"/>
    <mergeCell ref="AK5:AK6"/>
    <mergeCell ref="AL5:AL6"/>
    <mergeCell ref="AM5:AM6"/>
    <mergeCell ref="AF5:AF6"/>
    <mergeCell ref="AG5:AG6"/>
    <mergeCell ref="AH5:AH6"/>
    <mergeCell ref="AI5:AI6"/>
    <mergeCell ref="AN4:AN6"/>
    <mergeCell ref="AO4:AO6"/>
    <mergeCell ref="D5:E5"/>
    <mergeCell ref="F5:G5"/>
    <mergeCell ref="H5:I5"/>
    <mergeCell ref="J5:K5"/>
    <mergeCell ref="L5:M5"/>
    <mergeCell ref="N5:O5"/>
    <mergeCell ref="P5:Q5"/>
    <mergeCell ref="R5:S5"/>
    <mergeCell ref="R4:AA4"/>
    <mergeCell ref="AB4:AC5"/>
    <mergeCell ref="AD4:AJ4"/>
    <mergeCell ref="AK4:AM4"/>
    <mergeCell ref="T5:U5"/>
    <mergeCell ref="V5:W5"/>
    <mergeCell ref="X5:Y5"/>
    <mergeCell ref="Z5:AA5"/>
    <mergeCell ref="AD5:AD6"/>
    <mergeCell ref="AE5:AE6"/>
    <mergeCell ref="A4:A6"/>
    <mergeCell ref="B4:B6"/>
    <mergeCell ref="C4:C6"/>
    <mergeCell ref="D4:Q4"/>
  </mergeCells>
  <conditionalFormatting sqref="B7:B17 B19">
    <cfRule type="expression" priority="1" dxfId="22" stopIfTrue="1">
      <formula>AND(NOT(ISBLANK($A7)),ISBLANK(B7))</formula>
    </cfRule>
  </conditionalFormatting>
  <conditionalFormatting sqref="C7:C17 C19">
    <cfRule type="expression" priority="2" dxfId="22" stopIfTrue="1">
      <formula>AND(NOT(ISBLANK(A7)),ISBLANK(C7))</formula>
    </cfRule>
  </conditionalFormatting>
  <conditionalFormatting sqref="F7:F19 R7:R19 X7:X19 T7:T19 V7:V19 H7:H19 J7:J19 L7:L19 D7:D19 N7:N19 A18:C18">
    <cfRule type="expression" priority="3" dxfId="22" stopIfTrue="1">
      <formula>AND(NOT(ISBLANK(B7)),ISBLANK(A7))</formula>
    </cfRule>
  </conditionalFormatting>
  <conditionalFormatting sqref="G7:G19 S7:S19 Y7:Y19 U7:U19 W7:W19 I7:I19 K7:K19 M7:M19 E7:E19 O7:O19">
    <cfRule type="expression" priority="4" dxfId="22" stopIfTrue="1">
      <formula>AND(NOT(ISBLANK(D7)),ISBLANK(E7))</formula>
    </cfRule>
  </conditionalFormatting>
  <dataValidations count="8">
    <dataValidation type="custom" allowBlank="1" showInputMessage="1" showErrorMessage="1" errorTitle="FTE" error="The value entered in the FTE field must be less than or equal to the value entered in the headcount field." sqref="E7:E18 S7:S18 U7:U18 W7:W18 Y7:Y18 M7:M18 K7:K18 I7:I18 G7:G18 O7:O18">
      <formula1>E7&lt;=D7</formula1>
    </dataValidation>
    <dataValidation type="custom" allowBlank="1" showInputMessage="1" showErrorMessage="1" errorTitle="Headcount" error="The value entered in the headcount field must be greater than or equal to the value entered in the FTE field." sqref="D7:D18 R7:R18 T7:T18 V7:V18 X7:X18 F7:F18 L7:L18 J7:J18 H7:H18 N7:N18">
      <formula1>D7&gt;=E7</formula1>
    </dataValidation>
    <dataValidation operator="lessThanOrEqual" allowBlank="1" showInputMessage="1" showErrorMessage="1" error="FTE cannot be greater than Headcount&#10;" sqref="AO4 AB4 R4 A4:C4 P5 AB6:AC19 P7:Q19 AO7:AP17 AO19:AP19"/>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19">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19">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19">
      <formula1>INDIRECT("Main_Department")</formula1>
    </dataValidation>
    <dataValidation type="decimal" operator="greaterThanOrEqual" allowBlank="1" showInputMessage="1" showErrorMessage="1" sqref="AK7:AK18 AD7:AI18 AL7:AL19">
      <formula1>0</formula1>
    </dataValidation>
    <dataValidation type="decimal" operator="greaterThan" allowBlank="1" showInputMessage="1" showErrorMessage="1" sqref="AD19:AI19">
      <formula1>0</formula1>
    </dataValidation>
  </dataValidations>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1:AO19"/>
  <sheetViews>
    <sheetView workbookViewId="0" topLeftCell="A1">
      <selection activeCell="I10" sqref="I10"/>
    </sheetView>
  </sheetViews>
  <sheetFormatPr defaultColWidth="8.88671875" defaultRowHeight="15"/>
  <cols>
    <col min="2" max="2" width="10.77734375" style="0" customWidth="1"/>
    <col min="3" max="3" width="10.10546875" style="0" customWidth="1"/>
    <col min="30" max="30" width="13.4453125" style="0" bestFit="1" customWidth="1"/>
    <col min="31" max="31" width="10.88671875" style="0" bestFit="1" customWidth="1"/>
    <col min="32" max="32" width="33.21484375" style="0" bestFit="1" customWidth="1"/>
    <col min="33" max="33" width="12.4453125" style="0" customWidth="1"/>
    <col min="34" max="34" width="14.21484375" style="0" customWidth="1"/>
    <col min="35" max="35" width="13.6640625" style="0" customWidth="1"/>
    <col min="36" max="36" width="14.21484375" style="0" customWidth="1"/>
    <col min="37" max="37" width="12.4453125" style="0" customWidth="1"/>
    <col min="38" max="38" width="15.3359375" style="0" customWidth="1"/>
    <col min="39" max="39" width="15.77734375" style="0" customWidth="1"/>
    <col min="40" max="40" width="12.4453125" style="0" customWidth="1"/>
  </cols>
  <sheetData>
    <row r="1" spans="1:41" ht="15">
      <c r="A1" s="2" t="s">
        <v>92</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row>
    <row r="2" spans="1:41" ht="15">
      <c r="A2" s="24" t="s">
        <v>93</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row>
    <row r="3" spans="1:41" ht="15">
      <c r="A3" s="24" t="s">
        <v>94</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row>
    <row r="4" spans="1:41" ht="15">
      <c r="A4" s="313" t="s">
        <v>26</v>
      </c>
      <c r="B4" s="328" t="s">
        <v>15</v>
      </c>
      <c r="C4" s="328" t="s">
        <v>14</v>
      </c>
      <c r="D4" s="315" t="s">
        <v>22</v>
      </c>
      <c r="E4" s="329"/>
      <c r="F4" s="329"/>
      <c r="G4" s="329"/>
      <c r="H4" s="329"/>
      <c r="I4" s="329"/>
      <c r="J4" s="329"/>
      <c r="K4" s="329"/>
      <c r="L4" s="329"/>
      <c r="M4" s="329"/>
      <c r="N4" s="329"/>
      <c r="O4" s="329"/>
      <c r="P4" s="329"/>
      <c r="Q4" s="316"/>
      <c r="R4" s="303" t="s">
        <v>29</v>
      </c>
      <c r="S4" s="304"/>
      <c r="T4" s="304"/>
      <c r="U4" s="304"/>
      <c r="V4" s="304"/>
      <c r="W4" s="304"/>
      <c r="X4" s="304"/>
      <c r="Y4" s="304"/>
      <c r="Z4" s="304"/>
      <c r="AA4" s="305"/>
      <c r="AB4" s="306" t="s">
        <v>39</v>
      </c>
      <c r="AC4" s="307"/>
      <c r="AD4" s="310" t="s">
        <v>25</v>
      </c>
      <c r="AE4" s="311"/>
      <c r="AF4" s="311"/>
      <c r="AG4" s="311"/>
      <c r="AH4" s="311"/>
      <c r="AI4" s="311"/>
      <c r="AJ4" s="312"/>
      <c r="AK4" s="322" t="s">
        <v>115</v>
      </c>
      <c r="AL4" s="323"/>
      <c r="AM4" s="323"/>
      <c r="AN4" s="318" t="s">
        <v>38</v>
      </c>
      <c r="AO4" s="313" t="s">
        <v>126</v>
      </c>
    </row>
    <row r="5" spans="1:41" ht="15">
      <c r="A5" s="326"/>
      <c r="B5" s="326"/>
      <c r="C5" s="326"/>
      <c r="D5" s="324" t="s">
        <v>116</v>
      </c>
      <c r="E5" s="325"/>
      <c r="F5" s="324" t="s">
        <v>117</v>
      </c>
      <c r="G5" s="325"/>
      <c r="H5" s="324" t="s">
        <v>118</v>
      </c>
      <c r="I5" s="325"/>
      <c r="J5" s="324" t="s">
        <v>20</v>
      </c>
      <c r="K5" s="325"/>
      <c r="L5" s="324" t="s">
        <v>119</v>
      </c>
      <c r="M5" s="325"/>
      <c r="N5" s="324" t="s">
        <v>19</v>
      </c>
      <c r="O5" s="325"/>
      <c r="P5" s="315" t="s">
        <v>23</v>
      </c>
      <c r="Q5" s="316"/>
      <c r="R5" s="315" t="s">
        <v>27</v>
      </c>
      <c r="S5" s="305"/>
      <c r="T5" s="303" t="s">
        <v>17</v>
      </c>
      <c r="U5" s="305"/>
      <c r="V5" s="303" t="s">
        <v>18</v>
      </c>
      <c r="W5" s="305"/>
      <c r="X5" s="303" t="s">
        <v>28</v>
      </c>
      <c r="Y5" s="305"/>
      <c r="Z5" s="315" t="s">
        <v>24</v>
      </c>
      <c r="AA5" s="316"/>
      <c r="AB5" s="308"/>
      <c r="AC5" s="309"/>
      <c r="AD5" s="313" t="s">
        <v>31</v>
      </c>
      <c r="AE5" s="313" t="s">
        <v>30</v>
      </c>
      <c r="AF5" s="313" t="s">
        <v>32</v>
      </c>
      <c r="AG5" s="313" t="s">
        <v>33</v>
      </c>
      <c r="AH5" s="313" t="s">
        <v>34</v>
      </c>
      <c r="AI5" s="313" t="s">
        <v>35</v>
      </c>
      <c r="AJ5" s="317" t="s">
        <v>37</v>
      </c>
      <c r="AK5" s="313" t="s">
        <v>120</v>
      </c>
      <c r="AL5" s="313" t="s">
        <v>121</v>
      </c>
      <c r="AM5" s="313" t="s">
        <v>36</v>
      </c>
      <c r="AN5" s="319"/>
      <c r="AO5" s="321"/>
    </row>
    <row r="6" spans="1:41" ht="60">
      <c r="A6" s="327"/>
      <c r="B6" s="327"/>
      <c r="C6" s="327"/>
      <c r="D6" s="175" t="s">
        <v>16</v>
      </c>
      <c r="E6" s="175" t="s">
        <v>21</v>
      </c>
      <c r="F6" s="175" t="s">
        <v>16</v>
      </c>
      <c r="G6" s="175" t="s">
        <v>21</v>
      </c>
      <c r="H6" s="175" t="s">
        <v>16</v>
      </c>
      <c r="I6" s="175" t="s">
        <v>21</v>
      </c>
      <c r="J6" s="175" t="s">
        <v>16</v>
      </c>
      <c r="K6" s="175" t="s">
        <v>21</v>
      </c>
      <c r="L6" s="175" t="s">
        <v>16</v>
      </c>
      <c r="M6" s="175" t="s">
        <v>21</v>
      </c>
      <c r="N6" s="175" t="s">
        <v>16</v>
      </c>
      <c r="O6" s="175" t="s">
        <v>21</v>
      </c>
      <c r="P6" s="175" t="s">
        <v>16</v>
      </c>
      <c r="Q6" s="175" t="s">
        <v>21</v>
      </c>
      <c r="R6" s="174" t="s">
        <v>16</v>
      </c>
      <c r="S6" s="174" t="s">
        <v>21</v>
      </c>
      <c r="T6" s="174" t="s">
        <v>16</v>
      </c>
      <c r="U6" s="174" t="s">
        <v>21</v>
      </c>
      <c r="V6" s="174" t="s">
        <v>16</v>
      </c>
      <c r="W6" s="174" t="s">
        <v>21</v>
      </c>
      <c r="X6" s="174" t="s">
        <v>16</v>
      </c>
      <c r="Y6" s="174" t="s">
        <v>21</v>
      </c>
      <c r="Z6" s="174" t="s">
        <v>16</v>
      </c>
      <c r="AA6" s="174" t="s">
        <v>21</v>
      </c>
      <c r="AB6" s="177" t="s">
        <v>16</v>
      </c>
      <c r="AC6" s="176" t="s">
        <v>21</v>
      </c>
      <c r="AD6" s="314"/>
      <c r="AE6" s="314"/>
      <c r="AF6" s="314"/>
      <c r="AG6" s="314"/>
      <c r="AH6" s="314"/>
      <c r="AI6" s="314"/>
      <c r="AJ6" s="317"/>
      <c r="AK6" s="314"/>
      <c r="AL6" s="314"/>
      <c r="AM6" s="314"/>
      <c r="AN6" s="320"/>
      <c r="AO6" s="314"/>
    </row>
    <row r="7" spans="1:41" ht="45">
      <c r="A7" s="182" t="s">
        <v>48</v>
      </c>
      <c r="B7" s="183" t="s">
        <v>49</v>
      </c>
      <c r="C7" s="182" t="s">
        <v>48</v>
      </c>
      <c r="D7" s="184">
        <v>984</v>
      </c>
      <c r="E7" s="185">
        <v>914.8924415137117</v>
      </c>
      <c r="F7" s="186">
        <v>934</v>
      </c>
      <c r="G7" s="185">
        <v>896.1558201070409</v>
      </c>
      <c r="H7" s="186">
        <v>1671</v>
      </c>
      <c r="I7" s="185">
        <v>1623.5077027790855</v>
      </c>
      <c r="J7" s="186">
        <v>796</v>
      </c>
      <c r="K7" s="185">
        <v>775.1189581820846</v>
      </c>
      <c r="L7" s="186">
        <v>122</v>
      </c>
      <c r="M7" s="185">
        <v>119.40063777777777</v>
      </c>
      <c r="N7" s="183">
        <v>0</v>
      </c>
      <c r="O7" s="187">
        <v>0</v>
      </c>
      <c r="P7" s="188">
        <f>SUM(D7,F7,H7,J7,L7,N7)</f>
        <v>4507</v>
      </c>
      <c r="Q7" s="189">
        <f>SUM(E7,G7,I7,K7,M7,O7)</f>
        <v>4329.075560359701</v>
      </c>
      <c r="R7" s="183">
        <v>186</v>
      </c>
      <c r="S7" s="183">
        <v>184.34</v>
      </c>
      <c r="T7" s="183">
        <v>16</v>
      </c>
      <c r="U7" s="187">
        <v>16</v>
      </c>
      <c r="V7" s="183">
        <v>214</v>
      </c>
      <c r="W7" s="187">
        <v>213.5</v>
      </c>
      <c r="X7" s="183">
        <v>4</v>
      </c>
      <c r="Y7" s="187">
        <v>1.45</v>
      </c>
      <c r="Z7" s="190">
        <f>SUM(R7,T7,V7,X7,)</f>
        <v>420</v>
      </c>
      <c r="AA7" s="190">
        <f>SUM(S7,U7,W7,Y7)</f>
        <v>415.29</v>
      </c>
      <c r="AB7" s="191">
        <f>P7+Z7</f>
        <v>4927</v>
      </c>
      <c r="AC7" s="192">
        <f>Q7+AA7</f>
        <v>4744.365560359701</v>
      </c>
      <c r="AD7" s="193">
        <v>12975033.650000002</v>
      </c>
      <c r="AE7" s="194">
        <v>228891.38</v>
      </c>
      <c r="AF7" s="194">
        <v>26147.68</v>
      </c>
      <c r="AG7" s="194">
        <v>91573.04</v>
      </c>
      <c r="AH7" s="194">
        <v>2571053.48</v>
      </c>
      <c r="AI7" s="194">
        <v>1082061.07</v>
      </c>
      <c r="AJ7" s="195">
        <f>SUM(AD7:AI7)</f>
        <v>16974760.3</v>
      </c>
      <c r="AK7" s="196">
        <v>3003783.83</v>
      </c>
      <c r="AL7" s="196">
        <v>317909.68</v>
      </c>
      <c r="AM7" s="197">
        <f>SUM(AK7:AL7)</f>
        <v>3321693.5100000002</v>
      </c>
      <c r="AN7" s="197">
        <f>SUM(AM7,AJ7)</f>
        <v>20296453.810000002</v>
      </c>
      <c r="AO7" s="246"/>
    </row>
    <row r="8" spans="1:41" ht="75">
      <c r="A8" s="182" t="s">
        <v>76</v>
      </c>
      <c r="B8" s="183" t="s">
        <v>51</v>
      </c>
      <c r="C8" s="182" t="s">
        <v>48</v>
      </c>
      <c r="D8" s="186">
        <v>13507</v>
      </c>
      <c r="E8" s="185">
        <v>11796.933472642737</v>
      </c>
      <c r="F8" s="186">
        <v>2910</v>
      </c>
      <c r="G8" s="185">
        <v>2716.672013993985</v>
      </c>
      <c r="H8" s="186">
        <v>2520</v>
      </c>
      <c r="I8" s="185">
        <v>2338.0813551351284</v>
      </c>
      <c r="J8" s="186">
        <v>605</v>
      </c>
      <c r="K8" s="185">
        <v>590.2808086486486</v>
      </c>
      <c r="L8" s="186">
        <v>33</v>
      </c>
      <c r="M8" s="185">
        <v>32.97297297297297</v>
      </c>
      <c r="N8" s="183">
        <v>0</v>
      </c>
      <c r="O8" s="185">
        <v>0</v>
      </c>
      <c r="P8" s="188">
        <f aca="true" t="shared" si="0" ref="P8:Q19">SUM(D8,F8,H8,J8,L8,N8)</f>
        <v>19575</v>
      </c>
      <c r="Q8" s="189">
        <f t="shared" si="0"/>
        <v>17474.94062339347</v>
      </c>
      <c r="R8" s="183" t="s">
        <v>90</v>
      </c>
      <c r="S8" s="187">
        <v>673.8</v>
      </c>
      <c r="T8" s="183">
        <v>0</v>
      </c>
      <c r="U8" s="187">
        <v>0</v>
      </c>
      <c r="V8" s="183">
        <v>0</v>
      </c>
      <c r="W8" s="187">
        <v>0</v>
      </c>
      <c r="X8" s="183">
        <v>0</v>
      </c>
      <c r="Y8" s="187">
        <v>0</v>
      </c>
      <c r="Z8" s="190">
        <f aca="true" t="shared" si="1" ref="Z8:Z19">SUM(R8,T8,V8,X8,)</f>
        <v>0</v>
      </c>
      <c r="AA8" s="199">
        <f aca="true" t="shared" si="2" ref="AA8:AA19">SUM(S8,U8,W8,Y8)</f>
        <v>673.8</v>
      </c>
      <c r="AB8" s="191">
        <f aca="true" t="shared" si="3" ref="AB8:AC19">P8+Z8</f>
        <v>19575</v>
      </c>
      <c r="AC8" s="192">
        <f t="shared" si="3"/>
        <v>18148.74062339347</v>
      </c>
      <c r="AD8" s="193">
        <v>33311984.63</v>
      </c>
      <c r="AE8" s="194">
        <v>369969.92</v>
      </c>
      <c r="AF8" s="194">
        <v>154327.89</v>
      </c>
      <c r="AG8" s="194">
        <v>581027.84</v>
      </c>
      <c r="AH8" s="194">
        <v>6044704.59</v>
      </c>
      <c r="AI8" s="194">
        <v>2228268.6</v>
      </c>
      <c r="AJ8" s="195">
        <f aca="true" t="shared" si="4" ref="AJ8:AJ19">SUM(AD8:AI8)</f>
        <v>42690283.470000006</v>
      </c>
      <c r="AK8" s="196">
        <v>1743966.12</v>
      </c>
      <c r="AL8" s="196" t="s">
        <v>90</v>
      </c>
      <c r="AM8" s="197">
        <f aca="true" t="shared" si="5" ref="AM8:AM19">SUM(AK8:AL8)</f>
        <v>1743966.12</v>
      </c>
      <c r="AN8" s="197">
        <f aca="true" t="shared" si="6" ref="AN8:AN19">SUM(AM8,AJ8)</f>
        <v>44434249.59</v>
      </c>
      <c r="AO8" s="246" t="s">
        <v>122</v>
      </c>
    </row>
    <row r="9" spans="1:41" ht="30">
      <c r="A9" s="182" t="s">
        <v>55</v>
      </c>
      <c r="B9" s="183" t="s">
        <v>51</v>
      </c>
      <c r="C9" s="182" t="s">
        <v>48</v>
      </c>
      <c r="D9" s="183">
        <v>187</v>
      </c>
      <c r="E9" s="183">
        <v>166.16</v>
      </c>
      <c r="F9" s="183">
        <v>129</v>
      </c>
      <c r="G9" s="183">
        <v>123.38</v>
      </c>
      <c r="H9" s="183">
        <v>265</v>
      </c>
      <c r="I9" s="183">
        <v>256.67</v>
      </c>
      <c r="J9" s="183">
        <v>59</v>
      </c>
      <c r="K9" s="183">
        <v>58.33</v>
      </c>
      <c r="L9" s="183">
        <v>6</v>
      </c>
      <c r="M9" s="187">
        <v>6</v>
      </c>
      <c r="N9" s="183">
        <v>0</v>
      </c>
      <c r="O9" s="187">
        <v>0</v>
      </c>
      <c r="P9" s="188">
        <f t="shared" si="0"/>
        <v>646</v>
      </c>
      <c r="Q9" s="189">
        <f t="shared" si="0"/>
        <v>610.5400000000001</v>
      </c>
      <c r="R9" s="183">
        <v>5</v>
      </c>
      <c r="S9" s="187">
        <v>3</v>
      </c>
      <c r="T9" s="183">
        <v>0</v>
      </c>
      <c r="U9" s="187">
        <v>0</v>
      </c>
      <c r="V9" s="183">
        <v>18</v>
      </c>
      <c r="W9" s="187">
        <v>18</v>
      </c>
      <c r="X9" s="183">
        <v>0</v>
      </c>
      <c r="Y9" s="187">
        <v>0</v>
      </c>
      <c r="Z9" s="190">
        <f t="shared" si="1"/>
        <v>23</v>
      </c>
      <c r="AA9" s="199">
        <f t="shared" si="2"/>
        <v>21</v>
      </c>
      <c r="AB9" s="191">
        <f t="shared" si="3"/>
        <v>669</v>
      </c>
      <c r="AC9" s="192">
        <f t="shared" si="3"/>
        <v>631.5400000000001</v>
      </c>
      <c r="AD9" s="193">
        <v>1518535.22</v>
      </c>
      <c r="AE9" s="194">
        <v>9527.87</v>
      </c>
      <c r="AF9" s="194" t="s">
        <v>90</v>
      </c>
      <c r="AG9" s="194">
        <v>10251.34</v>
      </c>
      <c r="AH9" s="194">
        <v>273428.45</v>
      </c>
      <c r="AI9" s="194">
        <v>126744.75</v>
      </c>
      <c r="AJ9" s="195">
        <f t="shared" si="4"/>
        <v>1938487.6300000001</v>
      </c>
      <c r="AK9" s="196">
        <v>124133.75</v>
      </c>
      <c r="AL9" s="196" t="s">
        <v>90</v>
      </c>
      <c r="AM9" s="197">
        <f t="shared" si="5"/>
        <v>124133.75</v>
      </c>
      <c r="AN9" s="197">
        <f t="shared" si="6"/>
        <v>2062621.3800000001</v>
      </c>
      <c r="AO9" s="246"/>
    </row>
    <row r="10" spans="1:41" ht="75">
      <c r="A10" s="23" t="s">
        <v>56</v>
      </c>
      <c r="B10" s="183" t="s">
        <v>51</v>
      </c>
      <c r="C10" s="182" t="s">
        <v>48</v>
      </c>
      <c r="D10" s="183">
        <v>33364</v>
      </c>
      <c r="E10" s="185">
        <v>31801.33</v>
      </c>
      <c r="F10" s="183">
        <v>6104</v>
      </c>
      <c r="G10" s="185">
        <v>5841.85</v>
      </c>
      <c r="H10" s="183">
        <v>3616</v>
      </c>
      <c r="I10" s="185">
        <v>3387.25</v>
      </c>
      <c r="J10" s="183">
        <v>605</v>
      </c>
      <c r="K10" s="185">
        <v>590.58</v>
      </c>
      <c r="L10" s="183">
        <v>38</v>
      </c>
      <c r="M10" s="185">
        <v>37.88</v>
      </c>
      <c r="N10" s="183">
        <v>0</v>
      </c>
      <c r="O10" s="185">
        <v>0</v>
      </c>
      <c r="P10" s="188">
        <f t="shared" si="0"/>
        <v>43727</v>
      </c>
      <c r="Q10" s="189">
        <f t="shared" si="0"/>
        <v>41658.89</v>
      </c>
      <c r="R10" s="156" t="s">
        <v>90</v>
      </c>
      <c r="S10" s="156">
        <v>443.65</v>
      </c>
      <c r="T10" s="156" t="s">
        <v>90</v>
      </c>
      <c r="U10" s="156">
        <v>1.54</v>
      </c>
      <c r="V10" s="156" t="s">
        <v>90</v>
      </c>
      <c r="W10" s="156">
        <v>7.54</v>
      </c>
      <c r="X10" s="156" t="s">
        <v>90</v>
      </c>
      <c r="Y10" s="158">
        <v>4</v>
      </c>
      <c r="Z10" s="190">
        <f t="shared" si="1"/>
        <v>0</v>
      </c>
      <c r="AA10" s="190">
        <f t="shared" si="2"/>
        <v>456.73</v>
      </c>
      <c r="AB10" s="191">
        <f t="shared" si="3"/>
        <v>43727</v>
      </c>
      <c r="AC10" s="191">
        <f t="shared" si="3"/>
        <v>42115.62</v>
      </c>
      <c r="AD10" s="193">
        <v>94714314.52999997</v>
      </c>
      <c r="AE10" s="194">
        <v>0</v>
      </c>
      <c r="AF10" s="194">
        <v>0</v>
      </c>
      <c r="AG10" s="194">
        <v>5064941.66</v>
      </c>
      <c r="AH10" s="194">
        <v>18144017.580000006</v>
      </c>
      <c r="AI10" s="194">
        <v>7780259.79999999</v>
      </c>
      <c r="AJ10" s="195">
        <f t="shared" si="4"/>
        <v>125703533.56999996</v>
      </c>
      <c r="AK10" s="196">
        <v>2769974.07</v>
      </c>
      <c r="AL10" s="248">
        <v>-17543.89</v>
      </c>
      <c r="AM10" s="197">
        <f t="shared" si="5"/>
        <v>2752430.1799999997</v>
      </c>
      <c r="AN10" s="197">
        <f t="shared" si="6"/>
        <v>128455963.74999997</v>
      </c>
      <c r="AO10" s="246" t="s">
        <v>11</v>
      </c>
    </row>
    <row r="11" spans="1:41" ht="96">
      <c r="A11" s="182" t="s">
        <v>58</v>
      </c>
      <c r="B11" s="183" t="s">
        <v>51</v>
      </c>
      <c r="C11" s="182" t="s">
        <v>48</v>
      </c>
      <c r="D11" s="186">
        <v>264</v>
      </c>
      <c r="E11" s="185">
        <v>249.03834243243247</v>
      </c>
      <c r="F11" s="186">
        <v>142</v>
      </c>
      <c r="G11" s="185">
        <v>134.66368</v>
      </c>
      <c r="H11" s="186">
        <v>66</v>
      </c>
      <c r="I11" s="185">
        <v>64.06155081081081</v>
      </c>
      <c r="J11" s="186">
        <v>9</v>
      </c>
      <c r="K11" s="185">
        <v>8.82222</v>
      </c>
      <c r="L11" s="186">
        <v>2</v>
      </c>
      <c r="M11" s="187">
        <v>1.8061599999999998</v>
      </c>
      <c r="N11" s="183">
        <v>0</v>
      </c>
      <c r="O11" s="185">
        <v>0</v>
      </c>
      <c r="P11" s="188">
        <f t="shared" si="0"/>
        <v>483</v>
      </c>
      <c r="Q11" s="189">
        <f t="shared" si="0"/>
        <v>458.3919532432433</v>
      </c>
      <c r="R11" s="183">
        <v>229</v>
      </c>
      <c r="S11" s="183">
        <v>170.79</v>
      </c>
      <c r="T11" s="183">
        <v>0</v>
      </c>
      <c r="U11" s="187">
        <v>0</v>
      </c>
      <c r="V11" s="183">
        <v>0</v>
      </c>
      <c r="W11" s="187">
        <v>0</v>
      </c>
      <c r="X11" s="183">
        <v>1</v>
      </c>
      <c r="Y11" s="187">
        <v>0.5</v>
      </c>
      <c r="Z11" s="190">
        <f t="shared" si="1"/>
        <v>230</v>
      </c>
      <c r="AA11" s="190">
        <f t="shared" si="2"/>
        <v>171.29</v>
      </c>
      <c r="AB11" s="191">
        <f t="shared" si="3"/>
        <v>713</v>
      </c>
      <c r="AC11" s="192">
        <f t="shared" si="3"/>
        <v>629.6819532432432</v>
      </c>
      <c r="AD11" s="193">
        <v>920910.91</v>
      </c>
      <c r="AE11" s="194">
        <v>13493.66</v>
      </c>
      <c r="AF11" s="194">
        <v>2300</v>
      </c>
      <c r="AG11" s="194">
        <v>23430.44</v>
      </c>
      <c r="AH11" s="194">
        <v>166144.27</v>
      </c>
      <c r="AI11" s="194">
        <v>65821.65</v>
      </c>
      <c r="AJ11" s="195">
        <f t="shared" si="4"/>
        <v>1192100.93</v>
      </c>
      <c r="AK11" s="196">
        <v>428930.78</v>
      </c>
      <c r="AL11" s="196" t="s">
        <v>90</v>
      </c>
      <c r="AM11" s="197">
        <f t="shared" si="5"/>
        <v>428930.78</v>
      </c>
      <c r="AN11" s="197">
        <f t="shared" si="6"/>
        <v>1621031.71</v>
      </c>
      <c r="AO11" s="246" t="s">
        <v>12</v>
      </c>
    </row>
    <row r="12" spans="1:41" ht="264">
      <c r="A12" s="182" t="s">
        <v>62</v>
      </c>
      <c r="B12" s="183" t="s">
        <v>63</v>
      </c>
      <c r="C12" s="182" t="s">
        <v>48</v>
      </c>
      <c r="D12" s="183">
        <v>0</v>
      </c>
      <c r="E12" s="185">
        <v>0</v>
      </c>
      <c r="F12" s="183">
        <v>0</v>
      </c>
      <c r="G12" s="187">
        <v>0</v>
      </c>
      <c r="H12" s="183">
        <v>0</v>
      </c>
      <c r="I12" s="187">
        <v>0</v>
      </c>
      <c r="J12" s="183">
        <v>0</v>
      </c>
      <c r="K12" s="187">
        <v>0</v>
      </c>
      <c r="L12" s="183">
        <v>0</v>
      </c>
      <c r="M12" s="187">
        <v>0</v>
      </c>
      <c r="N12" s="183">
        <v>76</v>
      </c>
      <c r="O12" s="183">
        <v>69.37</v>
      </c>
      <c r="P12" s="188">
        <f t="shared" si="0"/>
        <v>76</v>
      </c>
      <c r="Q12" s="189">
        <f t="shared" si="0"/>
        <v>69.37</v>
      </c>
      <c r="R12" s="183">
        <v>5</v>
      </c>
      <c r="S12" s="187">
        <v>5</v>
      </c>
      <c r="T12" s="183">
        <v>4</v>
      </c>
      <c r="U12" s="187">
        <v>4</v>
      </c>
      <c r="V12" s="183">
        <v>0</v>
      </c>
      <c r="W12" s="187">
        <v>0</v>
      </c>
      <c r="X12" s="183">
        <v>0</v>
      </c>
      <c r="Y12" s="187">
        <v>0</v>
      </c>
      <c r="Z12" s="190">
        <f t="shared" si="1"/>
        <v>9</v>
      </c>
      <c r="AA12" s="199">
        <f t="shared" si="2"/>
        <v>9</v>
      </c>
      <c r="AB12" s="191">
        <f t="shared" si="3"/>
        <v>85</v>
      </c>
      <c r="AC12" s="192">
        <f t="shared" si="3"/>
        <v>78.37</v>
      </c>
      <c r="AD12" s="193">
        <v>196745</v>
      </c>
      <c r="AE12" s="194">
        <v>57</v>
      </c>
      <c r="AF12" s="194" t="s">
        <v>90</v>
      </c>
      <c r="AG12" s="194">
        <v>11003</v>
      </c>
      <c r="AH12" s="194">
        <v>34444</v>
      </c>
      <c r="AI12" s="194">
        <v>17671</v>
      </c>
      <c r="AJ12" s="195">
        <f t="shared" si="4"/>
        <v>259920</v>
      </c>
      <c r="AK12" s="196">
        <v>30080</v>
      </c>
      <c r="AL12" s="196" t="s">
        <v>90</v>
      </c>
      <c r="AM12" s="197">
        <f t="shared" si="5"/>
        <v>30080</v>
      </c>
      <c r="AN12" s="197">
        <f t="shared" si="6"/>
        <v>290000</v>
      </c>
      <c r="AO12" s="246" t="s">
        <v>64</v>
      </c>
    </row>
    <row r="13" spans="1:41" ht="75">
      <c r="A13" s="182" t="s">
        <v>66</v>
      </c>
      <c r="B13" s="183" t="s">
        <v>63</v>
      </c>
      <c r="C13" s="182" t="s">
        <v>48</v>
      </c>
      <c r="D13" s="183">
        <v>0</v>
      </c>
      <c r="E13" s="185">
        <v>0</v>
      </c>
      <c r="F13" s="183">
        <v>0</v>
      </c>
      <c r="G13" s="187">
        <v>0</v>
      </c>
      <c r="H13" s="183">
        <v>0</v>
      </c>
      <c r="I13" s="187">
        <v>0</v>
      </c>
      <c r="J13" s="183">
        <v>0</v>
      </c>
      <c r="K13" s="187">
        <v>0</v>
      </c>
      <c r="L13" s="183">
        <v>0</v>
      </c>
      <c r="M13" s="187">
        <v>0</v>
      </c>
      <c r="N13" s="183">
        <v>384</v>
      </c>
      <c r="O13" s="183">
        <v>358.99</v>
      </c>
      <c r="P13" s="188">
        <f t="shared" si="0"/>
        <v>384</v>
      </c>
      <c r="Q13" s="189">
        <f t="shared" si="0"/>
        <v>358.99</v>
      </c>
      <c r="R13" s="183">
        <v>17</v>
      </c>
      <c r="S13" s="187">
        <v>16.4</v>
      </c>
      <c r="T13" s="183">
        <v>0</v>
      </c>
      <c r="U13" s="187">
        <v>0</v>
      </c>
      <c r="V13" s="183">
        <v>0</v>
      </c>
      <c r="W13" s="187">
        <v>0</v>
      </c>
      <c r="X13" s="183">
        <v>0</v>
      </c>
      <c r="Y13" s="187">
        <v>0</v>
      </c>
      <c r="Z13" s="190">
        <f t="shared" si="1"/>
        <v>17</v>
      </c>
      <c r="AA13" s="199">
        <f t="shared" si="2"/>
        <v>16.4</v>
      </c>
      <c r="AB13" s="191">
        <f t="shared" si="3"/>
        <v>401</v>
      </c>
      <c r="AC13" s="192">
        <f t="shared" si="3"/>
        <v>375.39</v>
      </c>
      <c r="AD13" s="193">
        <v>812555.07</v>
      </c>
      <c r="AE13" s="194">
        <v>1335.49</v>
      </c>
      <c r="AF13" s="194">
        <v>0</v>
      </c>
      <c r="AG13" s="194">
        <v>8348.8</v>
      </c>
      <c r="AH13" s="194">
        <v>145240.91</v>
      </c>
      <c r="AI13" s="194">
        <v>52414.67</v>
      </c>
      <c r="AJ13" s="195">
        <v>1019894.94</v>
      </c>
      <c r="AK13" s="196">
        <v>29603</v>
      </c>
      <c r="AL13" s="196" t="s">
        <v>90</v>
      </c>
      <c r="AM13" s="197">
        <f t="shared" si="5"/>
        <v>29603</v>
      </c>
      <c r="AN13" s="197">
        <f t="shared" si="6"/>
        <v>1049497.94</v>
      </c>
      <c r="AO13" s="246"/>
    </row>
    <row r="14" spans="1:41" ht="75">
      <c r="A14" s="182" t="s">
        <v>67</v>
      </c>
      <c r="B14" s="183" t="s">
        <v>63</v>
      </c>
      <c r="C14" s="182" t="s">
        <v>48</v>
      </c>
      <c r="D14" s="183">
        <v>12</v>
      </c>
      <c r="E14" s="185">
        <v>11.54</v>
      </c>
      <c r="F14" s="183">
        <v>18</v>
      </c>
      <c r="G14" s="187">
        <v>16.94</v>
      </c>
      <c r="H14" s="183">
        <v>23</v>
      </c>
      <c r="I14" s="183">
        <v>22.69</v>
      </c>
      <c r="J14" s="183">
        <v>12</v>
      </c>
      <c r="K14" s="187">
        <v>11.2</v>
      </c>
      <c r="L14" s="183">
        <v>3</v>
      </c>
      <c r="M14" s="187">
        <v>3</v>
      </c>
      <c r="N14" s="183">
        <v>1</v>
      </c>
      <c r="O14" s="187">
        <v>0.4</v>
      </c>
      <c r="P14" s="188">
        <f t="shared" si="0"/>
        <v>69</v>
      </c>
      <c r="Q14" s="189">
        <f t="shared" si="0"/>
        <v>65.77000000000001</v>
      </c>
      <c r="R14" s="183">
        <v>7</v>
      </c>
      <c r="S14" s="187">
        <v>7</v>
      </c>
      <c r="T14" s="183">
        <v>0</v>
      </c>
      <c r="U14" s="187">
        <v>0</v>
      </c>
      <c r="V14" s="183">
        <v>0</v>
      </c>
      <c r="W14" s="187">
        <v>0</v>
      </c>
      <c r="X14" s="183">
        <v>0</v>
      </c>
      <c r="Y14" s="187">
        <v>0</v>
      </c>
      <c r="Z14" s="190">
        <f t="shared" si="1"/>
        <v>7</v>
      </c>
      <c r="AA14" s="199">
        <f t="shared" si="2"/>
        <v>7</v>
      </c>
      <c r="AB14" s="191">
        <f t="shared" si="3"/>
        <v>76</v>
      </c>
      <c r="AC14" s="192">
        <f t="shared" si="3"/>
        <v>72.77000000000001</v>
      </c>
      <c r="AD14" s="193">
        <v>181018.76</v>
      </c>
      <c r="AE14" s="194">
        <v>3346.05</v>
      </c>
      <c r="AF14" s="194">
        <v>350</v>
      </c>
      <c r="AG14" s="194" t="s">
        <v>90</v>
      </c>
      <c r="AH14" s="194">
        <v>34578.11</v>
      </c>
      <c r="AI14" s="194">
        <v>13771.12</v>
      </c>
      <c r="AJ14" s="195">
        <f t="shared" si="4"/>
        <v>233064.03999999998</v>
      </c>
      <c r="AK14" s="196">
        <v>20362.49</v>
      </c>
      <c r="AL14" s="196" t="s">
        <v>90</v>
      </c>
      <c r="AM14" s="197">
        <f t="shared" si="5"/>
        <v>20362.49</v>
      </c>
      <c r="AN14" s="197">
        <f t="shared" si="6"/>
        <v>253426.52999999997</v>
      </c>
      <c r="AO14" s="246"/>
    </row>
    <row r="15" spans="1:41" ht="156">
      <c r="A15" s="182" t="s">
        <v>68</v>
      </c>
      <c r="B15" s="183" t="s">
        <v>63</v>
      </c>
      <c r="C15" s="182" t="s">
        <v>48</v>
      </c>
      <c r="D15" s="183">
        <v>0</v>
      </c>
      <c r="E15" s="185">
        <v>0</v>
      </c>
      <c r="F15" s="183">
        <v>0</v>
      </c>
      <c r="G15" s="187">
        <v>0</v>
      </c>
      <c r="H15" s="183">
        <v>0</v>
      </c>
      <c r="I15" s="187">
        <v>0</v>
      </c>
      <c r="J15" s="183">
        <v>0</v>
      </c>
      <c r="K15" s="187">
        <v>0</v>
      </c>
      <c r="L15" s="183">
        <v>0</v>
      </c>
      <c r="M15" s="187">
        <v>0</v>
      </c>
      <c r="N15" s="183">
        <v>29</v>
      </c>
      <c r="O15" s="187">
        <v>28.8</v>
      </c>
      <c r="P15" s="188">
        <f t="shared" si="0"/>
        <v>29</v>
      </c>
      <c r="Q15" s="189">
        <f t="shared" si="0"/>
        <v>28.8</v>
      </c>
      <c r="R15" s="183">
        <v>0</v>
      </c>
      <c r="S15" s="187">
        <v>0</v>
      </c>
      <c r="T15" s="183">
        <v>0</v>
      </c>
      <c r="U15" s="187">
        <v>0</v>
      </c>
      <c r="V15" s="183">
        <v>0</v>
      </c>
      <c r="W15" s="187">
        <v>0</v>
      </c>
      <c r="X15" s="183">
        <v>0</v>
      </c>
      <c r="Y15" s="187">
        <v>0</v>
      </c>
      <c r="Z15" s="190">
        <f t="shared" si="1"/>
        <v>0</v>
      </c>
      <c r="AA15" s="199">
        <f t="shared" si="2"/>
        <v>0</v>
      </c>
      <c r="AB15" s="191">
        <f t="shared" si="3"/>
        <v>29</v>
      </c>
      <c r="AC15" s="192">
        <f t="shared" si="3"/>
        <v>28.8</v>
      </c>
      <c r="AD15" s="193">
        <v>137679.18</v>
      </c>
      <c r="AE15" s="194" t="s">
        <v>90</v>
      </c>
      <c r="AF15" s="194" t="s">
        <v>90</v>
      </c>
      <c r="AG15" s="194" t="s">
        <v>90</v>
      </c>
      <c r="AH15" s="194">
        <v>30574.42</v>
      </c>
      <c r="AI15" s="194">
        <v>16416.32</v>
      </c>
      <c r="AJ15" s="195">
        <f t="shared" si="4"/>
        <v>184669.91999999998</v>
      </c>
      <c r="AK15" s="196" t="s">
        <v>90</v>
      </c>
      <c r="AL15" s="196" t="s">
        <v>90</v>
      </c>
      <c r="AM15" s="197">
        <f t="shared" si="5"/>
        <v>0</v>
      </c>
      <c r="AN15" s="197">
        <f t="shared" si="6"/>
        <v>184669.91999999998</v>
      </c>
      <c r="AO15" s="246" t="s">
        <v>69</v>
      </c>
    </row>
    <row r="16" spans="1:41" ht="75">
      <c r="A16" s="182" t="s">
        <v>70</v>
      </c>
      <c r="B16" s="183" t="s">
        <v>63</v>
      </c>
      <c r="C16" s="182" t="s">
        <v>48</v>
      </c>
      <c r="D16" s="183">
        <v>827</v>
      </c>
      <c r="E16" s="183">
        <v>778.97</v>
      </c>
      <c r="F16" s="183">
        <v>272</v>
      </c>
      <c r="G16" s="183">
        <v>262.13</v>
      </c>
      <c r="H16" s="183">
        <v>400</v>
      </c>
      <c r="I16" s="183">
        <v>383.21</v>
      </c>
      <c r="J16" s="183">
        <v>119</v>
      </c>
      <c r="K16" s="183">
        <v>117.13</v>
      </c>
      <c r="L16" s="183">
        <v>19</v>
      </c>
      <c r="M16" s="187">
        <v>13.2</v>
      </c>
      <c r="N16" s="183">
        <v>0</v>
      </c>
      <c r="O16" s="187">
        <v>0</v>
      </c>
      <c r="P16" s="188">
        <f t="shared" si="0"/>
        <v>1637</v>
      </c>
      <c r="Q16" s="189">
        <f t="shared" si="0"/>
        <v>1554.64</v>
      </c>
      <c r="R16" s="183">
        <v>26</v>
      </c>
      <c r="S16" s="187">
        <v>25.4</v>
      </c>
      <c r="T16" s="183">
        <v>0</v>
      </c>
      <c r="U16" s="187">
        <v>0</v>
      </c>
      <c r="V16" s="183">
        <v>78</v>
      </c>
      <c r="W16" s="187">
        <v>77.53</v>
      </c>
      <c r="X16" s="183">
        <v>0</v>
      </c>
      <c r="Y16" s="187">
        <v>0</v>
      </c>
      <c r="Z16" s="190">
        <f t="shared" si="1"/>
        <v>104</v>
      </c>
      <c r="AA16" s="199">
        <f t="shared" si="2"/>
        <v>102.93</v>
      </c>
      <c r="AB16" s="191">
        <f t="shared" si="3"/>
        <v>1741</v>
      </c>
      <c r="AC16" s="192">
        <f t="shared" si="3"/>
        <v>1657.5700000000002</v>
      </c>
      <c r="AD16" s="193">
        <v>3591526.25</v>
      </c>
      <c r="AE16" s="194" t="s">
        <v>90</v>
      </c>
      <c r="AF16" s="194" t="s">
        <v>90</v>
      </c>
      <c r="AG16" s="194">
        <v>137628.23</v>
      </c>
      <c r="AH16" s="194" t="s">
        <v>90</v>
      </c>
      <c r="AI16" s="194">
        <v>291599.34</v>
      </c>
      <c r="AJ16" s="195">
        <f t="shared" si="4"/>
        <v>4020753.82</v>
      </c>
      <c r="AK16" s="196">
        <v>1228645.61</v>
      </c>
      <c r="AL16" s="196" t="s">
        <v>90</v>
      </c>
      <c r="AM16" s="197">
        <f t="shared" si="5"/>
        <v>1228645.61</v>
      </c>
      <c r="AN16" s="197">
        <f t="shared" si="6"/>
        <v>5249399.43</v>
      </c>
      <c r="AO16" s="246"/>
    </row>
    <row r="17" spans="1:41" ht="168">
      <c r="A17" s="182" t="s">
        <v>71</v>
      </c>
      <c r="B17" s="183" t="s">
        <v>63</v>
      </c>
      <c r="C17" s="182" t="s">
        <v>48</v>
      </c>
      <c r="D17" s="183">
        <v>21</v>
      </c>
      <c r="E17" s="183">
        <v>19.87</v>
      </c>
      <c r="F17" s="183">
        <v>47</v>
      </c>
      <c r="G17" s="183">
        <v>46.53</v>
      </c>
      <c r="H17" s="183">
        <v>15</v>
      </c>
      <c r="I17" s="183">
        <v>14.06</v>
      </c>
      <c r="J17" s="183">
        <v>5</v>
      </c>
      <c r="K17" s="187">
        <v>5</v>
      </c>
      <c r="L17" s="183">
        <v>2</v>
      </c>
      <c r="M17" s="187">
        <v>1.4</v>
      </c>
      <c r="N17" s="183">
        <v>0</v>
      </c>
      <c r="O17" s="187">
        <v>0</v>
      </c>
      <c r="P17" s="188">
        <f t="shared" si="0"/>
        <v>90</v>
      </c>
      <c r="Q17" s="189">
        <f t="shared" si="0"/>
        <v>86.86000000000001</v>
      </c>
      <c r="R17" s="183">
        <v>8</v>
      </c>
      <c r="S17" s="187">
        <v>8</v>
      </c>
      <c r="T17" s="183">
        <v>0</v>
      </c>
      <c r="U17" s="187">
        <v>0</v>
      </c>
      <c r="V17" s="183">
        <v>0</v>
      </c>
      <c r="W17" s="187">
        <v>0</v>
      </c>
      <c r="X17" s="183">
        <v>0</v>
      </c>
      <c r="Y17" s="187">
        <v>0</v>
      </c>
      <c r="Z17" s="190">
        <f t="shared" si="1"/>
        <v>8</v>
      </c>
      <c r="AA17" s="199">
        <f t="shared" si="2"/>
        <v>8</v>
      </c>
      <c r="AB17" s="191">
        <f t="shared" si="3"/>
        <v>98</v>
      </c>
      <c r="AC17" s="192">
        <f t="shared" si="3"/>
        <v>94.86000000000001</v>
      </c>
      <c r="AD17" s="193">
        <v>192207.7</v>
      </c>
      <c r="AE17" s="194">
        <v>20342.7</v>
      </c>
      <c r="AF17" s="194" t="s">
        <v>90</v>
      </c>
      <c r="AG17" s="194">
        <v>4419.9</v>
      </c>
      <c r="AH17" s="194">
        <v>32614.4</v>
      </c>
      <c r="AI17" s="194">
        <v>17577.2</v>
      </c>
      <c r="AJ17" s="195">
        <f t="shared" si="4"/>
        <v>267161.9</v>
      </c>
      <c r="AK17" s="196">
        <v>18140</v>
      </c>
      <c r="AL17" s="196" t="s">
        <v>90</v>
      </c>
      <c r="AM17" s="197">
        <f t="shared" si="5"/>
        <v>18140</v>
      </c>
      <c r="AN17" s="197">
        <f t="shared" si="6"/>
        <v>285301.9</v>
      </c>
      <c r="AO17" s="246" t="s">
        <v>13</v>
      </c>
    </row>
    <row r="18" spans="1:41" ht="409.5">
      <c r="A18" s="156" t="s">
        <v>72</v>
      </c>
      <c r="B18" s="156" t="s">
        <v>63</v>
      </c>
      <c r="C18" s="156" t="s">
        <v>48</v>
      </c>
      <c r="D18" s="156">
        <v>0</v>
      </c>
      <c r="E18" s="158">
        <v>0</v>
      </c>
      <c r="F18" s="156">
        <v>0</v>
      </c>
      <c r="G18" s="158">
        <v>0</v>
      </c>
      <c r="H18" s="156">
        <v>0</v>
      </c>
      <c r="I18" s="158">
        <v>0</v>
      </c>
      <c r="J18" s="156">
        <v>0</v>
      </c>
      <c r="K18" s="158">
        <v>0</v>
      </c>
      <c r="L18" s="156">
        <v>0</v>
      </c>
      <c r="M18" s="158">
        <v>0</v>
      </c>
      <c r="N18" s="156">
        <v>18402</v>
      </c>
      <c r="O18" s="158">
        <v>16613</v>
      </c>
      <c r="P18" s="188">
        <f t="shared" si="0"/>
        <v>18402</v>
      </c>
      <c r="Q18" s="189">
        <f t="shared" si="0"/>
        <v>16613</v>
      </c>
      <c r="R18" s="156">
        <v>1393</v>
      </c>
      <c r="S18" s="158">
        <v>1393</v>
      </c>
      <c r="T18" s="156">
        <v>7</v>
      </c>
      <c r="U18" s="158">
        <v>7</v>
      </c>
      <c r="V18" s="183">
        <v>0</v>
      </c>
      <c r="W18" s="187">
        <v>0</v>
      </c>
      <c r="X18" s="183">
        <v>0</v>
      </c>
      <c r="Y18" s="187">
        <v>0</v>
      </c>
      <c r="Z18" s="190">
        <f t="shared" si="1"/>
        <v>1400</v>
      </c>
      <c r="AA18" s="203">
        <f t="shared" si="2"/>
        <v>1400</v>
      </c>
      <c r="AB18" s="191">
        <f t="shared" si="3"/>
        <v>19802</v>
      </c>
      <c r="AC18" s="191">
        <f t="shared" si="3"/>
        <v>18013</v>
      </c>
      <c r="AD18" s="194" t="s">
        <v>90</v>
      </c>
      <c r="AE18" s="194" t="s">
        <v>90</v>
      </c>
      <c r="AF18" s="194" t="s">
        <v>90</v>
      </c>
      <c r="AG18" s="194" t="s">
        <v>90</v>
      </c>
      <c r="AH18" s="194" t="s">
        <v>90</v>
      </c>
      <c r="AI18" s="194" t="s">
        <v>90</v>
      </c>
      <c r="AJ18" s="195">
        <f t="shared" si="4"/>
        <v>0</v>
      </c>
      <c r="AK18" s="194" t="s">
        <v>90</v>
      </c>
      <c r="AL18" s="194" t="s">
        <v>90</v>
      </c>
      <c r="AM18" s="197">
        <f t="shared" si="5"/>
        <v>0</v>
      </c>
      <c r="AN18" s="197">
        <f t="shared" si="6"/>
        <v>0</v>
      </c>
      <c r="AO18" s="249" t="s">
        <v>142</v>
      </c>
    </row>
    <row r="19" spans="1:41" ht="90">
      <c r="A19" s="183" t="s">
        <v>124</v>
      </c>
      <c r="B19" s="183" t="s">
        <v>63</v>
      </c>
      <c r="C19" s="205" t="s">
        <v>48</v>
      </c>
      <c r="D19" s="183">
        <v>15</v>
      </c>
      <c r="E19" s="183">
        <v>14.35</v>
      </c>
      <c r="F19" s="183">
        <v>43</v>
      </c>
      <c r="G19" s="183">
        <v>41.66</v>
      </c>
      <c r="H19" s="183">
        <v>107</v>
      </c>
      <c r="I19" s="183">
        <v>104.11</v>
      </c>
      <c r="J19" s="183">
        <v>39</v>
      </c>
      <c r="K19" s="185">
        <v>38</v>
      </c>
      <c r="L19" s="183">
        <v>4</v>
      </c>
      <c r="M19" s="185">
        <v>3.6</v>
      </c>
      <c r="N19" s="183">
        <v>9</v>
      </c>
      <c r="O19" s="185">
        <v>9</v>
      </c>
      <c r="P19" s="188">
        <f t="shared" si="0"/>
        <v>217</v>
      </c>
      <c r="Q19" s="189">
        <f t="shared" si="0"/>
        <v>210.72</v>
      </c>
      <c r="R19" s="183">
        <v>2</v>
      </c>
      <c r="S19" s="187">
        <v>2</v>
      </c>
      <c r="T19" s="194" t="s">
        <v>90</v>
      </c>
      <c r="U19" s="194" t="s">
        <v>90</v>
      </c>
      <c r="V19" s="183">
        <v>6</v>
      </c>
      <c r="W19" s="187">
        <v>5.8</v>
      </c>
      <c r="X19" s="194" t="s">
        <v>90</v>
      </c>
      <c r="Y19" s="194" t="s">
        <v>90</v>
      </c>
      <c r="Z19" s="190">
        <f t="shared" si="1"/>
        <v>8</v>
      </c>
      <c r="AA19" s="199">
        <f t="shared" si="2"/>
        <v>7.8</v>
      </c>
      <c r="AB19" s="191">
        <f t="shared" si="3"/>
        <v>225</v>
      </c>
      <c r="AC19" s="192">
        <f t="shared" si="3"/>
        <v>218.52</v>
      </c>
      <c r="AD19" s="193">
        <v>637890.49</v>
      </c>
      <c r="AE19" s="194">
        <v>52182.61</v>
      </c>
      <c r="AF19" s="194" t="s">
        <v>90</v>
      </c>
      <c r="AG19" s="194">
        <v>4383.38</v>
      </c>
      <c r="AH19" s="194">
        <v>127160.71</v>
      </c>
      <c r="AI19" s="194">
        <v>60784.26</v>
      </c>
      <c r="AJ19" s="195">
        <f t="shared" si="4"/>
        <v>882401.45</v>
      </c>
      <c r="AK19" s="196">
        <v>26596.86</v>
      </c>
      <c r="AL19" s="194" t="s">
        <v>90</v>
      </c>
      <c r="AM19" s="197">
        <f t="shared" si="5"/>
        <v>26596.86</v>
      </c>
      <c r="AN19" s="197">
        <f t="shared" si="6"/>
        <v>908998.3099999999</v>
      </c>
      <c r="AO19" s="246"/>
    </row>
  </sheetData>
  <sheetProtection selectLockedCells="1"/>
  <mergeCells count="32">
    <mergeCell ref="AJ5:AJ6"/>
    <mergeCell ref="AK5:AK6"/>
    <mergeCell ref="AL5:AL6"/>
    <mergeCell ref="AM5:AM6"/>
    <mergeCell ref="AF5:AF6"/>
    <mergeCell ref="AG5:AG6"/>
    <mergeCell ref="AH5:AH6"/>
    <mergeCell ref="AI5:AI6"/>
    <mergeCell ref="AN4:AN6"/>
    <mergeCell ref="AO4:AO6"/>
    <mergeCell ref="D5:E5"/>
    <mergeCell ref="F5:G5"/>
    <mergeCell ref="H5:I5"/>
    <mergeCell ref="J5:K5"/>
    <mergeCell ref="L5:M5"/>
    <mergeCell ref="N5:O5"/>
    <mergeCell ref="P5:Q5"/>
    <mergeCell ref="R5:S5"/>
    <mergeCell ref="R4:AA4"/>
    <mergeCell ref="AB4:AC5"/>
    <mergeCell ref="AD4:AJ4"/>
    <mergeCell ref="AK4:AM4"/>
    <mergeCell ref="T5:U5"/>
    <mergeCell ref="V5:W5"/>
    <mergeCell ref="X5:Y5"/>
    <mergeCell ref="Z5:AA5"/>
    <mergeCell ref="AD5:AD6"/>
    <mergeCell ref="AE5:AE6"/>
    <mergeCell ref="A4:A6"/>
    <mergeCell ref="B4:B6"/>
    <mergeCell ref="C4:C6"/>
    <mergeCell ref="D4:Q4"/>
  </mergeCells>
  <conditionalFormatting sqref="B7:B17 B19">
    <cfRule type="expression" priority="1" dxfId="22" stopIfTrue="1">
      <formula>AND(NOT(ISBLANK($A7)),ISBLANK(B7))</formula>
    </cfRule>
  </conditionalFormatting>
  <conditionalFormatting sqref="C7:C17 C19">
    <cfRule type="expression" priority="2" dxfId="22" stopIfTrue="1">
      <formula>AND(NOT(ISBLANK(A7)),ISBLANK(C7))</formula>
    </cfRule>
  </conditionalFormatting>
  <conditionalFormatting sqref="N7:N19 R7:R19 F7:F19 H7:H19 J7:J19 L7:L19 D7:D19 X7:X18 V7:V19 T7:T18 A18:C18">
    <cfRule type="expression" priority="3" dxfId="22" stopIfTrue="1">
      <formula>AND(NOT(ISBLANK(B7)),ISBLANK(A7))</formula>
    </cfRule>
  </conditionalFormatting>
  <conditionalFormatting sqref="O7:O19 S7:S19 G7:G19 I7:I19 K7:K19 M7:M19 E7:E19 Y7:Y18 W7:W19 U7:U18">
    <cfRule type="expression" priority="4" dxfId="22" stopIfTrue="1">
      <formula>AND(NOT(ISBLANK(D7)),ISBLANK(E7))</formula>
    </cfRule>
  </conditionalFormatting>
  <conditionalFormatting sqref="A7">
    <cfRule type="expression" priority="5" dxfId="22" stopIfTrue="1">
      <formula>AND(NOT(ISBLANK(IT7)),ISBLANK(A7))</formula>
    </cfRule>
  </conditionalFormatting>
  <dataValidations count="8">
    <dataValidation type="custom" allowBlank="1" showInputMessage="1" showErrorMessage="1" errorTitle="Headcount" error="The value entered in the headcount field must be greater than or equal to the value entered in the FTE field." sqref="N7:N18 R7:R18 D7:D18 F7:F18 L7:L18 J7:J18 H7:H18 V7:V18 T7:T18 X7:X18">
      <formula1>N7&gt;=O7</formula1>
    </dataValidation>
    <dataValidation type="custom" allowBlank="1" showInputMessage="1" showErrorMessage="1" errorTitle="FTE" error="The value entered in the FTE field must be less than or equal to the value entered in the headcount field." sqref="O7:O18 S7:S18 E7:E18 M7:M18 K7:K18 I7:I18 G7:G18 W7:W18 U7:U18 Y7:Y18">
      <formula1>O7&lt;=N7</formula1>
    </dataValidation>
    <dataValidation type="decimal" operator="greaterThan" allowBlank="1" showInputMessage="1" showErrorMessage="1" sqref="AD19:AE19 AG19:AI19">
      <formula1>0</formula1>
    </dataValidation>
    <dataValidation type="decimal" operator="greaterThanOrEqual" allowBlank="1" showInputMessage="1" showErrorMessage="1" sqref="AK7:AK18 T19:U19 X19:Y19 AF19 AD7:AI18 AL7:AL19">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19 A7">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19">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8:A19">
      <formula1>INDIRECT("List_of_organisations")</formula1>
    </dataValidation>
    <dataValidation operator="lessThanOrEqual" allowBlank="1" showInputMessage="1" showErrorMessage="1" error="FTE cannot be greater than Headcount&#10;" sqref="AO4 AO7:AO17 AO19 P7:Q19 AB6:AC19 P5 A4:C4 R4 AB4"/>
  </dataValidation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Bridget O'Dea</cp:lastModifiedBy>
  <cp:lastPrinted>2011-05-16T09:46:00Z</cp:lastPrinted>
  <dcterms:created xsi:type="dcterms:W3CDTF">2011-03-30T15:28:39Z</dcterms:created>
  <dcterms:modified xsi:type="dcterms:W3CDTF">2013-08-30T14:17:12Z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a265044b-e7ee-4772-8713-3406c630a19a</vt:lpwstr>
  </property>
</Properties>
</file>