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23256" windowHeight="6408" activeTab="0"/>
  </bookViews>
  <sheets>
    <sheet name="LA Dropdown" sheetId="1" r:id="rId1"/>
    <sheet name="Parameters" sheetId="2" r:id="rId2"/>
    <sheet name="Calculations" sheetId="3" r:id="rId3"/>
  </sheets>
  <externalReferences>
    <externalReference r:id="rId6"/>
  </externalReferences>
  <definedNames>
    <definedName name="AuthorityList">'LA Dropdown'!$N$4:$N$409</definedName>
    <definedName name="CTF_RSG">'Parameters'!$B$15</definedName>
    <definedName name="CTF1314_RSG">'Parameters'!#REF!</definedName>
    <definedName name="CTS_BL">#REF!</definedName>
    <definedName name="CTS_RSG">#REF!</definedName>
    <definedName name="EI_RSG">'Parameters'!$B$16</definedName>
    <definedName name="ESG_total">'Parameters'!$B$21</definedName>
    <definedName name="ESSSA_RSG">'Parameters'!#REF!</definedName>
    <definedName name="GLAGen_RSG">'Parameters'!$B$17</definedName>
    <definedName name="HLP_RSG">'Parameters'!$B$18</definedName>
    <definedName name="IoS_BL_1314">'[1]Parameters'!$B$7</definedName>
    <definedName name="IoS_BL_1415">'Parameters'!$B$7</definedName>
    <definedName name="IoS_RSG">'Parameters'!$B$12</definedName>
    <definedName name="IoS_RSG_1314">'[1]Parameters'!$B$8</definedName>
    <definedName name="LDHR_RSG">'Parameters'!$B$20</definedName>
    <definedName name="LLF_RSG">'Parameters'!$B$19</definedName>
    <definedName name="LT_RSG">'Parameters'!$B$14</definedName>
    <definedName name="LWP_RSG">'Parameters'!$B$13</definedName>
    <definedName name="_xlnm.Print_Area" localSheetId="0">'LA Dropdown'!$A$1:$M$165</definedName>
    <definedName name="Returned_Funding">'[1]Parameters'!$B$25</definedName>
    <definedName name="RPI_inc">'Parameters'!$B$9</definedName>
    <definedName name="RSG_Proportion">'Parameters'!#REF!</definedName>
    <definedName name="UT_RSG">'Parameters'!#REF!</definedName>
  </definedNames>
  <calcPr fullCalcOnLoad="1"/>
</workbook>
</file>

<file path=xl/sharedStrings.xml><?xml version="1.0" encoding="utf-8"?>
<sst xmlns="http://schemas.openxmlformats.org/spreadsheetml/2006/main" count="3231" uniqueCount="1496">
  <si>
    <t>All services</t>
  </si>
  <si>
    <t>Bolton</t>
  </si>
  <si>
    <t>Bolton (Lower)</t>
  </si>
  <si>
    <t>Bolton (Upper)</t>
  </si>
  <si>
    <t>Bury</t>
  </si>
  <si>
    <t>Bury (Lower)</t>
  </si>
  <si>
    <t>Bury (Upper)</t>
  </si>
  <si>
    <t>Manchester</t>
  </si>
  <si>
    <t>Manchester (Lower)</t>
  </si>
  <si>
    <t>Manchester (Upper)</t>
  </si>
  <si>
    <t>Oldham</t>
  </si>
  <si>
    <t>Oldham (Lower)</t>
  </si>
  <si>
    <t>Oldham (Upper)</t>
  </si>
  <si>
    <t>Rochdale</t>
  </si>
  <si>
    <t>Rochdale (Lower)</t>
  </si>
  <si>
    <t>Rochdale (Upper)</t>
  </si>
  <si>
    <t>Salford</t>
  </si>
  <si>
    <t>Salford (Lower)</t>
  </si>
  <si>
    <t>Salford (Upper)</t>
  </si>
  <si>
    <t>Stockport</t>
  </si>
  <si>
    <t>Stockport (Lower)</t>
  </si>
  <si>
    <t>Stockport (Upper)</t>
  </si>
  <si>
    <t>Tameside</t>
  </si>
  <si>
    <t>Tameside (Lower)</t>
  </si>
  <si>
    <t>Tameside (Upper)</t>
  </si>
  <si>
    <t>Trafford</t>
  </si>
  <si>
    <t>Trafford (Lower)</t>
  </si>
  <si>
    <t>Trafford (Upper)</t>
  </si>
  <si>
    <t>Wigan</t>
  </si>
  <si>
    <t>Wigan (Lower)</t>
  </si>
  <si>
    <t>Wigan (Upper)</t>
  </si>
  <si>
    <t>Knowsley</t>
  </si>
  <si>
    <t>Knowsley (Lower)</t>
  </si>
  <si>
    <t>Knowsley (Upper)</t>
  </si>
  <si>
    <t>Liverpool</t>
  </si>
  <si>
    <t>Liverpool (Lower)</t>
  </si>
  <si>
    <t>Liverpool (Upper)</t>
  </si>
  <si>
    <t>St Helens</t>
  </si>
  <si>
    <t>St Helens (Lower)</t>
  </si>
  <si>
    <t>St Helens (Upper)</t>
  </si>
  <si>
    <t>Sefton</t>
  </si>
  <si>
    <t>Sefton (Lower)</t>
  </si>
  <si>
    <t>Sefton (Upper)</t>
  </si>
  <si>
    <t>Wirral</t>
  </si>
  <si>
    <t>Wirral (Lower)</t>
  </si>
  <si>
    <t>Wirral (Upper)</t>
  </si>
  <si>
    <t>Barnsley</t>
  </si>
  <si>
    <t>Barnsley (Lower)</t>
  </si>
  <si>
    <t>Barnsley (Upper)</t>
  </si>
  <si>
    <t>Doncaster</t>
  </si>
  <si>
    <t>Doncaster (Lower)</t>
  </si>
  <si>
    <t>Doncaster (Upper)</t>
  </si>
  <si>
    <t>Rotherham</t>
  </si>
  <si>
    <t>Rotherham (Lower)</t>
  </si>
  <si>
    <t>Rotherham (Upper)</t>
  </si>
  <si>
    <t>Sheffield</t>
  </si>
  <si>
    <t>Sheffield (Lower)</t>
  </si>
  <si>
    <t>Sheffield (Upper)</t>
  </si>
  <si>
    <t>Gateshead</t>
  </si>
  <si>
    <t>Gateshead (Lower)</t>
  </si>
  <si>
    <t>Gateshead (Upper)</t>
  </si>
  <si>
    <t>Newcastle upon Tyne</t>
  </si>
  <si>
    <t>Newcastle upon Tyne (Lower)</t>
  </si>
  <si>
    <t>Newcastle upon Tyne (Upper)</t>
  </si>
  <si>
    <t>North Tyneside</t>
  </si>
  <si>
    <t>North Tyneside (Lower)</t>
  </si>
  <si>
    <t>North Tyneside (Upper)</t>
  </si>
  <si>
    <t>South Tyneside</t>
  </si>
  <si>
    <t>South Tyneside (Lower)</t>
  </si>
  <si>
    <t>South Tyneside (Upper)</t>
  </si>
  <si>
    <t>Sunderland</t>
  </si>
  <si>
    <t>Sunderland (Lower)</t>
  </si>
  <si>
    <t>Sunderland (Upper)</t>
  </si>
  <si>
    <t>Birmingham</t>
  </si>
  <si>
    <t>Birmingham (Lower)</t>
  </si>
  <si>
    <t>Birmingham (Upper)</t>
  </si>
  <si>
    <t>Coventry</t>
  </si>
  <si>
    <t>Coventry (Lower)</t>
  </si>
  <si>
    <t>Coventry (Upper)</t>
  </si>
  <si>
    <t>Dudley</t>
  </si>
  <si>
    <t>Dudley (Lower)</t>
  </si>
  <si>
    <t>Dudley (Upper)</t>
  </si>
  <si>
    <t>Sandwell</t>
  </si>
  <si>
    <t>Sandwell (Lower)</t>
  </si>
  <si>
    <t>Sandwell (Upper)</t>
  </si>
  <si>
    <t>Solihull</t>
  </si>
  <si>
    <t>Solihull (Lower)</t>
  </si>
  <si>
    <t>Solihull (Upper)</t>
  </si>
  <si>
    <t>Walsall</t>
  </si>
  <si>
    <t>Walsall (Lower)</t>
  </si>
  <si>
    <t>Walsall (Upper)</t>
  </si>
  <si>
    <t>Wolverhampton</t>
  </si>
  <si>
    <t>Wolverhampton (Lower)</t>
  </si>
  <si>
    <t>Wolverhampton (Upper)</t>
  </si>
  <si>
    <t>Bradford</t>
  </si>
  <si>
    <t>Bradford (Lower)</t>
  </si>
  <si>
    <t>Bradford (Upper)</t>
  </si>
  <si>
    <t>Calderdale</t>
  </si>
  <si>
    <t>Calderdale (Lower)</t>
  </si>
  <si>
    <t>Calderdale (Upper)</t>
  </si>
  <si>
    <t>Kirklees</t>
  </si>
  <si>
    <t>Kirklees (Lower)</t>
  </si>
  <si>
    <t>Kirklees (Upper)</t>
  </si>
  <si>
    <t>Leeds</t>
  </si>
  <si>
    <t>Leeds (Lower)</t>
  </si>
  <si>
    <t>Leeds (Upper)</t>
  </si>
  <si>
    <t>Wakefield</t>
  </si>
  <si>
    <t>Wakefield (Lower)</t>
  </si>
  <si>
    <t>Wakefield (Upper)</t>
  </si>
  <si>
    <t>Camden</t>
  </si>
  <si>
    <t>Camden (Lower)</t>
  </si>
  <si>
    <t>Camden (Upper)</t>
  </si>
  <si>
    <t>Greenwich</t>
  </si>
  <si>
    <t>Greenwich (Lower)</t>
  </si>
  <si>
    <t>Greenwich (Upper)</t>
  </si>
  <si>
    <t>Hackney</t>
  </si>
  <si>
    <t>Hackney (Lower)</t>
  </si>
  <si>
    <t>Hackney (Upper)</t>
  </si>
  <si>
    <t>Hammersmith and Fulham</t>
  </si>
  <si>
    <t>Hammersmith and Fulham (Lower)</t>
  </si>
  <si>
    <t>Hammersmith and Fulham (Upper)</t>
  </si>
  <si>
    <t>Islington</t>
  </si>
  <si>
    <t>Islington (Lower)</t>
  </si>
  <si>
    <t>Islington (Upper)</t>
  </si>
  <si>
    <t>Kensington and Chelsea</t>
  </si>
  <si>
    <t>Kensington and Chelsea (Lower)</t>
  </si>
  <si>
    <t>Kensington and Chelsea (Upper)</t>
  </si>
  <si>
    <t>Lambeth</t>
  </si>
  <si>
    <t>Lambeth (Lower)</t>
  </si>
  <si>
    <t>Lambeth (Upper)</t>
  </si>
  <si>
    <t>Lewisham</t>
  </si>
  <si>
    <t>Lewisham (Lower)</t>
  </si>
  <si>
    <t>Lewisham (Upper)</t>
  </si>
  <si>
    <t>Southwark</t>
  </si>
  <si>
    <t>Southwark (Lower)</t>
  </si>
  <si>
    <t>Southwark (Upper)</t>
  </si>
  <si>
    <t>Tower Hamlets</t>
  </si>
  <si>
    <t>Tower Hamlets (Lower)</t>
  </si>
  <si>
    <t>Tower Hamlets (Upper)</t>
  </si>
  <si>
    <t>Wandsworth</t>
  </si>
  <si>
    <t>Wandsworth (Lower)</t>
  </si>
  <si>
    <t>Wandsworth (Upper)</t>
  </si>
  <si>
    <t>Westminster</t>
  </si>
  <si>
    <t>Westminster (Lower)</t>
  </si>
  <si>
    <t>Westminster (Upper)</t>
  </si>
  <si>
    <t>Barking and Dagenham</t>
  </si>
  <si>
    <t>Barking and Dagenham (Lower)</t>
  </si>
  <si>
    <t>Barking and Dagenham (Upper)</t>
  </si>
  <si>
    <t>Barnet</t>
  </si>
  <si>
    <t>Barnet (Lower)</t>
  </si>
  <si>
    <t>Barnet (Upper)</t>
  </si>
  <si>
    <t>Bexley</t>
  </si>
  <si>
    <t>Bexley (Lower)</t>
  </si>
  <si>
    <t>Bexley (Upper)</t>
  </si>
  <si>
    <t>Brent</t>
  </si>
  <si>
    <t>Brent (Lower)</t>
  </si>
  <si>
    <t>Brent (Upper)</t>
  </si>
  <si>
    <t>Bromley</t>
  </si>
  <si>
    <t>Bromley (Lower)</t>
  </si>
  <si>
    <t>Bromley (Upper)</t>
  </si>
  <si>
    <t>Croydon</t>
  </si>
  <si>
    <t>Croydon (Lower)</t>
  </si>
  <si>
    <t>Croydon (Upper)</t>
  </si>
  <si>
    <t>Ealing</t>
  </si>
  <si>
    <t>Ealing (Lower)</t>
  </si>
  <si>
    <t>Ealing (Upper)</t>
  </si>
  <si>
    <t>Enfield</t>
  </si>
  <si>
    <t>Enfield (Lower)</t>
  </si>
  <si>
    <t>Enfield (Upper)</t>
  </si>
  <si>
    <t>Haringey</t>
  </si>
  <si>
    <t>Haringey (Lower)</t>
  </si>
  <si>
    <t>Haringey (Upper)</t>
  </si>
  <si>
    <t>Harrow</t>
  </si>
  <si>
    <t>Harrow (Lower)</t>
  </si>
  <si>
    <t>Harrow (Upper)</t>
  </si>
  <si>
    <t>Havering</t>
  </si>
  <si>
    <t>Havering (Lower)</t>
  </si>
  <si>
    <t>Havering (Upper)</t>
  </si>
  <si>
    <t>Hillingdon</t>
  </si>
  <si>
    <t>Hillingdon (Lower)</t>
  </si>
  <si>
    <t>Hillingdon (Upper)</t>
  </si>
  <si>
    <t>Hounslow</t>
  </si>
  <si>
    <t>Hounslow (Lower)</t>
  </si>
  <si>
    <t>Hounslow (Upper)</t>
  </si>
  <si>
    <t>Kingston upon Thames</t>
  </si>
  <si>
    <t>Kingston upon Thames (Lower)</t>
  </si>
  <si>
    <t>Kingston upon Thames (Upper)</t>
  </si>
  <si>
    <t>Merton</t>
  </si>
  <si>
    <t>Merton (Lower)</t>
  </si>
  <si>
    <t>Merton (Upper)</t>
  </si>
  <si>
    <t>Newham</t>
  </si>
  <si>
    <t>Newham (Lower)</t>
  </si>
  <si>
    <t>Newham (Upper)</t>
  </si>
  <si>
    <t>Redbridge</t>
  </si>
  <si>
    <t>Redbridge (Lower)</t>
  </si>
  <si>
    <t>Redbridge (Upper)</t>
  </si>
  <si>
    <t>Richmond upon Thames</t>
  </si>
  <si>
    <t>Richmond upon Thames (Lower)</t>
  </si>
  <si>
    <t>Richmond upon Thames (Upper)</t>
  </si>
  <si>
    <t>Sutton</t>
  </si>
  <si>
    <t>Sutton (Lower)</t>
  </si>
  <si>
    <t>Sutton (Upper)</t>
  </si>
  <si>
    <t>Waltham Forest</t>
  </si>
  <si>
    <t>Waltham Forest (Lower)</t>
  </si>
  <si>
    <t>Waltham Forest (Upper)</t>
  </si>
  <si>
    <t>Cumbria</t>
  </si>
  <si>
    <t>Cumbria (Upper)</t>
  </si>
  <si>
    <t>Cumbria (Fire)</t>
  </si>
  <si>
    <t>Gloucestershire</t>
  </si>
  <si>
    <t>Gloucestershire (Upper)</t>
  </si>
  <si>
    <t>Gloucestershire (Fire)</t>
  </si>
  <si>
    <t>Hertfordshire</t>
  </si>
  <si>
    <t>Hertfordshire (Upper)</t>
  </si>
  <si>
    <t>Hertfordshire (Fire)</t>
  </si>
  <si>
    <t>Lincolnshire</t>
  </si>
  <si>
    <t>Lincolnshire (Upper)</t>
  </si>
  <si>
    <t>Lincolnshire (Fire)</t>
  </si>
  <si>
    <t>Norfolk</t>
  </si>
  <si>
    <t>Norfolk (Upper)</t>
  </si>
  <si>
    <t>Norfolk (Fire)</t>
  </si>
  <si>
    <t>Northamptonshire</t>
  </si>
  <si>
    <t>Northamptonshire (Upper)</t>
  </si>
  <si>
    <t>Northamptonshire (Fire)</t>
  </si>
  <si>
    <t>Oxfordshire</t>
  </si>
  <si>
    <t>Oxfordshire (Upper)</t>
  </si>
  <si>
    <t>Oxfordshire (Fire)</t>
  </si>
  <si>
    <t>Suffolk</t>
  </si>
  <si>
    <t>Suffolk (Upper)</t>
  </si>
  <si>
    <t>Suffolk (Fire)</t>
  </si>
  <si>
    <t>Surrey</t>
  </si>
  <si>
    <t>Surrey (Upper)</t>
  </si>
  <si>
    <t>Surrey (Fire)</t>
  </si>
  <si>
    <t>Warwickshire</t>
  </si>
  <si>
    <t>Warwickshire (Upper)</t>
  </si>
  <si>
    <t>Warwickshire (Fire)</t>
  </si>
  <si>
    <t>West Sussex</t>
  </si>
  <si>
    <t>West Sussex (Upper)</t>
  </si>
  <si>
    <t>West Sussex (Fire)</t>
  </si>
  <si>
    <t>City of London - non-police</t>
  </si>
  <si>
    <t>City of London (Lower)</t>
  </si>
  <si>
    <t>City of London (Upper)</t>
  </si>
  <si>
    <t>Isle of Wight Council</t>
  </si>
  <si>
    <t>Isle of Wight Council (Lower)</t>
  </si>
  <si>
    <t>Isle of Wight Council (Upper)</t>
  </si>
  <si>
    <t>Isle of Wight Council (Fire)</t>
  </si>
  <si>
    <t>Bath &amp; North East Somerset</t>
  </si>
  <si>
    <t>Bath &amp; North East Somerset (Lower)</t>
  </si>
  <si>
    <t>Bath &amp; North East Somerset (Upper)</t>
  </si>
  <si>
    <t>Bristol</t>
  </si>
  <si>
    <t>Bristol (Lower)</t>
  </si>
  <si>
    <t>Bristol (Upper)</t>
  </si>
  <si>
    <t>South Gloucestershire</t>
  </si>
  <si>
    <t>South Gloucestershire (Lower)</t>
  </si>
  <si>
    <t>South Gloucestershire (Upper)</t>
  </si>
  <si>
    <t>North Somerset</t>
  </si>
  <si>
    <t>North Somerset (Lower)</t>
  </si>
  <si>
    <t>North Somerset (Upper)</t>
  </si>
  <si>
    <t>Hartlepool</t>
  </si>
  <si>
    <t>Hartlepool (Lower)</t>
  </si>
  <si>
    <t>Hartlepool (Upper)</t>
  </si>
  <si>
    <t>Middlesbrough</t>
  </si>
  <si>
    <t>Middlesbrough (Lower)</t>
  </si>
  <si>
    <t>Middlesbrough (Upper)</t>
  </si>
  <si>
    <t>Redcar and Cleveland</t>
  </si>
  <si>
    <t>Redcar and Cleveland (Lower)</t>
  </si>
  <si>
    <t>Redcar and Cleveland (Upper)</t>
  </si>
  <si>
    <t>Stockton-on-Tees</t>
  </si>
  <si>
    <t>Stockton-on-Tees (Lower)</t>
  </si>
  <si>
    <t>Stockton-on-Tees (Upper)</t>
  </si>
  <si>
    <t>East Riding of Yorkshire</t>
  </si>
  <si>
    <t>East Riding of Yorkshire (Lower)</t>
  </si>
  <si>
    <t>East Riding of Yorkshire (Upper)</t>
  </si>
  <si>
    <t>Kingston upon Hull</t>
  </si>
  <si>
    <t>Kingston upon Hull (Lower)</t>
  </si>
  <si>
    <t>Kingston upon Hull (Upper)</t>
  </si>
  <si>
    <t>North East Lincolnshire</t>
  </si>
  <si>
    <t>North East Lincolnshire (Lower)</t>
  </si>
  <si>
    <t>North East Lincolnshire (Upper)</t>
  </si>
  <si>
    <t>North Lincolnshire</t>
  </si>
  <si>
    <t>North Lincolnshire (Lower)</t>
  </si>
  <si>
    <t>North Lincolnshire (Upper)</t>
  </si>
  <si>
    <t>York</t>
  </si>
  <si>
    <t>York (Lower)</t>
  </si>
  <si>
    <t>York (Upper)</t>
  </si>
  <si>
    <t>Luton</t>
  </si>
  <si>
    <t>Luton (Lower)</t>
  </si>
  <si>
    <t>Luton (Upper)</t>
  </si>
  <si>
    <t>Milton Keynes</t>
  </si>
  <si>
    <t>Milton Keynes (Lower)</t>
  </si>
  <si>
    <t>Milton Keynes (Upper)</t>
  </si>
  <si>
    <t>Derby</t>
  </si>
  <si>
    <t>Derby (Lower)</t>
  </si>
  <si>
    <t>Derby (Upper)</t>
  </si>
  <si>
    <t>Bournemouth</t>
  </si>
  <si>
    <t>Bournemouth (Lower)</t>
  </si>
  <si>
    <t>Bournemouth (Upper)</t>
  </si>
  <si>
    <t>Poole</t>
  </si>
  <si>
    <t>Poole (Lower)</t>
  </si>
  <si>
    <t>Poole (Upper)</t>
  </si>
  <si>
    <t>Darlington</t>
  </si>
  <si>
    <t>Darlington (Lower)</t>
  </si>
  <si>
    <t>Darlington (Upper)</t>
  </si>
  <si>
    <t>Brighton &amp; Hove</t>
  </si>
  <si>
    <t>Brighton &amp; Hove (Lower)</t>
  </si>
  <si>
    <t>Brighton &amp; Hove (Upper)</t>
  </si>
  <si>
    <t>Portsmouth</t>
  </si>
  <si>
    <t>Portsmouth (Lower)</t>
  </si>
  <si>
    <t>Portsmouth (Upper)</t>
  </si>
  <si>
    <t>Southampton</t>
  </si>
  <si>
    <t>Southampton (Lower)</t>
  </si>
  <si>
    <t>Southampton (Upper)</t>
  </si>
  <si>
    <t>Leicester</t>
  </si>
  <si>
    <t>Leicester (Lower)</t>
  </si>
  <si>
    <t>Leicester (Upper)</t>
  </si>
  <si>
    <t>Rutland</t>
  </si>
  <si>
    <t>Rutland (Lower)</t>
  </si>
  <si>
    <t>Rutland (Upper)</t>
  </si>
  <si>
    <t>Stoke-on-Trent</t>
  </si>
  <si>
    <t>Stoke-on-Trent (Lower)</t>
  </si>
  <si>
    <t>Stoke-on-Trent (Upper)</t>
  </si>
  <si>
    <t>Swindon</t>
  </si>
  <si>
    <t>Swindon (Lower)</t>
  </si>
  <si>
    <t>Swindon (Upper)</t>
  </si>
  <si>
    <t>Bracknell Forest</t>
  </si>
  <si>
    <t>Bracknell Forest (Lower)</t>
  </si>
  <si>
    <t>Bracknell Forest (Upper)</t>
  </si>
  <si>
    <t>West Berkshire</t>
  </si>
  <si>
    <t>West Berkshire (Lower)</t>
  </si>
  <si>
    <t>West Berkshire (Upper)</t>
  </si>
  <si>
    <t>Reading</t>
  </si>
  <si>
    <t>Reading (Lower)</t>
  </si>
  <si>
    <t>Reading (Upper)</t>
  </si>
  <si>
    <t>Slough</t>
  </si>
  <si>
    <t>Slough (Lower)</t>
  </si>
  <si>
    <t>Slough (Upper)</t>
  </si>
  <si>
    <t>Windsor and Maidenhead</t>
  </si>
  <si>
    <t>Windsor and Maidenhead (Lower)</t>
  </si>
  <si>
    <t>Windsor and Maidenhead (Upper)</t>
  </si>
  <si>
    <t>Wokingham</t>
  </si>
  <si>
    <t>Wokingham (Lower)</t>
  </si>
  <si>
    <t>Wokingham (Upper)</t>
  </si>
  <si>
    <t>Peterborough</t>
  </si>
  <si>
    <t>Peterborough (Lower)</t>
  </si>
  <si>
    <t>Peterborough (Upper)</t>
  </si>
  <si>
    <t>Halton</t>
  </si>
  <si>
    <t>Halton (Lower)</t>
  </si>
  <si>
    <t>Halton (Upper)</t>
  </si>
  <si>
    <t>Warrington</t>
  </si>
  <si>
    <t>Warrington (Lower)</t>
  </si>
  <si>
    <t>Warrington (Upper)</t>
  </si>
  <si>
    <t>Plymouth</t>
  </si>
  <si>
    <t>Plymouth (Lower)</t>
  </si>
  <si>
    <t>Plymouth (Upper)</t>
  </si>
  <si>
    <t>Torbay</t>
  </si>
  <si>
    <t>Torbay (Lower)</t>
  </si>
  <si>
    <t>Torbay (Upper)</t>
  </si>
  <si>
    <t>Southend-on-Sea</t>
  </si>
  <si>
    <t>Southend-on-Sea (Lower)</t>
  </si>
  <si>
    <t>Southend-on-Sea (Upper)</t>
  </si>
  <si>
    <t>Thurrock</t>
  </si>
  <si>
    <t>Thurrock (Lower)</t>
  </si>
  <si>
    <t>Thurrock (Upper)</t>
  </si>
  <si>
    <t>Herefordshire</t>
  </si>
  <si>
    <t>Herefordshire  (Lower)</t>
  </si>
  <si>
    <t>Herefordshire  (Upper)</t>
  </si>
  <si>
    <t>Medway</t>
  </si>
  <si>
    <t>Medway  (Lower)</t>
  </si>
  <si>
    <t>Medway  (Upper)</t>
  </si>
  <si>
    <t>Blackburn with Darwen</t>
  </si>
  <si>
    <t>Blackburn with Darwen (Lower)</t>
  </si>
  <si>
    <t>Blackburn with Darwen (Upper)</t>
  </si>
  <si>
    <t>Blackpool</t>
  </si>
  <si>
    <t>Blackpool (Lower)</t>
  </si>
  <si>
    <t>Blackpool (Upper)</t>
  </si>
  <si>
    <t>Nottingham</t>
  </si>
  <si>
    <t>Nottingham (Lower)</t>
  </si>
  <si>
    <t>Nottingham (Upper)</t>
  </si>
  <si>
    <t>Telford and the Wrekin</t>
  </si>
  <si>
    <t>Telford and the Wrekin (Lower)</t>
  </si>
  <si>
    <t>Telford and the Wrekin (Upper)</t>
  </si>
  <si>
    <t>Cornwall</t>
  </si>
  <si>
    <t>Cornwall (Lower)</t>
  </si>
  <si>
    <t>Cornwall (Upper)</t>
  </si>
  <si>
    <t>Cornwall (Fire)</t>
  </si>
  <si>
    <t>Durham</t>
  </si>
  <si>
    <t>Durham (Lower)</t>
  </si>
  <si>
    <t>Durham (Upper)</t>
  </si>
  <si>
    <t>Northumberland</t>
  </si>
  <si>
    <t>Northumberland (Lower)</t>
  </si>
  <si>
    <t>Northumberland (Upper)</t>
  </si>
  <si>
    <t>Northumberland (Fire)</t>
  </si>
  <si>
    <t>Shropshire</t>
  </si>
  <si>
    <t>Shropshire (Lower)</t>
  </si>
  <si>
    <t>Shropshire (Upper)</t>
  </si>
  <si>
    <t>Wiltshire</t>
  </si>
  <si>
    <t>Wiltshire (Lower)</t>
  </si>
  <si>
    <t>Wiltshire (Upper)</t>
  </si>
  <si>
    <t>Cheshire East</t>
  </si>
  <si>
    <t>Cheshire East (Lower)</t>
  </si>
  <si>
    <t>Cheshire East (Upper)</t>
  </si>
  <si>
    <t>Cheshire West and Chester</t>
  </si>
  <si>
    <t>Cheshire West and Chester (Lower)</t>
  </si>
  <si>
    <t>Cheshire West and Chester (Upper)</t>
  </si>
  <si>
    <t>Bedford</t>
  </si>
  <si>
    <t>Bedford (Lower)</t>
  </si>
  <si>
    <t>Bedford (Upper)</t>
  </si>
  <si>
    <t>Central Bedfordshire</t>
  </si>
  <si>
    <t>Central Bedfordshire (Lower)</t>
  </si>
  <si>
    <t>Central Bedfordshire (Upper)</t>
  </si>
  <si>
    <t>Somerset</t>
  </si>
  <si>
    <t>North Yorkshire</t>
  </si>
  <si>
    <t>Buckinghamshire</t>
  </si>
  <si>
    <t>Derbyshire</t>
  </si>
  <si>
    <t>Dorset</t>
  </si>
  <si>
    <t>East Sussex</t>
  </si>
  <si>
    <t>Hampshire</t>
  </si>
  <si>
    <t>Leicestershire</t>
  </si>
  <si>
    <t>Staffordshire</t>
  </si>
  <si>
    <t>Cambridgeshire</t>
  </si>
  <si>
    <t>Devon</t>
  </si>
  <si>
    <t>Essex</t>
  </si>
  <si>
    <t>Kent</t>
  </si>
  <si>
    <t>Lancashire</t>
  </si>
  <si>
    <t>Nottinghamshire</t>
  </si>
  <si>
    <t>Worcestershire</t>
  </si>
  <si>
    <t>Isles of Scilly</t>
  </si>
  <si>
    <t>Aylesbury Vale</t>
  </si>
  <si>
    <t>South Bucks</t>
  </si>
  <si>
    <t>Chiltern</t>
  </si>
  <si>
    <t>Wycombe</t>
  </si>
  <si>
    <t>Cambridge</t>
  </si>
  <si>
    <t>East Cambridgeshire</t>
  </si>
  <si>
    <t>Fenland</t>
  </si>
  <si>
    <t>South Cambridgeshire</t>
  </si>
  <si>
    <t>Allerdale</t>
  </si>
  <si>
    <t>Barrow-in-Furness</t>
  </si>
  <si>
    <t>Carlisle</t>
  </si>
  <si>
    <t>Copeland</t>
  </si>
  <si>
    <t>Eden</t>
  </si>
  <si>
    <t>South Lakeland</t>
  </si>
  <si>
    <t>Amber Valley</t>
  </si>
  <si>
    <t>Bolsover</t>
  </si>
  <si>
    <t>Chesterfield</t>
  </si>
  <si>
    <t>Erewash</t>
  </si>
  <si>
    <t>High Peak</t>
  </si>
  <si>
    <t>North East Derbyshire</t>
  </si>
  <si>
    <t>South Derbyshire</t>
  </si>
  <si>
    <t>Derbyshire Dales</t>
  </si>
  <si>
    <t>East Devon</t>
  </si>
  <si>
    <t>Exeter</t>
  </si>
  <si>
    <t>North Devon</t>
  </si>
  <si>
    <t>South Hams</t>
  </si>
  <si>
    <t>Teignbridge</t>
  </si>
  <si>
    <t>Mid Devon</t>
  </si>
  <si>
    <t>Torridge</t>
  </si>
  <si>
    <t>West Devon</t>
  </si>
  <si>
    <t>Christchurch</t>
  </si>
  <si>
    <t>North Dorset</t>
  </si>
  <si>
    <t>Purbeck</t>
  </si>
  <si>
    <t>West Dorset</t>
  </si>
  <si>
    <t>Weymouth and Portland</t>
  </si>
  <si>
    <t>East Dorset</t>
  </si>
  <si>
    <t>Eastbourne</t>
  </si>
  <si>
    <t>Hastings</t>
  </si>
  <si>
    <t>Lewes</t>
  </si>
  <si>
    <t>Rother</t>
  </si>
  <si>
    <t>Wealden</t>
  </si>
  <si>
    <t>Basildon</t>
  </si>
  <si>
    <t>Braintree</t>
  </si>
  <si>
    <t>Brentwood</t>
  </si>
  <si>
    <t>Castle Point</t>
  </si>
  <si>
    <t>Chelmsford</t>
  </si>
  <si>
    <t>Colchester</t>
  </si>
  <si>
    <t>Epping Forest</t>
  </si>
  <si>
    <t>Harlow</t>
  </si>
  <si>
    <t>Maldon</t>
  </si>
  <si>
    <t>Rochford</t>
  </si>
  <si>
    <t>Tendring</t>
  </si>
  <si>
    <t>Uttlesford</t>
  </si>
  <si>
    <t>Cheltenham</t>
  </si>
  <si>
    <t>Cotswold</t>
  </si>
  <si>
    <t>Forest of Dean</t>
  </si>
  <si>
    <t>Gloucester</t>
  </si>
  <si>
    <t>Stroud</t>
  </si>
  <si>
    <t>Tewkesbury</t>
  </si>
  <si>
    <t>Basingstoke and Deane</t>
  </si>
  <si>
    <t>East Hampshire</t>
  </si>
  <si>
    <t>Eastleigh</t>
  </si>
  <si>
    <t>Fareham</t>
  </si>
  <si>
    <t>Gosport</t>
  </si>
  <si>
    <t>Hart</t>
  </si>
  <si>
    <t>Havant</t>
  </si>
  <si>
    <t>New Forest</t>
  </si>
  <si>
    <t>Rushmoor</t>
  </si>
  <si>
    <t>Test Valley</t>
  </si>
  <si>
    <t>Winchester</t>
  </si>
  <si>
    <t>Bromsgrove</t>
  </si>
  <si>
    <t>Redditch</t>
  </si>
  <si>
    <t>Worcester</t>
  </si>
  <si>
    <t>Wychavon</t>
  </si>
  <si>
    <t>Wyre Forest</t>
  </si>
  <si>
    <t>Broxbourne</t>
  </si>
  <si>
    <t>Dacorum</t>
  </si>
  <si>
    <t>East Hertfordshire</t>
  </si>
  <si>
    <t>Hertsmere</t>
  </si>
  <si>
    <t>North Hertfordshire</t>
  </si>
  <si>
    <t>St Albans</t>
  </si>
  <si>
    <t>Stevenage</t>
  </si>
  <si>
    <t>Three Rivers</t>
  </si>
  <si>
    <t>Watford</t>
  </si>
  <si>
    <t>Welwyn Hatfield</t>
  </si>
  <si>
    <t>Ashford</t>
  </si>
  <si>
    <t>Canterbury</t>
  </si>
  <si>
    <t>Dartford</t>
  </si>
  <si>
    <t>Dover</t>
  </si>
  <si>
    <t>Gravesham</t>
  </si>
  <si>
    <t>Maidstone</t>
  </si>
  <si>
    <t>Sevenoaks</t>
  </si>
  <si>
    <t>Shepway</t>
  </si>
  <si>
    <t>Swale</t>
  </si>
  <si>
    <t>Thanet</t>
  </si>
  <si>
    <t>Tonbridge and Malling</t>
  </si>
  <si>
    <t>Tunbridge Wells</t>
  </si>
  <si>
    <t>Burnley</t>
  </si>
  <si>
    <t>Chorley</t>
  </si>
  <si>
    <t>Fylde</t>
  </si>
  <si>
    <t>Hyndburn</t>
  </si>
  <si>
    <t>Lancaster</t>
  </si>
  <si>
    <t>Pendle</t>
  </si>
  <si>
    <t>Preston</t>
  </si>
  <si>
    <t>Ribble Valley</t>
  </si>
  <si>
    <t>Rossendale</t>
  </si>
  <si>
    <t>South Ribble</t>
  </si>
  <si>
    <t>West Lancashire</t>
  </si>
  <si>
    <t>Wyre</t>
  </si>
  <si>
    <t>Blaby</t>
  </si>
  <si>
    <t>Charnwood</t>
  </si>
  <si>
    <t>Harborough</t>
  </si>
  <si>
    <t>Hinckley and Bosworth</t>
  </si>
  <si>
    <t>Melton</t>
  </si>
  <si>
    <t>North West Leicestershire</t>
  </si>
  <si>
    <t>Oadby and Wigston</t>
  </si>
  <si>
    <t>Boston</t>
  </si>
  <si>
    <t>East Lindsey</t>
  </si>
  <si>
    <t>Lincoln</t>
  </si>
  <si>
    <t>North Kesteven</t>
  </si>
  <si>
    <t>South Holland</t>
  </si>
  <si>
    <t>South Kesteven</t>
  </si>
  <si>
    <t>West Lindsey</t>
  </si>
  <si>
    <t>Breckland</t>
  </si>
  <si>
    <t>Broadland</t>
  </si>
  <si>
    <t>Great Yarmouth</t>
  </si>
  <si>
    <t>North Norfolk</t>
  </si>
  <si>
    <t>Norwich</t>
  </si>
  <si>
    <t>South Norfolk</t>
  </si>
  <si>
    <t>Kings Lynn and West Norfolk</t>
  </si>
  <si>
    <t>Corby</t>
  </si>
  <si>
    <t>Daventry</t>
  </si>
  <si>
    <t>East Northamptonshire</t>
  </si>
  <si>
    <t>Kettering</t>
  </si>
  <si>
    <t>Northampton</t>
  </si>
  <si>
    <t>South Northamptonshire</t>
  </si>
  <si>
    <t>Wellingborough</t>
  </si>
  <si>
    <t>Craven</t>
  </si>
  <si>
    <t>Hambleton</t>
  </si>
  <si>
    <t>Richmondshire</t>
  </si>
  <si>
    <t>Scarborough</t>
  </si>
  <si>
    <t>Ashfield</t>
  </si>
  <si>
    <t>Bassetlaw</t>
  </si>
  <si>
    <t>Broxtowe</t>
  </si>
  <si>
    <t>Gedling</t>
  </si>
  <si>
    <t>Mansfield</t>
  </si>
  <si>
    <t>Newark and Sherwood</t>
  </si>
  <si>
    <t>Rushcliffe</t>
  </si>
  <si>
    <t>Cherwell</t>
  </si>
  <si>
    <t>Oxford</t>
  </si>
  <si>
    <t>South Oxfordshire</t>
  </si>
  <si>
    <t>Vale of White Horse</t>
  </si>
  <si>
    <t>West Oxfordshire</t>
  </si>
  <si>
    <t>Mendip</t>
  </si>
  <si>
    <t>Sedgemoor</t>
  </si>
  <si>
    <t>Taunton Deane</t>
  </si>
  <si>
    <t>West Somerset</t>
  </si>
  <si>
    <t>South Somerset</t>
  </si>
  <si>
    <t>Cannock Chase</t>
  </si>
  <si>
    <t>East Staffordshire</t>
  </si>
  <si>
    <t>Lichfield</t>
  </si>
  <si>
    <t>Newcastle-under-Lyme</t>
  </si>
  <si>
    <t>South Staffordshire</t>
  </si>
  <si>
    <t>Stafford</t>
  </si>
  <si>
    <t>Staffordshire Moorlands</t>
  </si>
  <si>
    <t>Tamworth</t>
  </si>
  <si>
    <t>Babergh</t>
  </si>
  <si>
    <t>Forest Heath</t>
  </si>
  <si>
    <t>Ipswich</t>
  </si>
  <si>
    <t>Mid Suffolk</t>
  </si>
  <si>
    <t>St Edmundsbury</t>
  </si>
  <si>
    <t>Suffolk Coastal</t>
  </si>
  <si>
    <t>Waveney</t>
  </si>
  <si>
    <t>Elmbridge</t>
  </si>
  <si>
    <t>Epsom and Ewell</t>
  </si>
  <si>
    <t>Guildford</t>
  </si>
  <si>
    <t>Mole Valley</t>
  </si>
  <si>
    <t>Reigate and Banstead</t>
  </si>
  <si>
    <t>Runnymede</t>
  </si>
  <si>
    <t>Spelthorne</t>
  </si>
  <si>
    <t>Surrey Heath</t>
  </si>
  <si>
    <t>Tandridge</t>
  </si>
  <si>
    <t>Waverley</t>
  </si>
  <si>
    <t>Woking</t>
  </si>
  <si>
    <t>North Warwickshire</t>
  </si>
  <si>
    <t>Nuneaton and Bedworth</t>
  </si>
  <si>
    <t>Rugby</t>
  </si>
  <si>
    <t>Stratford-on-Avon</t>
  </si>
  <si>
    <t>Warwick</t>
  </si>
  <si>
    <t>Adur</t>
  </si>
  <si>
    <t>Arun</t>
  </si>
  <si>
    <t>Chichester</t>
  </si>
  <si>
    <t>Crawley</t>
  </si>
  <si>
    <t>Horsham</t>
  </si>
  <si>
    <t>Mid Sussex</t>
  </si>
  <si>
    <t>Worthing</t>
  </si>
  <si>
    <t>Harrogate</t>
  </si>
  <si>
    <t>Ryedale</t>
  </si>
  <si>
    <t>Selby</t>
  </si>
  <si>
    <t>Huntingdonshire</t>
  </si>
  <si>
    <t>Malvern Hills</t>
  </si>
  <si>
    <t>Greater Manchester Fire</t>
  </si>
  <si>
    <t>Merseyside Fire</t>
  </si>
  <si>
    <t>South Yorkshire Fire</t>
  </si>
  <si>
    <t>Tyne and Wear Fire</t>
  </si>
  <si>
    <t>West Midlands Fire</t>
  </si>
  <si>
    <t>West Yorkshire Fire</t>
  </si>
  <si>
    <t>GLA - fire</t>
  </si>
  <si>
    <t>GLA - mayor and misc</t>
  </si>
  <si>
    <t>R334</t>
  </si>
  <si>
    <t>R334L</t>
  </si>
  <si>
    <t>R334U</t>
  </si>
  <si>
    <t>R335</t>
  </si>
  <si>
    <t>R335L</t>
  </si>
  <si>
    <t>R335U</t>
  </si>
  <si>
    <t>R336</t>
  </si>
  <si>
    <t>R336L</t>
  </si>
  <si>
    <t>R336U</t>
  </si>
  <si>
    <t>R337</t>
  </si>
  <si>
    <t>R337L</t>
  </si>
  <si>
    <t>R337U</t>
  </si>
  <si>
    <t>R338</t>
  </si>
  <si>
    <t>R338L</t>
  </si>
  <si>
    <t>R338U</t>
  </si>
  <si>
    <t>R339</t>
  </si>
  <si>
    <t>R339L</t>
  </si>
  <si>
    <t>R339U</t>
  </si>
  <si>
    <t>R340</t>
  </si>
  <si>
    <t>R340L</t>
  </si>
  <si>
    <t>R340U</t>
  </si>
  <si>
    <t>R341</t>
  </si>
  <si>
    <t>R341L</t>
  </si>
  <si>
    <t>R341U</t>
  </si>
  <si>
    <t>R342</t>
  </si>
  <si>
    <t>R342L</t>
  </si>
  <si>
    <t>R342U</t>
  </si>
  <si>
    <t>R343</t>
  </si>
  <si>
    <t>R343L</t>
  </si>
  <si>
    <t>R343U</t>
  </si>
  <si>
    <t>R344</t>
  </si>
  <si>
    <t>R344L</t>
  </si>
  <si>
    <t>R344U</t>
  </si>
  <si>
    <t>R345</t>
  </si>
  <si>
    <t>R345L</t>
  </si>
  <si>
    <t>R345U</t>
  </si>
  <si>
    <t>R346</t>
  </si>
  <si>
    <t>R346L</t>
  </si>
  <si>
    <t>R346U</t>
  </si>
  <si>
    <t>R347</t>
  </si>
  <si>
    <t>R347L</t>
  </si>
  <si>
    <t>R347U</t>
  </si>
  <si>
    <t>R348</t>
  </si>
  <si>
    <t>R348L</t>
  </si>
  <si>
    <t>R348U</t>
  </si>
  <si>
    <t>R349</t>
  </si>
  <si>
    <t>R349L</t>
  </si>
  <si>
    <t>R349U</t>
  </si>
  <si>
    <t>R350</t>
  </si>
  <si>
    <t>R350L</t>
  </si>
  <si>
    <t>R350U</t>
  </si>
  <si>
    <t>R351</t>
  </si>
  <si>
    <t>R351L</t>
  </si>
  <si>
    <t>R351U</t>
  </si>
  <si>
    <t>R352</t>
  </si>
  <si>
    <t>R352L</t>
  </si>
  <si>
    <t>R352U</t>
  </si>
  <si>
    <t>R353</t>
  </si>
  <si>
    <t>R353L</t>
  </si>
  <si>
    <t>R353U</t>
  </si>
  <si>
    <t>R354</t>
  </si>
  <si>
    <t>R354L</t>
  </si>
  <si>
    <t>R354U</t>
  </si>
  <si>
    <t>R355</t>
  </si>
  <si>
    <t>R355L</t>
  </si>
  <si>
    <t>R355U</t>
  </si>
  <si>
    <t>R356</t>
  </si>
  <si>
    <t>R356L</t>
  </si>
  <si>
    <t>R356U</t>
  </si>
  <si>
    <t>R357</t>
  </si>
  <si>
    <t>R357L</t>
  </si>
  <si>
    <t>R357U</t>
  </si>
  <si>
    <t>R358</t>
  </si>
  <si>
    <t>R358L</t>
  </si>
  <si>
    <t>R358U</t>
  </si>
  <si>
    <t>R359</t>
  </si>
  <si>
    <t>R359L</t>
  </si>
  <si>
    <t>R359U</t>
  </si>
  <si>
    <t>R360</t>
  </si>
  <si>
    <t>R360L</t>
  </si>
  <si>
    <t>R360U</t>
  </si>
  <si>
    <t>R361</t>
  </si>
  <si>
    <t>R361L</t>
  </si>
  <si>
    <t>R361U</t>
  </si>
  <si>
    <t>R362</t>
  </si>
  <si>
    <t>R362L</t>
  </si>
  <si>
    <t>R362U</t>
  </si>
  <si>
    <t>R363</t>
  </si>
  <si>
    <t>R363L</t>
  </si>
  <si>
    <t>R363U</t>
  </si>
  <si>
    <t>R364</t>
  </si>
  <si>
    <t>R364L</t>
  </si>
  <si>
    <t>R364U</t>
  </si>
  <si>
    <t>R365</t>
  </si>
  <si>
    <t>R365L</t>
  </si>
  <si>
    <t>R365U</t>
  </si>
  <si>
    <t>R366</t>
  </si>
  <si>
    <t>R366L</t>
  </si>
  <si>
    <t>R366U</t>
  </si>
  <si>
    <t>R367</t>
  </si>
  <si>
    <t>R367L</t>
  </si>
  <si>
    <t>R367U</t>
  </si>
  <si>
    <t>R368</t>
  </si>
  <si>
    <t>R368L</t>
  </si>
  <si>
    <t>R368U</t>
  </si>
  <si>
    <t>R369</t>
  </si>
  <si>
    <t>R369L</t>
  </si>
  <si>
    <t>R369U</t>
  </si>
  <si>
    <t>R371</t>
  </si>
  <si>
    <t>R371L</t>
  </si>
  <si>
    <t>R371U</t>
  </si>
  <si>
    <t>R372</t>
  </si>
  <si>
    <t>R372L</t>
  </si>
  <si>
    <t>R372U</t>
  </si>
  <si>
    <t>R373</t>
  </si>
  <si>
    <t>R373L</t>
  </si>
  <si>
    <t>R373U</t>
  </si>
  <si>
    <t>R374</t>
  </si>
  <si>
    <t>R374L</t>
  </si>
  <si>
    <t>R374U</t>
  </si>
  <si>
    <t>R375</t>
  </si>
  <si>
    <t>R375L</t>
  </si>
  <si>
    <t>R375U</t>
  </si>
  <si>
    <t>R376</t>
  </si>
  <si>
    <t>R376L</t>
  </si>
  <si>
    <t>R376U</t>
  </si>
  <si>
    <t>R377</t>
  </si>
  <si>
    <t>R377L</t>
  </si>
  <si>
    <t>R377U</t>
  </si>
  <si>
    <t>R378</t>
  </si>
  <si>
    <t>R378L</t>
  </si>
  <si>
    <t>R378U</t>
  </si>
  <si>
    <t>R379</t>
  </si>
  <si>
    <t>R379L</t>
  </si>
  <si>
    <t>R379U</t>
  </si>
  <si>
    <t>R380</t>
  </si>
  <si>
    <t>R380L</t>
  </si>
  <si>
    <t>R380U</t>
  </si>
  <si>
    <t>R381</t>
  </si>
  <si>
    <t>R381L</t>
  </si>
  <si>
    <t>R381U</t>
  </si>
  <si>
    <t>R382</t>
  </si>
  <si>
    <t>R382L</t>
  </si>
  <si>
    <t>R382U</t>
  </si>
  <si>
    <t>R383</t>
  </si>
  <si>
    <t>R383L</t>
  </si>
  <si>
    <t>R383U</t>
  </si>
  <si>
    <t>R384</t>
  </si>
  <si>
    <t>R384L</t>
  </si>
  <si>
    <t>R384U</t>
  </si>
  <si>
    <t>R385</t>
  </si>
  <si>
    <t>R385L</t>
  </si>
  <si>
    <t>R385U</t>
  </si>
  <si>
    <t>R386</t>
  </si>
  <si>
    <t>R386L</t>
  </si>
  <si>
    <t>R386U</t>
  </si>
  <si>
    <t>R387</t>
  </si>
  <si>
    <t>R387L</t>
  </si>
  <si>
    <t>R387U</t>
  </si>
  <si>
    <t>R388</t>
  </si>
  <si>
    <t>R388L</t>
  </si>
  <si>
    <t>R388U</t>
  </si>
  <si>
    <t>R389</t>
  </si>
  <si>
    <t>R389L</t>
  </si>
  <si>
    <t>R389U</t>
  </si>
  <si>
    <t>R390</t>
  </si>
  <si>
    <t>R390L</t>
  </si>
  <si>
    <t>R390U</t>
  </si>
  <si>
    <t>R391</t>
  </si>
  <si>
    <t>R391L</t>
  </si>
  <si>
    <t>R391U</t>
  </si>
  <si>
    <t>R392</t>
  </si>
  <si>
    <t>R392L</t>
  </si>
  <si>
    <t>R392U</t>
  </si>
  <si>
    <t>R393</t>
  </si>
  <si>
    <t>R393L</t>
  </si>
  <si>
    <t>R393U</t>
  </si>
  <si>
    <t>R394</t>
  </si>
  <si>
    <t>R394L</t>
  </si>
  <si>
    <t>R394U</t>
  </si>
  <si>
    <t>R395</t>
  </si>
  <si>
    <t>R395L</t>
  </si>
  <si>
    <t>R395U</t>
  </si>
  <si>
    <t>R396</t>
  </si>
  <si>
    <t>R396L</t>
  </si>
  <si>
    <t>R396U</t>
  </si>
  <si>
    <t>R397</t>
  </si>
  <si>
    <t>R397L</t>
  </si>
  <si>
    <t>R397U</t>
  </si>
  <si>
    <t>R398</t>
  </si>
  <si>
    <t>R398L</t>
  </si>
  <si>
    <t>R398U</t>
  </si>
  <si>
    <t>R399</t>
  </si>
  <si>
    <t>R399L</t>
  </si>
  <si>
    <t>R399U</t>
  </si>
  <si>
    <t>R400</t>
  </si>
  <si>
    <t>R400L</t>
  </si>
  <si>
    <t>R400U</t>
  </si>
  <si>
    <t>R401</t>
  </si>
  <si>
    <t>R401L</t>
  </si>
  <si>
    <t>R401U</t>
  </si>
  <si>
    <t>R402</t>
  </si>
  <si>
    <t>R402L</t>
  </si>
  <si>
    <t>R402U</t>
  </si>
  <si>
    <t>R412</t>
  </si>
  <si>
    <t>R412U</t>
  </si>
  <si>
    <t>R412F</t>
  </si>
  <si>
    <t>R419</t>
  </si>
  <si>
    <t>R419U</t>
  </si>
  <si>
    <t>R419F</t>
  </si>
  <si>
    <t>R422</t>
  </si>
  <si>
    <t>R422U</t>
  </si>
  <si>
    <t>R422F</t>
  </si>
  <si>
    <t>R428</t>
  </si>
  <si>
    <t>R428U</t>
  </si>
  <si>
    <t>R428F</t>
  </si>
  <si>
    <t>R429</t>
  </si>
  <si>
    <t>R429U</t>
  </si>
  <si>
    <t>R429F</t>
  </si>
  <si>
    <t>R430</t>
  </si>
  <si>
    <t>R430U</t>
  </si>
  <si>
    <t>R430F</t>
  </si>
  <si>
    <t>R434</t>
  </si>
  <si>
    <t>R434U</t>
  </si>
  <si>
    <t>R434F</t>
  </si>
  <si>
    <t>R438</t>
  </si>
  <si>
    <t>R438U</t>
  </si>
  <si>
    <t>R438F</t>
  </si>
  <si>
    <t>R439</t>
  </si>
  <si>
    <t>R439U</t>
  </si>
  <si>
    <t>R439F</t>
  </si>
  <si>
    <t>R440</t>
  </si>
  <si>
    <t>R440U</t>
  </si>
  <si>
    <t>R440F</t>
  </si>
  <si>
    <t>R441</t>
  </si>
  <si>
    <t>R441U</t>
  </si>
  <si>
    <t>R441F</t>
  </si>
  <si>
    <t>R555</t>
  </si>
  <si>
    <t>R555L</t>
  </si>
  <si>
    <t>R555U</t>
  </si>
  <si>
    <t>R601</t>
  </si>
  <si>
    <t>R601L</t>
  </si>
  <si>
    <t>R601U</t>
  </si>
  <si>
    <t>R601F</t>
  </si>
  <si>
    <t>R602</t>
  </si>
  <si>
    <t>R602L</t>
  </si>
  <si>
    <t>R602U</t>
  </si>
  <si>
    <t>R603</t>
  </si>
  <si>
    <t>R603L</t>
  </si>
  <si>
    <t>R603U</t>
  </si>
  <si>
    <t>R604</t>
  </si>
  <si>
    <t>R604L</t>
  </si>
  <si>
    <t>R604U</t>
  </si>
  <si>
    <t>R605</t>
  </si>
  <si>
    <t>R605L</t>
  </si>
  <si>
    <t>R605U</t>
  </si>
  <si>
    <t>R606</t>
  </si>
  <si>
    <t>R606L</t>
  </si>
  <si>
    <t>R606U</t>
  </si>
  <si>
    <t>R607</t>
  </si>
  <si>
    <t>R607L</t>
  </si>
  <si>
    <t>R607U</t>
  </si>
  <si>
    <t>R608</t>
  </si>
  <si>
    <t>R608L</t>
  </si>
  <si>
    <t>R608U</t>
  </si>
  <si>
    <t>R609</t>
  </si>
  <si>
    <t>R609L</t>
  </si>
  <si>
    <t>R609U</t>
  </si>
  <si>
    <t>R610</t>
  </si>
  <si>
    <t>R610L</t>
  </si>
  <si>
    <t>R610U</t>
  </si>
  <si>
    <t>R611</t>
  </si>
  <si>
    <t>R611L</t>
  </si>
  <si>
    <t>R611U</t>
  </si>
  <si>
    <t>R612</t>
  </si>
  <si>
    <t>R612L</t>
  </si>
  <si>
    <t>R612U</t>
  </si>
  <si>
    <t>R613</t>
  </si>
  <si>
    <t>R613L</t>
  </si>
  <si>
    <t>R613U</t>
  </si>
  <si>
    <t>R617</t>
  </si>
  <si>
    <t>R617L</t>
  </si>
  <si>
    <t>R617U</t>
  </si>
  <si>
    <t>R619</t>
  </si>
  <si>
    <t>R619L</t>
  </si>
  <si>
    <t>R619U</t>
  </si>
  <si>
    <t>R620</t>
  </si>
  <si>
    <t>R620L</t>
  </si>
  <si>
    <t>R620U</t>
  </si>
  <si>
    <t>R621</t>
  </si>
  <si>
    <t>R621L</t>
  </si>
  <si>
    <t>R621U</t>
  </si>
  <si>
    <t>R622</t>
  </si>
  <si>
    <t>R622L</t>
  </si>
  <si>
    <t>R622U</t>
  </si>
  <si>
    <t>R623</t>
  </si>
  <si>
    <t>R623L</t>
  </si>
  <si>
    <t>R623U</t>
  </si>
  <si>
    <t>R624</t>
  </si>
  <si>
    <t>R624L</t>
  </si>
  <si>
    <t>R624U</t>
  </si>
  <si>
    <t>R625</t>
  </si>
  <si>
    <t>R625L</t>
  </si>
  <si>
    <t>R625U</t>
  </si>
  <si>
    <t>R626</t>
  </si>
  <si>
    <t>R626L</t>
  </si>
  <si>
    <t>R626U</t>
  </si>
  <si>
    <t>R627</t>
  </si>
  <si>
    <t>R627L</t>
  </si>
  <si>
    <t>R627U</t>
  </si>
  <si>
    <t>R628</t>
  </si>
  <si>
    <t>R628L</t>
  </si>
  <si>
    <t>R628U</t>
  </si>
  <si>
    <t>R629</t>
  </si>
  <si>
    <t>R629L</t>
  </si>
  <si>
    <t>R629U</t>
  </si>
  <si>
    <t>R630</t>
  </si>
  <si>
    <t>R630L</t>
  </si>
  <si>
    <t>R630U</t>
  </si>
  <si>
    <t>R631</t>
  </si>
  <si>
    <t>R631L</t>
  </si>
  <si>
    <t>R631U</t>
  </si>
  <si>
    <t>R642</t>
  </si>
  <si>
    <t>R642L</t>
  </si>
  <si>
    <t>R642U</t>
  </si>
  <si>
    <t>R643</t>
  </si>
  <si>
    <t>R643L</t>
  </si>
  <si>
    <t>R643U</t>
  </si>
  <si>
    <t>R644</t>
  </si>
  <si>
    <t>R644L</t>
  </si>
  <si>
    <t>R644U</t>
  </si>
  <si>
    <t>R645</t>
  </si>
  <si>
    <t>R645L</t>
  </si>
  <si>
    <t>R645U</t>
  </si>
  <si>
    <t>R646</t>
  </si>
  <si>
    <t>R646L</t>
  </si>
  <si>
    <t>R646U</t>
  </si>
  <si>
    <t>R647</t>
  </si>
  <si>
    <t>R647L</t>
  </si>
  <si>
    <t>R647U</t>
  </si>
  <si>
    <t>R649</t>
  </si>
  <si>
    <t>R649L</t>
  </si>
  <si>
    <t>R649U</t>
  </si>
  <si>
    <t>R650</t>
  </si>
  <si>
    <t>R650L</t>
  </si>
  <si>
    <t>R650U</t>
  </si>
  <si>
    <t>R651</t>
  </si>
  <si>
    <t>R651L</t>
  </si>
  <si>
    <t>R651U</t>
  </si>
  <si>
    <t>R652</t>
  </si>
  <si>
    <t>R652L</t>
  </si>
  <si>
    <t>R652U</t>
  </si>
  <si>
    <t>R653</t>
  </si>
  <si>
    <t>R653L</t>
  </si>
  <si>
    <t>R653U</t>
  </si>
  <si>
    <t>R654</t>
  </si>
  <si>
    <t>R654L</t>
  </si>
  <si>
    <t>R654U</t>
  </si>
  <si>
    <t>R655</t>
  </si>
  <si>
    <t>R655L</t>
  </si>
  <si>
    <t>R655U</t>
  </si>
  <si>
    <t>R656</t>
  </si>
  <si>
    <t>R656L</t>
  </si>
  <si>
    <t>R656U</t>
  </si>
  <si>
    <t>R658</t>
  </si>
  <si>
    <t>R658L</t>
  </si>
  <si>
    <t>R658U</t>
  </si>
  <si>
    <t>R659</t>
  </si>
  <si>
    <t>R659L</t>
  </si>
  <si>
    <t>R659U</t>
  </si>
  <si>
    <t>R660</t>
  </si>
  <si>
    <t>R660L</t>
  </si>
  <si>
    <t>R660U</t>
  </si>
  <si>
    <t>R661</t>
  </si>
  <si>
    <t>R661L</t>
  </si>
  <si>
    <t>R661U</t>
  </si>
  <si>
    <t>R662</t>
  </si>
  <si>
    <t>R662L</t>
  </si>
  <si>
    <t>R662U</t>
  </si>
  <si>
    <t>R672</t>
  </si>
  <si>
    <t>R672L</t>
  </si>
  <si>
    <t>R672U</t>
  </si>
  <si>
    <t>R672F</t>
  </si>
  <si>
    <t>R673</t>
  </si>
  <si>
    <t>R673L</t>
  </si>
  <si>
    <t>R673U</t>
  </si>
  <si>
    <t>R674</t>
  </si>
  <si>
    <t>R674L</t>
  </si>
  <si>
    <t>R674U</t>
  </si>
  <si>
    <t>R674F</t>
  </si>
  <si>
    <t>R675</t>
  </si>
  <si>
    <t>R675L</t>
  </si>
  <si>
    <t>R675U</t>
  </si>
  <si>
    <t>R676</t>
  </si>
  <si>
    <t>R676L</t>
  </si>
  <si>
    <t>R676U</t>
  </si>
  <si>
    <t>R677</t>
  </si>
  <si>
    <t>R677L</t>
  </si>
  <si>
    <t>R677U</t>
  </si>
  <si>
    <t>R678</t>
  </si>
  <si>
    <t>R678L</t>
  </si>
  <si>
    <t>R678U</t>
  </si>
  <si>
    <t>R679</t>
  </si>
  <si>
    <t>R679L</t>
  </si>
  <si>
    <t>R679U</t>
  </si>
  <si>
    <t>R680</t>
  </si>
  <si>
    <t>R680L</t>
  </si>
  <si>
    <t>R680U</t>
  </si>
  <si>
    <t>R436</t>
  </si>
  <si>
    <t>R618</t>
  </si>
  <si>
    <t>R633</t>
  </si>
  <si>
    <t>R634</t>
  </si>
  <si>
    <t>R635</t>
  </si>
  <si>
    <t>R637</t>
  </si>
  <si>
    <t>R638</t>
  </si>
  <si>
    <t>R639</t>
  </si>
  <si>
    <t>R640</t>
  </si>
  <si>
    <t>R663</t>
  </si>
  <si>
    <t>R665</t>
  </si>
  <si>
    <t>R666</t>
  </si>
  <si>
    <t>R667</t>
  </si>
  <si>
    <t>R668</t>
  </si>
  <si>
    <t>R669</t>
  </si>
  <si>
    <t>R671</t>
  </si>
  <si>
    <t>R403</t>
  </si>
  <si>
    <t>R17</t>
  </si>
  <si>
    <t>R18</t>
  </si>
  <si>
    <t>R19</t>
  </si>
  <si>
    <t>R21</t>
  </si>
  <si>
    <t>R22</t>
  </si>
  <si>
    <t>R23</t>
  </si>
  <si>
    <t>R24</t>
  </si>
  <si>
    <t>R27</t>
  </si>
  <si>
    <t>R46</t>
  </si>
  <si>
    <t>R47</t>
  </si>
  <si>
    <t>R48</t>
  </si>
  <si>
    <t>R49</t>
  </si>
  <si>
    <t>R50</t>
  </si>
  <si>
    <t>R51</t>
  </si>
  <si>
    <t>R52</t>
  </si>
  <si>
    <t>R53</t>
  </si>
  <si>
    <t>R54</t>
  </si>
  <si>
    <t>R56</t>
  </si>
  <si>
    <t>R57</t>
  </si>
  <si>
    <t>R58</t>
  </si>
  <si>
    <t>R59</t>
  </si>
  <si>
    <t>R60</t>
  </si>
  <si>
    <t>R61</t>
  </si>
  <si>
    <t>R62</t>
  </si>
  <si>
    <t>R63</t>
  </si>
  <si>
    <t>R65</t>
  </si>
  <si>
    <t>R66</t>
  </si>
  <si>
    <t>R67</t>
  </si>
  <si>
    <t>R69</t>
  </si>
  <si>
    <t>R70</t>
  </si>
  <si>
    <t>R72</t>
  </si>
  <si>
    <t>R73</t>
  </si>
  <si>
    <t>R75</t>
  </si>
  <si>
    <t>R76</t>
  </si>
  <si>
    <t>R77</t>
  </si>
  <si>
    <t>R78</t>
  </si>
  <si>
    <t>R88</t>
  </si>
  <si>
    <t>R89</t>
  </si>
  <si>
    <t>R91</t>
  </si>
  <si>
    <t>R92</t>
  </si>
  <si>
    <t>R93</t>
  </si>
  <si>
    <t>R94</t>
  </si>
  <si>
    <t>R95</t>
  </si>
  <si>
    <t>R96</t>
  </si>
  <si>
    <t>R97</t>
  </si>
  <si>
    <t>R98</t>
  </si>
  <si>
    <t>R99</t>
  </si>
  <si>
    <t>R100</t>
  </si>
  <si>
    <t>R101</t>
  </si>
  <si>
    <t>R102</t>
  </si>
  <si>
    <t>R103</t>
  </si>
  <si>
    <t>R105</t>
  </si>
  <si>
    <t>R107</t>
  </si>
  <si>
    <t>R108</t>
  </si>
  <si>
    <t>R109</t>
  </si>
  <si>
    <t>R110</t>
  </si>
  <si>
    <t>R111</t>
  </si>
  <si>
    <t>R112</t>
  </si>
  <si>
    <t>R113</t>
  </si>
  <si>
    <t>R114</t>
  </si>
  <si>
    <t>R115</t>
  </si>
  <si>
    <t>R116</t>
  </si>
  <si>
    <t>R117</t>
  </si>
  <si>
    <t>R118</t>
  </si>
  <si>
    <t>R119</t>
  </si>
  <si>
    <t>R120</t>
  </si>
  <si>
    <t>R121</t>
  </si>
  <si>
    <t>R123</t>
  </si>
  <si>
    <t>R125</t>
  </si>
  <si>
    <t>R126</t>
  </si>
  <si>
    <t>R127</t>
  </si>
  <si>
    <t>R131</t>
  </si>
  <si>
    <t>R133</t>
  </si>
  <si>
    <t>R134</t>
  </si>
  <si>
    <t>R135</t>
  </si>
  <si>
    <t>R136</t>
  </si>
  <si>
    <t>R137</t>
  </si>
  <si>
    <t>R138</t>
  </si>
  <si>
    <t>R139</t>
  </si>
  <si>
    <t>R140</t>
  </si>
  <si>
    <t>R141</t>
  </si>
  <si>
    <t>R142</t>
  </si>
  <si>
    <t>R143</t>
  </si>
  <si>
    <t>R144</t>
  </si>
  <si>
    <t>R145</t>
  </si>
  <si>
    <t>R157</t>
  </si>
  <si>
    <t>R158</t>
  </si>
  <si>
    <t>R159</t>
  </si>
  <si>
    <t>R160</t>
  </si>
  <si>
    <t>R162</t>
  </si>
  <si>
    <t>R163</t>
  </si>
  <si>
    <t>R165</t>
  </si>
  <si>
    <t>R166</t>
  </si>
  <si>
    <t>R167</t>
  </si>
  <si>
    <t>R168</t>
  </si>
  <si>
    <t>R169</t>
  </si>
  <si>
    <t>R170</t>
  </si>
  <si>
    <t>R173</t>
  </si>
  <si>
    <t>R174</t>
  </si>
  <si>
    <t>R175</t>
  </si>
  <si>
    <t>R176</t>
  </si>
  <si>
    <t>R177</t>
  </si>
  <si>
    <t>R178</t>
  </si>
  <si>
    <t>R179</t>
  </si>
  <si>
    <t>R180</t>
  </si>
  <si>
    <t>R181</t>
  </si>
  <si>
    <t>R182</t>
  </si>
  <si>
    <t>R183</t>
  </si>
  <si>
    <t>R184</t>
  </si>
  <si>
    <t>R185</t>
  </si>
  <si>
    <t>R186</t>
  </si>
  <si>
    <t>R187</t>
  </si>
  <si>
    <t>R188</t>
  </si>
  <si>
    <t>R190</t>
  </si>
  <si>
    <t>R191</t>
  </si>
  <si>
    <t>R192</t>
  </si>
  <si>
    <t>R194</t>
  </si>
  <si>
    <t>R195</t>
  </si>
  <si>
    <t>R196</t>
  </si>
  <si>
    <t>R197</t>
  </si>
  <si>
    <t>R198</t>
  </si>
  <si>
    <t>R199</t>
  </si>
  <si>
    <t>R200</t>
  </si>
  <si>
    <t>R201</t>
  </si>
  <si>
    <t>R202</t>
  </si>
  <si>
    <t>R203</t>
  </si>
  <si>
    <t>R204</t>
  </si>
  <si>
    <t>R205</t>
  </si>
  <si>
    <t>R206</t>
  </si>
  <si>
    <t>R207</t>
  </si>
  <si>
    <t>R208</t>
  </si>
  <si>
    <t>R209</t>
  </si>
  <si>
    <t>R210</t>
  </si>
  <si>
    <t>R211</t>
  </si>
  <si>
    <t>R212</t>
  </si>
  <si>
    <t>R213</t>
  </si>
  <si>
    <t>R214</t>
  </si>
  <si>
    <t>R221</t>
  </si>
  <si>
    <t>R222</t>
  </si>
  <si>
    <t>R224</t>
  </si>
  <si>
    <t>R226</t>
  </si>
  <si>
    <t>R229</t>
  </si>
  <si>
    <t>R230</t>
  </si>
  <si>
    <t>R231</t>
  </si>
  <si>
    <t>R232</t>
  </si>
  <si>
    <t>R233</t>
  </si>
  <si>
    <t>R234</t>
  </si>
  <si>
    <t>R236</t>
  </si>
  <si>
    <t>R237</t>
  </si>
  <si>
    <t>R238</t>
  </si>
  <si>
    <t>R239</t>
  </si>
  <si>
    <t>R240</t>
  </si>
  <si>
    <t>R241</t>
  </si>
  <si>
    <t>R248</t>
  </si>
  <si>
    <t>R249</t>
  </si>
  <si>
    <t>R250</t>
  </si>
  <si>
    <t>R251</t>
  </si>
  <si>
    <t>R252</t>
  </si>
  <si>
    <t>R253</t>
  </si>
  <si>
    <t>R254</t>
  </si>
  <si>
    <t>R255</t>
  </si>
  <si>
    <t>R256</t>
  </si>
  <si>
    <t>R257</t>
  </si>
  <si>
    <t>R258</t>
  </si>
  <si>
    <t>R259</t>
  </si>
  <si>
    <t>R261</t>
  </si>
  <si>
    <t>R262</t>
  </si>
  <si>
    <t>R263</t>
  </si>
  <si>
    <t>R264</t>
  </si>
  <si>
    <t>R265</t>
  </si>
  <si>
    <t>R266</t>
  </si>
  <si>
    <t>R267</t>
  </si>
  <si>
    <t>R268</t>
  </si>
  <si>
    <t>R269</t>
  </si>
  <si>
    <t>R270</t>
  </si>
  <si>
    <t>R271</t>
  </si>
  <si>
    <t>R272</t>
  </si>
  <si>
    <t>R273</t>
  </si>
  <si>
    <t>R274</t>
  </si>
  <si>
    <t>R275</t>
  </si>
  <si>
    <t>R276</t>
  </si>
  <si>
    <t>R277</t>
  </si>
  <si>
    <t>R278</t>
  </si>
  <si>
    <t>R279</t>
  </si>
  <si>
    <t>R280</t>
  </si>
  <si>
    <t>R281</t>
  </si>
  <si>
    <t>R282</t>
  </si>
  <si>
    <t>R283</t>
  </si>
  <si>
    <t>R284</t>
  </si>
  <si>
    <t>R285</t>
  </si>
  <si>
    <t>R286</t>
  </si>
  <si>
    <t>R287</t>
  </si>
  <si>
    <t>R288</t>
  </si>
  <si>
    <t>R289</t>
  </si>
  <si>
    <t>R290</t>
  </si>
  <si>
    <t>R291</t>
  </si>
  <si>
    <t>R614</t>
  </si>
  <si>
    <t>R615</t>
  </si>
  <si>
    <t>R616</t>
  </si>
  <si>
    <t>R648</t>
  </si>
  <si>
    <t>R657</t>
  </si>
  <si>
    <t>R301</t>
  </si>
  <si>
    <t>R302</t>
  </si>
  <si>
    <t>R303</t>
  </si>
  <si>
    <t>R304</t>
  </si>
  <si>
    <t>R305</t>
  </si>
  <si>
    <t>R306</t>
  </si>
  <si>
    <t>R751</t>
  </si>
  <si>
    <t>R950</t>
  </si>
  <si>
    <t>R951</t>
  </si>
  <si>
    <t>R952</t>
  </si>
  <si>
    <t>R953</t>
  </si>
  <si>
    <t>R954</t>
  </si>
  <si>
    <t>R955</t>
  </si>
  <si>
    <t>R956</t>
  </si>
  <si>
    <t>R957</t>
  </si>
  <si>
    <t>R958</t>
  </si>
  <si>
    <t>R959</t>
  </si>
  <si>
    <t>R960</t>
  </si>
  <si>
    <t>R961</t>
  </si>
  <si>
    <t>R962</t>
  </si>
  <si>
    <t>R963</t>
  </si>
  <si>
    <t>R964</t>
  </si>
  <si>
    <t>R965</t>
  </si>
  <si>
    <t>R966</t>
  </si>
  <si>
    <t>R968</t>
  </si>
  <si>
    <t>R969</t>
  </si>
  <si>
    <t>R970</t>
  </si>
  <si>
    <t>R971</t>
  </si>
  <si>
    <t>R972</t>
  </si>
  <si>
    <t>R973</t>
  </si>
  <si>
    <t>R572</t>
  </si>
  <si>
    <t>R579</t>
  </si>
  <si>
    <t>Avon Fire</t>
  </si>
  <si>
    <t>Cleveland Fire</t>
  </si>
  <si>
    <t>Humberside Fire</t>
  </si>
  <si>
    <t>North Yorkshire Fire</t>
  </si>
  <si>
    <t>Bedfordshire Fire</t>
  </si>
  <si>
    <t>Buckinghamshire Fire</t>
  </si>
  <si>
    <t>Derbyshire Fire</t>
  </si>
  <si>
    <t>Dorset Fire</t>
  </si>
  <si>
    <t>Durham Fire</t>
  </si>
  <si>
    <t>East Sussex Fire</t>
  </si>
  <si>
    <t>Hampshire Fire</t>
  </si>
  <si>
    <t>Leicestershire Fire</t>
  </si>
  <si>
    <t>Staffordshire Fire</t>
  </si>
  <si>
    <t>Wiltshire Fire</t>
  </si>
  <si>
    <t>Berkshire Fire</t>
  </si>
  <si>
    <t>Cambridgeshire Fire</t>
  </si>
  <si>
    <t>Cheshire Fire</t>
  </si>
  <si>
    <t>Essex Fire</t>
  </si>
  <si>
    <t>Hereford and Worcester Fire</t>
  </si>
  <si>
    <t>Kent Fire</t>
  </si>
  <si>
    <t>Lancashire Fire</t>
  </si>
  <si>
    <t>Nottinghamshire Fire</t>
  </si>
  <si>
    <t>Shropshire Fire</t>
  </si>
  <si>
    <t>Devon &amp; Somerset Fire</t>
  </si>
  <si>
    <t>Lower-Tier Formula Funding</t>
  </si>
  <si>
    <t>Early Intervention Funding</t>
  </si>
  <si>
    <t>GLA General Funding</t>
  </si>
  <si>
    <t>Homelessness Prevention Funding</t>
  </si>
  <si>
    <t>Learning Disability and Health Reform Funding</t>
  </si>
  <si>
    <t>Inner London Boroughs</t>
  </si>
  <si>
    <t>Outer London Boroughs</t>
  </si>
  <si>
    <t>London Boroughs</t>
  </si>
  <si>
    <t>GLA</t>
  </si>
  <si>
    <t>Metropolitan Districts</t>
  </si>
  <si>
    <t>Metropolitan Fire Authorities</t>
  </si>
  <si>
    <t>Shire Districts</t>
  </si>
  <si>
    <t>Shire Counties with Fire</t>
  </si>
  <si>
    <t>Shire Counties without Fire</t>
  </si>
  <si>
    <t>Shire Unitaries with Fire</t>
  </si>
  <si>
    <t>Shire Unitaries without Fire</t>
  </si>
  <si>
    <t>Shire Fire Authorities</t>
  </si>
  <si>
    <t>London Area</t>
  </si>
  <si>
    <t>Metropolitan Areas</t>
  </si>
  <si>
    <t>Shire Areas</t>
  </si>
  <si>
    <t>Total England</t>
  </si>
  <si>
    <t>ACCT</t>
  </si>
  <si>
    <t>LANAMES</t>
  </si>
  <si>
    <t>CLASS</t>
  </si>
  <si>
    <t>MD</t>
  </si>
  <si>
    <t>ILB</t>
  </si>
  <si>
    <t>OLB</t>
  </si>
  <si>
    <t>SCFIR</t>
  </si>
  <si>
    <t>UNIFIR</t>
  </si>
  <si>
    <t>UNINFIR</t>
  </si>
  <si>
    <t>SCNFIR</t>
  </si>
  <si>
    <t>SCILLY</t>
  </si>
  <si>
    <t>SD</t>
  </si>
  <si>
    <t>SFIR</t>
  </si>
  <si>
    <t>FIR</t>
  </si>
  <si>
    <t>2015-16 Control Totals Within RSG</t>
  </si>
  <si>
    <t>2014-15 Allocation: Upper-Tier Formula Funding within Baseline Funding Level</t>
  </si>
  <si>
    <t>2015-16 Allocation: Upper-Tier Formula Funding within Baseline Funding Level</t>
  </si>
  <si>
    <t>2014-15 Allocation: Lower-Tier Formula Funding within Baseline Funding Level</t>
  </si>
  <si>
    <t>2015-16 Allocation: Lower-Tier Formula Funding within Baseline Funding Level</t>
  </si>
  <si>
    <t>2014-15 Allocation: Fire Formula Funding within Baseline Funding Level</t>
  </si>
  <si>
    <t>2015-16 Allocation: Fire Formula Funding within Baseline Funding Level</t>
  </si>
  <si>
    <t>2014-15 Allocation: 2011-12 Council Tax Freeze within Baseline Funding Level</t>
  </si>
  <si>
    <t>2015-16 Allocation: 2011-12 Council Tax Freeze within Baseline Funding Level</t>
  </si>
  <si>
    <t>2014-15 Allocation: Early Intervention Funding within Baseline Funding Level</t>
  </si>
  <si>
    <t>2015-16 Allocation: Early Intervention Funding within Baseline Funding Level</t>
  </si>
  <si>
    <t>2014-15 Allocation: GLA General within Baseline Funding Level</t>
  </si>
  <si>
    <t>2015-16 Allocation: GLA General within Baseline Funding Level</t>
  </si>
  <si>
    <t>2014-15 Allocation: GLA Transport Grant within Baseline Funding Level</t>
  </si>
  <si>
    <t>2015-16 Allocation: GLA Transport Grant within Baseline Funding Level</t>
  </si>
  <si>
    <t>2014-15 Allocation: London Bus Services Operators Funding within Baseline Funding Level</t>
  </si>
  <si>
    <t>2015-16 Allocation: London Bus Services Operators Funding within Baseline Funding Level</t>
  </si>
  <si>
    <t>2014-15 Allocation: Homlessness Prevention Funding within Baseline Funding Level</t>
  </si>
  <si>
    <t>2015-16 Allocation: Homlessness Prevention Funding within Baseline Funding Level</t>
  </si>
  <si>
    <t>2014-15 Allocation: Lead Local Authority Flood Funding within Baseline Funding Level</t>
  </si>
  <si>
    <t>2015-16 Allocation: Lead Local Authority Flood Funding within Baseline Funding Level</t>
  </si>
  <si>
    <t>2014-15 Allcation: Learning Disability Funding within Baseline Funding Level</t>
  </si>
  <si>
    <t>2015-16 Allocation: Learning Disability Funding within Baseline Funding</t>
  </si>
  <si>
    <t>2014-15 Baseline Funding Level</t>
  </si>
  <si>
    <t>2015-16 Baseline Funding Level</t>
  </si>
  <si>
    <t>2014-15 Allocation: Upper-Tier Formula Funding within RSG</t>
  </si>
  <si>
    <t>2015-16 Allocation: Upper-Tier Formula Funding within RSG</t>
  </si>
  <si>
    <t>2014-15 Allocation: Lower-Tier Formula Funding within RSG</t>
  </si>
  <si>
    <t>2014-15 Allocation: Fire Formula Funding within RSG</t>
  </si>
  <si>
    <t>2014-15 Allocation: Early Intervention Funding within RSG</t>
  </si>
  <si>
    <t>2014-15 Allocation: GLA General Funding within RSG</t>
  </si>
  <si>
    <t>2014-15 Allocation: Homelessness Prevention Funding within RSG</t>
  </si>
  <si>
    <t>2014-15 Allocation: Lead Local Flood Authority Funding within RSG</t>
  </si>
  <si>
    <t>2014-15 Allocation: Learning Disability and Heath Reform Funding within RSG</t>
  </si>
  <si>
    <t>2015-16 Allocation: Lower-Tier Formula Funding within RSG</t>
  </si>
  <si>
    <t>2015-16 Allocation: Fire Formula Funding within RSG</t>
  </si>
  <si>
    <t>2015-16 Allocation: Early Intervention Funding within RSG</t>
  </si>
  <si>
    <t>2015-16 Allocation: GLA General Funding within RSG</t>
  </si>
  <si>
    <t>2015-16 Allocation: Homelessness Prevention Funding within RSG</t>
  </si>
  <si>
    <t>2015-16 Allocation: Lead Local Flood Authority Funding within RSG</t>
  </si>
  <si>
    <t>2015-16 Allocation: Learning Disability and Heath Reform Funding within RSG</t>
  </si>
  <si>
    <t>2015-16 Allocation: Revenue Support Grant</t>
  </si>
  <si>
    <t>2014-15 Allocation: 2013-14 Council Tax Freeze Compensation within RSG</t>
  </si>
  <si>
    <t>2014-15 Allocation: Settlement Funding Assessment</t>
  </si>
  <si>
    <t>2015-16 Allocation: Settlement Funding Assessment</t>
  </si>
  <si>
    <t>Breakdown of Start-Up Funding Assessment/Settlement Funding Assessment</t>
  </si>
  <si>
    <t>Select local authority by clicking on the box below and using the drop-down button</t>
  </si>
  <si>
    <t>Acct Code</t>
  </si>
  <si>
    <t>TE</t>
  </si>
  <si>
    <t>TL</t>
  </si>
  <si>
    <t>TM</t>
  </si>
  <si>
    <t>Upper-Tier Funding</t>
  </si>
  <si>
    <t>TS</t>
  </si>
  <si>
    <t>Lower-tier Funding</t>
  </si>
  <si>
    <t>Fire &amp; Rescue Funding</t>
  </si>
  <si>
    <t>TILB</t>
  </si>
  <si>
    <t>TOLB</t>
  </si>
  <si>
    <t>TLB</t>
  </si>
  <si>
    <t>R570</t>
  </si>
  <si>
    <t>GLA Transport Funding</t>
  </si>
  <si>
    <t>London Bus Services Operators Grant</t>
  </si>
  <si>
    <t>TMD</t>
  </si>
  <si>
    <t>TFIR</t>
  </si>
  <si>
    <t>Lead Local Flood Authority Funding</t>
  </si>
  <si>
    <t>TSCFIR</t>
  </si>
  <si>
    <t>TSCNFIR</t>
  </si>
  <si>
    <t>TUFIR</t>
  </si>
  <si>
    <t>Returned Holdback</t>
  </si>
  <si>
    <t>TUNFIR</t>
  </si>
  <si>
    <t>TSD</t>
  </si>
  <si>
    <t>Settlement Funding Assessment</t>
  </si>
  <si>
    <t>TSFIR</t>
  </si>
  <si>
    <t>Isle of Wight</t>
  </si>
  <si>
    <t>Calculation of the Baseline Funding Level</t>
  </si>
  <si>
    <t>2014-15 Allocation within the Baseline Funding Level</t>
  </si>
  <si>
    <t>Calculation of Revenue Support Grant</t>
  </si>
  <si>
    <t>2015-16 Allocation within the Baseline Funding Level</t>
  </si>
  <si>
    <t>2014-15 Revenue Support Grant</t>
  </si>
  <si>
    <t xml:space="preserve">2014-15 Baseline Funding </t>
  </si>
  <si>
    <t>2014-15 GLA Transport Funding</t>
  </si>
  <si>
    <t>2014-15 London Bus Services Operators Funding</t>
  </si>
  <si>
    <t>Isles of Scilly 2014-15 Baseline Amount</t>
  </si>
  <si>
    <t>2014-15 Allocation: Returned Funding</t>
  </si>
  <si>
    <t>Notes</t>
  </si>
  <si>
    <t>Multiply by the small business rates multiplier</t>
  </si>
  <si>
    <t>2014-15 Authority Allocation within Revenue Support Grant</t>
  </si>
  <si>
    <t>2014-15 Total within Revenue Support Grant</t>
  </si>
  <si>
    <t>2015-16 Total within Revenue Support Grant</t>
  </si>
  <si>
    <t>2015-16 Authority Allocation within Revenue Support Grant</t>
  </si>
  <si>
    <t>Small Business Rates Multiplier</t>
  </si>
  <si>
    <t xml:space="preserve">= (a) / (b) * (c) </t>
  </si>
  <si>
    <t>(a) The 2014-15 allocation for the authority</t>
  </si>
  <si>
    <t>(b) The sum for all authorities</t>
  </si>
  <si>
    <t>(c) The 2015-16 control total within RSG</t>
  </si>
  <si>
    <t>Settlement Funding Assessment for 2015-16</t>
  </si>
  <si>
    <t>Baseline Funding Level for 2015-16</t>
  </si>
  <si>
    <t>Baseline Funding Level for 2014-15</t>
  </si>
  <si>
    <t>Revenue Support Grant for 2015-16</t>
  </si>
  <si>
    <t>Baseline Funding Level + Revenue Support Grant</t>
  </si>
  <si>
    <t>NOTES:</t>
  </si>
  <si>
    <t>1) In addition, a Transport Grant payable directly to the Greater London Authority for the purposes of Transport for London, as provided for under Section 101 of the Greater London Authority Act, will continue to be paid by the Department for Transport</t>
  </si>
  <si>
    <t>2) Funding for the Isles of Scilly is determined separately by the Secretary of State due to its unique circumstances</t>
  </si>
  <si>
    <t>2015-16 Allocation: Rural Services Delivery Funding within RSG</t>
  </si>
  <si>
    <t>2014-15 Allocation: Rural Services Delivery Funding within RSG</t>
  </si>
  <si>
    <t>Rural Services Delivery Funding</t>
  </si>
  <si>
    <t>2015-16 Allocation: Fire Formula Funding within RSG before Pensions Adjustment</t>
  </si>
  <si>
    <t>Pensions Adjustment</t>
  </si>
  <si>
    <t>2013-14 Formula Funding Before Floor Damping</t>
  </si>
  <si>
    <t>2014-15 Allocation: 2014-15 Council Tax Freeze Grant</t>
  </si>
  <si>
    <t>Council Tax Freeze Compensation Part 1</t>
  </si>
  <si>
    <t>Council Tax Freeze Compensation Part 2</t>
  </si>
  <si>
    <t>2015-16 Allocation: Rural Services Delivery Funding within RSG excl 2014-15 Rural Servces Delivery Grant</t>
  </si>
  <si>
    <t>2014-15 Rural Sevices Delivery Grant</t>
  </si>
  <si>
    <t>2015-16 Allocation: Efficiency Support Funding</t>
  </si>
  <si>
    <t>2014-15 Efficiency Support Grant</t>
  </si>
  <si>
    <t>Efficiency Support Funding</t>
  </si>
  <si>
    <t>Fire Pensions Adjustment</t>
  </si>
  <si>
    <t>(d) The Fire Pensions Adjustment</t>
  </si>
  <si>
    <t>= (a) / (b) * (c) - (d)</t>
  </si>
  <si>
    <t xml:space="preserve">Carbon Reduction Credits Energy Efficiency Scheme 
Adjustment
</t>
  </si>
  <si>
    <t>2014-15 Allocation: Council Tax Freeze Compensation Part 1 within RSG</t>
  </si>
  <si>
    <t>2015-16 Allocation: Council Tax Freeze Compensation Part 1 within RSG</t>
  </si>
  <si>
    <t>2014-15 Rural Services Delivery Grant</t>
  </si>
  <si>
    <t>(d) The 2014-15 Rural Services Delivery Grant allocation</t>
  </si>
  <si>
    <t>= (a) / (b) * (c) + (d)</t>
  </si>
  <si>
    <t>Council Tax Freeze Compenstion Part 1</t>
  </si>
  <si>
    <t>2014-15 Council Tax Freeze Grant</t>
  </si>
  <si>
    <t>(b) The 2014-15 Council Tax Freeze Grant allocation</t>
  </si>
  <si>
    <t>(a) The 2014-15 allocation of 2013-14 Council Tax Freeze Grant</t>
  </si>
  <si>
    <t>2015-16 Allocation: 2013-14 Council Tax Freeze Grant Compensation Part 2</t>
  </si>
  <si>
    <t>= (a) + (b)</t>
  </si>
  <si>
    <t>(a) The 2014-15 Efficiency Support Grant</t>
  </si>
  <si>
    <t>= (a)</t>
  </si>
  <si>
    <t>Adjusted Settlement Funding Assessment for 2014-15</t>
  </si>
  <si>
    <t>Adjusted Revenue Support Grant for 2014-15</t>
  </si>
  <si>
    <t xml:space="preserve">Carbon Reduction Credits Energy Efficiency Scheme </t>
  </si>
  <si>
    <t>2014-15 Allocation: Adjusted Revenue Support Grant</t>
  </si>
  <si>
    <t>2014-15 Local Welfare Provision Grant</t>
  </si>
  <si>
    <t>2015-16 Allocation: Local Welfare Provision</t>
  </si>
  <si>
    <t>Local Welfare Provision</t>
  </si>
  <si>
    <t>2015-16 Allocation: Upper-Tier Formula Funding within RSG before LWP adjustment</t>
  </si>
  <si>
    <t>2015-16 Local Welfare Provision</t>
  </si>
  <si>
    <t>(d) The 2015-16 allocation for Local Welfare Provision</t>
  </si>
  <si>
    <t>2014-15 Authority Allocation: 2013-14 Council Tax Freeze within Revenue Support Grant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</si>
</sst>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0000000"/>
    <numFmt numFmtId="165" formatCode="0.00000000000000"/>
    <numFmt numFmtId="166" formatCode="#,##0.0"/>
    <numFmt numFmtId="167" formatCode="#,##0.000"/>
    <numFmt numFmtId="168" formatCode="0.0%"/>
    <numFmt numFmtId="169" formatCode="0.0"/>
    <numFmt numFmtId="170" formatCode="#,##0.0000"/>
    <numFmt numFmtId="171" formatCode="#,##0.00000"/>
    <numFmt numFmtId="172" formatCode="#,##0.000000"/>
    <numFmt numFmtId="173" formatCode="#,##0.0000000"/>
    <numFmt numFmtId="174" formatCode="#,##0.00000000"/>
  </numFmts>
  <fonts count="45">
    <font>
      <sz val="10"/>
      <name val="Arial"/>
      <family val="0"/>
    </font>
    <font>
      <sz val="8"/>
      <name val="Arial"/>
      <family val="2"/>
    </font>
    <font>
      <b/>
      <sz val="10"/>
      <name val="Arial"/>
      <family val="2"/>
    </font>
    <font>
      <b/>
      <sz val="14"/>
      <color indexed="9"/>
      <name val="Arial"/>
      <family val="2"/>
    </font>
    <font>
      <b/>
      <sz val="10"/>
      <color indexed="9"/>
      <name val="Arial"/>
      <family val="2"/>
    </font>
    <font>
      <b/>
      <sz val="12"/>
      <color indexed="9"/>
      <name val="Arial"/>
      <family val="2"/>
    </font>
    <font>
      <sz val="10"/>
      <color indexed="10"/>
      <name val="Arial"/>
      <family val="2"/>
    </font>
    <font>
      <b/>
      <sz val="10"/>
      <color indexed="10"/>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i/>
      <sz val="12"/>
      <color indexed="23"/>
      <name val="Arial"/>
      <family val="2"/>
    </font>
    <font>
      <u val="single"/>
      <sz val="10"/>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0"/>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18"/>
        <bgColor indexed="64"/>
      </patternFill>
    </fill>
    <fill>
      <patternFill patternType="solid">
        <fgColor indexed="15"/>
        <bgColor indexed="64"/>
      </patternFill>
    </fill>
    <fill>
      <patternFill patternType="solid">
        <fgColor indexed="22"/>
        <bgColor indexed="64"/>
      </patternFill>
    </fill>
    <fill>
      <patternFill patternType="solid">
        <fgColor indexed="1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18"/>
      </left>
      <right style="medium">
        <color indexed="18"/>
      </right>
      <top style="medium">
        <color indexed="18"/>
      </top>
      <bottom style="medium">
        <color indexed="18"/>
      </bottom>
    </border>
    <border>
      <left>
        <color indexed="63"/>
      </left>
      <right>
        <color indexed="63"/>
      </right>
      <top>
        <color indexed="63"/>
      </top>
      <bottom style="double"/>
    </border>
    <border>
      <left style="medium">
        <color indexed="18"/>
      </left>
      <right>
        <color indexed="63"/>
      </right>
      <top style="medium">
        <color indexed="18"/>
      </top>
      <bottom style="medium">
        <color indexed="18"/>
      </bottom>
    </border>
    <border>
      <left>
        <color indexed="63"/>
      </left>
      <right>
        <color indexed="63"/>
      </right>
      <top style="medium">
        <color indexed="18"/>
      </top>
      <bottom style="medium">
        <color indexed="18"/>
      </bottom>
    </border>
    <border>
      <left>
        <color indexed="63"/>
      </left>
      <right style="medium">
        <color indexed="18"/>
      </right>
      <top style="medium">
        <color indexed="18"/>
      </top>
      <bottom style="medium">
        <color indexed="1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8">
    <xf numFmtId="0" fontId="0" fillId="0" borderId="0" xfId="0" applyAlignment="1">
      <alignment/>
    </xf>
    <xf numFmtId="3" fontId="0" fillId="0" borderId="0" xfId="0" applyNumberFormat="1" applyAlignment="1">
      <alignment/>
    </xf>
    <xf numFmtId="3" fontId="0" fillId="0" borderId="0" xfId="0" applyNumberFormat="1" applyAlignment="1">
      <alignment vertical="top" wrapText="1"/>
    </xf>
    <xf numFmtId="0" fontId="0" fillId="33" borderId="0" xfId="0" applyFill="1" applyAlignment="1">
      <alignment/>
    </xf>
    <xf numFmtId="3" fontId="0" fillId="33" borderId="0" xfId="0" applyNumberFormat="1" applyFill="1" applyAlignment="1">
      <alignment/>
    </xf>
    <xf numFmtId="0" fontId="0" fillId="34" borderId="0" xfId="0" applyFill="1" applyAlignment="1">
      <alignment/>
    </xf>
    <xf numFmtId="3" fontId="0" fillId="34" borderId="0" xfId="0" applyNumberFormat="1" applyFill="1" applyAlignment="1">
      <alignment/>
    </xf>
    <xf numFmtId="0" fontId="0" fillId="35" borderId="0" xfId="0" applyFill="1" applyAlignment="1">
      <alignment/>
    </xf>
    <xf numFmtId="3" fontId="0" fillId="35" borderId="0" xfId="0" applyNumberFormat="1" applyFill="1" applyAlignment="1">
      <alignment/>
    </xf>
    <xf numFmtId="3" fontId="0" fillId="0" borderId="0" xfId="0" applyNumberFormat="1" applyFill="1" applyAlignment="1">
      <alignment/>
    </xf>
    <xf numFmtId="4" fontId="0" fillId="0" borderId="0" xfId="0" applyNumberFormat="1" applyAlignment="1">
      <alignment/>
    </xf>
    <xf numFmtId="3" fontId="2" fillId="0" borderId="0" xfId="0" applyNumberFormat="1" applyFont="1" applyAlignment="1">
      <alignment vertical="top" wrapText="1"/>
    </xf>
    <xf numFmtId="3" fontId="2" fillId="0" borderId="0" xfId="0" applyNumberFormat="1" applyFont="1" applyAlignment="1">
      <alignment/>
    </xf>
    <xf numFmtId="3" fontId="2" fillId="33" borderId="0" xfId="0" applyNumberFormat="1" applyFont="1" applyFill="1" applyAlignment="1">
      <alignment/>
    </xf>
    <xf numFmtId="3" fontId="2" fillId="34" borderId="0" xfId="0" applyNumberFormat="1" applyFont="1" applyFill="1" applyAlignment="1">
      <alignment/>
    </xf>
    <xf numFmtId="3" fontId="2" fillId="35" borderId="0" xfId="0" applyNumberFormat="1" applyFont="1" applyFill="1" applyAlignment="1">
      <alignment/>
    </xf>
    <xf numFmtId="0" fontId="2" fillId="0" borderId="0" xfId="0" applyFont="1" applyAlignment="1">
      <alignment/>
    </xf>
    <xf numFmtId="0" fontId="0" fillId="0" borderId="0" xfId="0" applyFont="1" applyAlignment="1">
      <alignment/>
    </xf>
    <xf numFmtId="0" fontId="0" fillId="0" borderId="0" xfId="0" applyFill="1" applyAlignment="1">
      <alignment/>
    </xf>
    <xf numFmtId="3" fontId="0" fillId="0" borderId="0" xfId="0" applyNumberFormat="1" applyFill="1" applyAlignment="1">
      <alignment vertical="top" wrapText="1"/>
    </xf>
    <xf numFmtId="3" fontId="2" fillId="0" borderId="0" xfId="0" applyNumberFormat="1" applyFont="1" applyFill="1" applyAlignment="1">
      <alignment vertical="top" wrapText="1"/>
    </xf>
    <xf numFmtId="166" fontId="2" fillId="0" borderId="0" xfId="0" applyNumberFormat="1" applyFont="1" applyFill="1" applyAlignment="1">
      <alignment/>
    </xf>
    <xf numFmtId="167" fontId="0" fillId="0" borderId="0" xfId="0" applyNumberFormat="1" applyAlignment="1">
      <alignment/>
    </xf>
    <xf numFmtId="0" fontId="4" fillId="36" borderId="10" xfId="0" applyFont="1" applyFill="1" applyBorder="1" applyAlignment="1">
      <alignment/>
    </xf>
    <xf numFmtId="0" fontId="0" fillId="0" borderId="11" xfId="0" applyBorder="1" applyAlignment="1">
      <alignment/>
    </xf>
    <xf numFmtId="167" fontId="0" fillId="0" borderId="11" xfId="0" applyNumberFormat="1" applyBorder="1" applyAlignment="1">
      <alignment vertical="top" wrapText="1"/>
    </xf>
    <xf numFmtId="167" fontId="2" fillId="0" borderId="0" xfId="0" applyNumberFormat="1" applyFont="1" applyFill="1" applyAlignment="1">
      <alignment horizontal="center" vertical="top" wrapText="1"/>
    </xf>
    <xf numFmtId="0" fontId="0" fillId="37" borderId="0" xfId="0" applyFill="1" applyAlignment="1">
      <alignment/>
    </xf>
    <xf numFmtId="3" fontId="0" fillId="37" borderId="0" xfId="0" applyNumberFormat="1" applyFill="1" applyAlignment="1">
      <alignment/>
    </xf>
    <xf numFmtId="165" fontId="0" fillId="37" borderId="0" xfId="0" applyNumberFormat="1" applyFill="1" applyAlignment="1">
      <alignment/>
    </xf>
    <xf numFmtId="0" fontId="0" fillId="37" borderId="0" xfId="0" applyFill="1" applyAlignment="1">
      <alignment vertical="top"/>
    </xf>
    <xf numFmtId="0" fontId="0" fillId="0" borderId="0" xfId="0" applyAlignment="1">
      <alignment horizontal="left" indent="2"/>
    </xf>
    <xf numFmtId="0" fontId="2" fillId="0" borderId="0" xfId="0" applyFont="1" applyBorder="1" applyAlignment="1">
      <alignment/>
    </xf>
    <xf numFmtId="167" fontId="2" fillId="0" borderId="0" xfId="0" applyNumberFormat="1" applyFont="1" applyBorder="1" applyAlignment="1">
      <alignment vertical="top" wrapText="1"/>
    </xf>
    <xf numFmtId="0" fontId="2" fillId="0" borderId="0" xfId="0" applyFont="1" applyFill="1" applyBorder="1" applyAlignment="1">
      <alignment/>
    </xf>
    <xf numFmtId="3" fontId="2" fillId="0" borderId="0" xfId="0" applyNumberFormat="1" applyFont="1" applyFill="1" applyAlignment="1">
      <alignment/>
    </xf>
    <xf numFmtId="3" fontId="0" fillId="0" borderId="0" xfId="0" applyNumberFormat="1" applyFont="1" applyFill="1" applyAlignment="1">
      <alignment horizontal="center" vertical="top" wrapText="1"/>
    </xf>
    <xf numFmtId="3" fontId="0" fillId="0" borderId="0" xfId="0" applyNumberFormat="1" applyFont="1" applyFill="1" applyAlignment="1">
      <alignment vertical="top" wrapText="1"/>
    </xf>
    <xf numFmtId="3" fontId="2" fillId="0" borderId="0" xfId="0" applyNumberFormat="1" applyFont="1" applyFill="1" applyAlignment="1">
      <alignment horizontal="center" vertical="top" wrapText="1"/>
    </xf>
    <xf numFmtId="3" fontId="2" fillId="0" borderId="0" xfId="0" applyNumberFormat="1" applyFont="1" applyAlignment="1">
      <alignment/>
    </xf>
    <xf numFmtId="3" fontId="0" fillId="0" borderId="0" xfId="0" applyNumberFormat="1" applyFont="1" applyAlignment="1">
      <alignment/>
    </xf>
    <xf numFmtId="3" fontId="0" fillId="0" borderId="0" xfId="0" applyNumberFormat="1" applyFont="1" applyAlignment="1">
      <alignment horizontal="right"/>
    </xf>
    <xf numFmtId="3" fontId="2" fillId="0" borderId="11" xfId="0" applyNumberFormat="1" applyFont="1" applyBorder="1" applyAlignment="1">
      <alignment/>
    </xf>
    <xf numFmtId="3" fontId="0" fillId="0" borderId="11" xfId="0" applyNumberFormat="1" applyBorder="1" applyAlignment="1">
      <alignment/>
    </xf>
    <xf numFmtId="3" fontId="0" fillId="0" borderId="11" xfId="0" applyNumberFormat="1" applyBorder="1" applyAlignment="1">
      <alignment horizontal="right"/>
    </xf>
    <xf numFmtId="3" fontId="0" fillId="0" borderId="0" xfId="0" applyNumberFormat="1" applyAlignment="1">
      <alignment horizontal="right"/>
    </xf>
    <xf numFmtId="0" fontId="0" fillId="0" borderId="0" xfId="0" applyAlignment="1" quotePrefix="1">
      <alignment/>
    </xf>
    <xf numFmtId="0" fontId="0" fillId="0" borderId="0" xfId="0" applyFont="1" applyFill="1" applyBorder="1" applyAlignment="1">
      <alignment/>
    </xf>
    <xf numFmtId="3" fontId="0" fillId="0" borderId="0" xfId="0" applyNumberFormat="1" applyFont="1" applyAlignment="1">
      <alignment/>
    </xf>
    <xf numFmtId="3" fontId="2" fillId="0" borderId="0" xfId="0" applyNumberFormat="1" applyFont="1" applyAlignment="1">
      <alignment horizontal="right"/>
    </xf>
    <xf numFmtId="0" fontId="0" fillId="0" borderId="0" xfId="0" applyFill="1" applyBorder="1" applyAlignment="1">
      <alignment/>
    </xf>
    <xf numFmtId="3" fontId="0" fillId="38" borderId="0" xfId="0" applyNumberFormat="1" applyFill="1" applyAlignment="1">
      <alignment/>
    </xf>
    <xf numFmtId="0" fontId="0" fillId="38" borderId="0" xfId="0" applyFill="1" applyAlignment="1">
      <alignment/>
    </xf>
    <xf numFmtId="0" fontId="7" fillId="0" borderId="0" xfId="0" applyFont="1" applyAlignment="1">
      <alignment/>
    </xf>
    <xf numFmtId="1" fontId="0" fillId="37" borderId="0" xfId="0" applyNumberFormat="1" applyFill="1" applyAlignment="1">
      <alignment/>
    </xf>
    <xf numFmtId="0" fontId="0" fillId="0" borderId="0" xfId="0" applyFont="1" applyAlignment="1">
      <alignment horizontal="left" indent="2"/>
    </xf>
    <xf numFmtId="0" fontId="0" fillId="0" borderId="0" xfId="0" applyFont="1" applyAlignment="1" quotePrefix="1">
      <alignment/>
    </xf>
    <xf numFmtId="174" fontId="0" fillId="0" borderId="0" xfId="0" applyNumberFormat="1" applyAlignment="1">
      <alignment/>
    </xf>
    <xf numFmtId="0" fontId="0" fillId="0" borderId="0" xfId="0" applyFont="1" applyAlignment="1" quotePrefix="1">
      <alignment/>
    </xf>
    <xf numFmtId="0" fontId="0" fillId="0" borderId="0" xfId="0" applyFont="1" applyFill="1" applyBorder="1" applyAlignment="1">
      <alignment/>
    </xf>
    <xf numFmtId="170" fontId="0" fillId="0" borderId="0" xfId="0" applyNumberFormat="1" applyAlignment="1">
      <alignment/>
    </xf>
    <xf numFmtId="0" fontId="6" fillId="0" borderId="0" xfId="0" applyFont="1" applyAlignment="1">
      <alignment horizontal="left"/>
    </xf>
    <xf numFmtId="0" fontId="5" fillId="36" borderId="0" xfId="0" applyFont="1" applyFill="1" applyAlignment="1">
      <alignment horizontal="center"/>
    </xf>
    <xf numFmtId="0" fontId="2" fillId="39" borderId="12" xfId="0" applyFont="1" applyFill="1" applyBorder="1" applyAlignment="1">
      <alignment horizontal="center"/>
    </xf>
    <xf numFmtId="0" fontId="2" fillId="39" borderId="13" xfId="0" applyFont="1" applyFill="1" applyBorder="1" applyAlignment="1">
      <alignment horizontal="center"/>
    </xf>
    <xf numFmtId="0" fontId="2" fillId="39" borderId="14" xfId="0" applyFont="1" applyFill="1" applyBorder="1" applyAlignment="1">
      <alignment horizontal="center"/>
    </xf>
    <xf numFmtId="166" fontId="3" fillId="36" borderId="0" xfId="0" applyNumberFormat="1" applyFont="1" applyFill="1" applyAlignment="1">
      <alignment horizontal="center"/>
    </xf>
    <xf numFmtId="0" fontId="6"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LGR\1415\Settle\Webdocs\1415%20SFA%20Model%20-%20For%20Audit%20Purpos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 Dropdown"/>
      <sheetName val="Parameters"/>
      <sheetName val="Splitting 1314 Formula Funding"/>
      <sheetName val="Splitting 1314 CT Support"/>
      <sheetName val="Calculations"/>
      <sheetName val="Data from OFA"/>
    </sheetNames>
    <sheetDataSet>
      <sheetData sheetId="1">
        <row r="7">
          <cell r="B7">
            <v>1331699.1149062</v>
          </cell>
        </row>
        <row r="8">
          <cell r="B8">
            <v>2001734.3784043</v>
          </cell>
        </row>
        <row r="25">
          <cell r="B25">
            <v>31110493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409"/>
  <sheetViews>
    <sheetView showZeros="0" tabSelected="1" zoomScale="75" zoomScaleNormal="75" zoomScalePageLayoutView="0" workbookViewId="0" topLeftCell="A1">
      <selection activeCell="AC11" sqref="AC11"/>
    </sheetView>
  </sheetViews>
  <sheetFormatPr defaultColWidth="9.140625" defaultRowHeight="12.75"/>
  <cols>
    <col min="2" max="2" width="81.421875" style="0" customWidth="1"/>
    <col min="3" max="3" width="18.28125" style="1" customWidth="1"/>
    <col min="4" max="4" width="4.28125" style="1" customWidth="1"/>
    <col min="5" max="6" width="16.421875" style="1" customWidth="1"/>
    <col min="7" max="7" width="16.7109375" style="1" customWidth="1"/>
    <col min="9" max="9" width="11.28125" style="0" customWidth="1"/>
    <col min="14" max="14" width="32.57421875" style="27" hidden="1" customWidth="1"/>
    <col min="15" max="18" width="9.140625" style="27" hidden="1" customWidth="1"/>
    <col min="19" max="19" width="16.7109375" style="27" hidden="1" customWidth="1"/>
  </cols>
  <sheetData>
    <row r="1" spans="1:10" ht="17.25">
      <c r="A1" s="66" t="s">
        <v>1397</v>
      </c>
      <c r="B1" s="66"/>
      <c r="C1" s="66"/>
      <c r="D1" s="66"/>
      <c r="E1" s="66"/>
      <c r="F1" s="66"/>
      <c r="G1" s="66"/>
      <c r="H1" s="66"/>
      <c r="I1" s="66"/>
      <c r="J1" s="66"/>
    </row>
    <row r="2" spans="1:10" ht="12.75">
      <c r="A2" s="21"/>
      <c r="B2" s="21"/>
      <c r="C2" s="35"/>
      <c r="D2" s="35"/>
      <c r="E2" s="35"/>
      <c r="F2" s="35"/>
      <c r="G2" s="35"/>
      <c r="H2" s="17"/>
      <c r="I2" s="17"/>
      <c r="J2" s="17"/>
    </row>
    <row r="3" spans="1:10" ht="13.5" thickBot="1">
      <c r="A3" t="s">
        <v>1398</v>
      </c>
      <c r="I3" s="17"/>
      <c r="J3" s="17"/>
    </row>
    <row r="4" spans="1:19" ht="13.5" thickBot="1">
      <c r="A4" s="63" t="s">
        <v>1337</v>
      </c>
      <c r="B4" s="64"/>
      <c r="C4" s="64"/>
      <c r="D4" s="64"/>
      <c r="E4" s="64"/>
      <c r="F4" s="64"/>
      <c r="G4" s="65"/>
      <c r="I4" t="s">
        <v>1399</v>
      </c>
      <c r="J4" s="23" t="str">
        <f>VLOOKUP($A$4,$N$4:$O$409,2,FALSE)</f>
        <v>TE</v>
      </c>
      <c r="N4" s="27" t="s">
        <v>1337</v>
      </c>
      <c r="O4" s="27" t="s">
        <v>1400</v>
      </c>
      <c r="S4" s="27">
        <v>1</v>
      </c>
    </row>
    <row r="6" spans="2:19" ht="15">
      <c r="B6" s="62" t="s">
        <v>1425</v>
      </c>
      <c r="C6" s="62"/>
      <c r="D6" s="62"/>
      <c r="E6" s="62"/>
      <c r="F6" s="62"/>
      <c r="G6" s="62"/>
      <c r="N6" s="27" t="s">
        <v>1334</v>
      </c>
      <c r="O6" s="27" t="s">
        <v>1401</v>
      </c>
      <c r="S6" s="27">
        <v>1</v>
      </c>
    </row>
    <row r="7" spans="14:19" ht="12.75">
      <c r="N7" s="27" t="s">
        <v>1335</v>
      </c>
      <c r="O7" s="27" t="s">
        <v>1402</v>
      </c>
      <c r="S7" s="27">
        <v>1</v>
      </c>
    </row>
    <row r="8" spans="3:19" ht="12.75">
      <c r="C8" s="36" t="str">
        <f>$J$4</f>
        <v>TE</v>
      </c>
      <c r="D8" s="37"/>
      <c r="E8" s="36">
        <f>IF(ISBLANK(VLOOKUP($C$8,$O$2:$R$409,2,FALSE)),,VLOOKUP($C8,$O$2:$R$409,2,FALSE))</f>
        <v>0</v>
      </c>
      <c r="F8" s="36">
        <f>IF(ISBLANK(VLOOKUP($C$8,$O$2:$R$409,3,FALSE)),,VLOOKUP($C8,$O$2:$R$409,3,FALSE))</f>
        <v>0</v>
      </c>
      <c r="G8" s="36">
        <f>IF(ISBLANK(VLOOKUP($C$8,$O$2:$R$409,4,FALSE)),,VLOOKUP($C8,$O$2:$R$409,4,FALSE))</f>
        <v>0</v>
      </c>
      <c r="I8" s="16" t="s">
        <v>1435</v>
      </c>
      <c r="N8" s="27" t="s">
        <v>1336</v>
      </c>
      <c r="O8" s="27" t="s">
        <v>1404</v>
      </c>
      <c r="S8" s="27">
        <v>1</v>
      </c>
    </row>
    <row r="9" spans="3:7" ht="27" customHeight="1">
      <c r="C9" s="38" t="s">
        <v>0</v>
      </c>
      <c r="D9" s="38"/>
      <c r="E9" s="26">
        <f>IF(RIGHT(E8,1)="U","Upper Tier Services",IF(RIGHT(E8,1)="L","Lower Tier Services",IF(RIGHT(E8,1)="F","Fire &amp; Rescue Services","")))</f>
      </c>
      <c r="F9" s="26">
        <f>IF(RIGHT(F8,1)="U","Upper Tier Services",IF(RIGHT(F8,1)="L","Lower Tier Services",IF(RIGHT(F8,1)="F","Fire &amp; Rescue Services","")))</f>
      </c>
      <c r="G9" s="26">
        <f>IF(RIGHT(G8,1)="U","Upper Tier Services",IF(RIGHT(G8,1)="L","Lower Tier Services",IF(RIGHT(G8,1)="F","Fire &amp; Rescue Services","")))</f>
      </c>
    </row>
    <row r="10" spans="3:19" ht="12.75">
      <c r="C10" s="11"/>
      <c r="D10" s="11"/>
      <c r="E10" s="11"/>
      <c r="F10" s="11"/>
      <c r="G10" s="2"/>
      <c r="N10" s="27" t="s">
        <v>1322</v>
      </c>
      <c r="O10" s="27" t="s">
        <v>1407</v>
      </c>
      <c r="S10" s="27">
        <v>1</v>
      </c>
    </row>
    <row r="11" spans="2:19" ht="12.75">
      <c r="B11" s="16" t="s">
        <v>1441</v>
      </c>
      <c r="C11" s="22">
        <f>RPI_inc</f>
        <v>1.019108280254777</v>
      </c>
      <c r="N11" s="27" t="s">
        <v>1323</v>
      </c>
      <c r="O11" s="27" t="s">
        <v>1408</v>
      </c>
      <c r="S11" s="27">
        <v>1</v>
      </c>
    </row>
    <row r="12" spans="14:19" ht="12.75">
      <c r="N12" s="27" t="s">
        <v>1324</v>
      </c>
      <c r="O12" s="27" t="s">
        <v>1409</v>
      </c>
      <c r="S12" s="27">
        <v>1</v>
      </c>
    </row>
    <row r="13" spans="2:19" ht="12.75">
      <c r="B13" s="16" t="s">
        <v>1403</v>
      </c>
      <c r="N13" s="27" t="s">
        <v>1325</v>
      </c>
      <c r="O13" s="27" t="s">
        <v>1410</v>
      </c>
      <c r="S13" s="27">
        <v>1</v>
      </c>
    </row>
    <row r="14" spans="2:7" ht="12.75">
      <c r="B14" s="31" t="s">
        <v>1426</v>
      </c>
      <c r="C14" s="37">
        <f>IF(ISBLANK(VLOOKUP($C$8,$O$2:$R$409,2,FALSE)),VLOOKUP(C$8,Calculations!$A$2:$BY$680,4,FALSE),SUM(E14:G14))</f>
        <v>6487779048.015617</v>
      </c>
      <c r="E14" s="37">
        <f>IF(ISBLANK(VLOOKUP($C$8,$O$2:$R$409,2,FALSE)),,VLOOKUP(E$8,Calculations!$A$2:$BY$680,4,FALSE))</f>
        <v>0</v>
      </c>
      <c r="F14" s="37">
        <f>IF(ISBLANK(VLOOKUP($C$8,$O$2:$R$409,2,FALSE)),,VLOOKUP(F$8,Calculations!$A$2:$BY$680,4,FALSE))</f>
        <v>0</v>
      </c>
      <c r="G14" s="37"/>
    </row>
    <row r="15" spans="2:19" ht="12.75">
      <c r="B15" s="31" t="s">
        <v>1428</v>
      </c>
      <c r="C15" s="39">
        <f>C14*RPI_inc</f>
        <v>6611749348.29617</v>
      </c>
      <c r="E15" s="40">
        <f>E14*RPI_inc</f>
        <v>0</v>
      </c>
      <c r="F15" s="40">
        <f>F14*RPI_inc</f>
        <v>0</v>
      </c>
      <c r="G15" s="40"/>
      <c r="I15" t="s">
        <v>1436</v>
      </c>
      <c r="N15" s="27" t="s">
        <v>1326</v>
      </c>
      <c r="O15" s="27" t="s">
        <v>1413</v>
      </c>
      <c r="S15" s="27">
        <v>1</v>
      </c>
    </row>
    <row r="16" spans="2:19" ht="12.75">
      <c r="B16" s="31"/>
      <c r="C16" s="39"/>
      <c r="E16" s="40"/>
      <c r="F16" s="40"/>
      <c r="G16" s="40"/>
      <c r="N16" s="27" t="s">
        <v>1327</v>
      </c>
      <c r="O16" s="27" t="s">
        <v>1414</v>
      </c>
      <c r="S16" s="27">
        <v>1</v>
      </c>
    </row>
    <row r="17" spans="2:7" ht="12.75">
      <c r="B17" s="16" t="s">
        <v>1405</v>
      </c>
      <c r="C17" s="39"/>
      <c r="E17" s="41"/>
      <c r="F17" s="41"/>
      <c r="G17" s="41"/>
    </row>
    <row r="18" spans="2:19" ht="12.75">
      <c r="B18" s="31" t="s">
        <v>1426</v>
      </c>
      <c r="C18" s="37">
        <f>IF(ISBLANK(VLOOKUP($C$8,$O$2:$R$409,2,FALSE)),VLOOKUP(C$8,Calculations!$A$2:$BY$680,6,FALSE),SUM(E18:G18))</f>
        <v>1725734745.4701157</v>
      </c>
      <c r="E18" s="37">
        <f>IF(ISBLANK(VLOOKUP($C$8,$O$2:$R$409,2,FALSE)),,VLOOKUP(E$8,Calculations!$A$2:$BY$680,6,FALSE))</f>
        <v>0</v>
      </c>
      <c r="F18" s="37"/>
      <c r="G18" s="37"/>
      <c r="N18" s="28" t="s">
        <v>1329</v>
      </c>
      <c r="O18" s="28" t="s">
        <v>1416</v>
      </c>
      <c r="P18" s="28"/>
      <c r="Q18" s="28"/>
      <c r="R18" s="28"/>
      <c r="S18" s="28">
        <v>1</v>
      </c>
    </row>
    <row r="19" spans="2:19" ht="12.75">
      <c r="B19" s="31" t="s">
        <v>1428</v>
      </c>
      <c r="C19" s="39">
        <f>C18*RPI_inc</f>
        <v>1758710568.631965</v>
      </c>
      <c r="E19" s="40">
        <f>E18*RPI_inc</f>
        <v>0</v>
      </c>
      <c r="F19" s="40"/>
      <c r="G19" s="40"/>
      <c r="I19" t="s">
        <v>1436</v>
      </c>
      <c r="N19" s="29" t="s">
        <v>1330</v>
      </c>
      <c r="O19" s="29" t="s">
        <v>1417</v>
      </c>
      <c r="P19" s="29"/>
      <c r="Q19" s="29"/>
      <c r="R19" s="29"/>
      <c r="S19" s="54">
        <v>1</v>
      </c>
    </row>
    <row r="20" spans="2:19" ht="12.75">
      <c r="B20" s="31"/>
      <c r="C20" s="39"/>
      <c r="E20" s="40"/>
      <c r="F20" s="40"/>
      <c r="G20" s="40"/>
      <c r="N20" s="29" t="s">
        <v>1331</v>
      </c>
      <c r="O20" s="29" t="s">
        <v>1418</v>
      </c>
      <c r="P20" s="29"/>
      <c r="Q20" s="29"/>
      <c r="R20" s="29"/>
      <c r="S20" s="54">
        <v>1</v>
      </c>
    </row>
    <row r="21" spans="2:19" ht="12.75">
      <c r="B21" s="16" t="s">
        <v>1406</v>
      </c>
      <c r="C21" s="39"/>
      <c r="E21" s="41"/>
      <c r="F21" s="41"/>
      <c r="G21" s="41"/>
      <c r="N21" s="29" t="s">
        <v>1332</v>
      </c>
      <c r="O21" s="29" t="s">
        <v>1420</v>
      </c>
      <c r="P21" s="29"/>
      <c r="Q21" s="29"/>
      <c r="R21" s="29"/>
      <c r="S21" s="54">
        <v>1</v>
      </c>
    </row>
    <row r="22" spans="2:19" ht="12.75">
      <c r="B22" s="31" t="s">
        <v>1426</v>
      </c>
      <c r="C22" s="37">
        <f>IF(ISBLANK(VLOOKUP($C$8,$O$2:$R$409,2,FALSE)),VLOOKUP(C$8,Calculations!$A$2:$BY$680,8,FALSE),SUM(E22:G22))</f>
        <v>505065795.599657</v>
      </c>
      <c r="E22" s="37"/>
      <c r="F22" s="37">
        <f>IF(ISNUMBER($F$8),,VLOOKUP(F$8,Calculations!$A$2:$BY$680,8,FALSE))</f>
        <v>0</v>
      </c>
      <c r="G22" s="37">
        <f>IF(ISNUMBER($G$8),,VLOOKUP(G$8,Calculations!$A$2:$BY$680,8,FALSE))</f>
        <v>0</v>
      </c>
      <c r="N22" s="29" t="s">
        <v>1328</v>
      </c>
      <c r="O22" s="29" t="s">
        <v>1421</v>
      </c>
      <c r="P22" s="29"/>
      <c r="Q22" s="29"/>
      <c r="R22" s="29"/>
      <c r="S22" s="54">
        <v>1</v>
      </c>
    </row>
    <row r="23" spans="2:19" ht="12.75">
      <c r="B23" s="31" t="s">
        <v>1428</v>
      </c>
      <c r="C23" s="39">
        <f>C22*RPI_inc</f>
        <v>514716734.3690772</v>
      </c>
      <c r="E23" s="40"/>
      <c r="F23" s="40">
        <f>F22*RPI_inc</f>
        <v>0</v>
      </c>
      <c r="G23" s="40">
        <f>G22*RPI_inc</f>
        <v>0</v>
      </c>
      <c r="I23" t="s">
        <v>1436</v>
      </c>
      <c r="N23" s="29" t="s">
        <v>1333</v>
      </c>
      <c r="O23" s="29" t="s">
        <v>1423</v>
      </c>
      <c r="P23" s="29"/>
      <c r="Q23" s="29"/>
      <c r="R23" s="29"/>
      <c r="S23" s="54">
        <v>1</v>
      </c>
    </row>
    <row r="24" spans="2:19" ht="12.75">
      <c r="B24" s="31"/>
      <c r="C24" s="39"/>
      <c r="E24" s="40"/>
      <c r="F24" s="40"/>
      <c r="G24" s="40"/>
      <c r="N24" s="29"/>
      <c r="O24" s="29"/>
      <c r="P24" s="29"/>
      <c r="Q24" s="29"/>
      <c r="R24" s="29"/>
      <c r="S24" s="54"/>
    </row>
    <row r="25" spans="2:19" ht="12.75">
      <c r="B25" s="16" t="s">
        <v>1477</v>
      </c>
      <c r="C25" s="39"/>
      <c r="E25" s="41"/>
      <c r="F25" s="41"/>
      <c r="G25" s="41"/>
      <c r="N25" s="29" t="s">
        <v>615</v>
      </c>
      <c r="O25" s="29" t="s">
        <v>1249</v>
      </c>
      <c r="P25" s="29"/>
      <c r="Q25" s="29"/>
      <c r="R25" s="29"/>
      <c r="S25" s="29"/>
    </row>
    <row r="26" spans="2:19" ht="12.75">
      <c r="B26" s="31" t="s">
        <v>1426</v>
      </c>
      <c r="C26" s="37">
        <f>IF(ISBLANK(VLOOKUP($C$8,$O$2:$R$409,2,FALSE)),VLOOKUP(C$8,Calculations!$A$2:$BY$680,10,FALSE),SUM(E26:G26))</f>
        <v>241647492.552595</v>
      </c>
      <c r="E26" s="37">
        <f>IF(ISBLANK(VLOOKUP($C$8,$O$2:$R$409,2,FALSE)),,VLOOKUP(E$8,Calculations!$A$2:$BY$680,10,FALSE))</f>
        <v>0</v>
      </c>
      <c r="F26" s="37">
        <f>IF(ISBLANK(VLOOKUP($C$8,$O$2:$R$409,2,FALSE)),,VLOOKUP(F$8,Calculations!$A$2:$BY$680,10,FALSE))</f>
        <v>0</v>
      </c>
      <c r="G26" s="37">
        <f>IF(ISNUMBER($G$8),,VLOOKUP(G$8,Calculations!$A$2:$BY$680,10,FALSE))</f>
        <v>0</v>
      </c>
      <c r="N26" s="28" t="s">
        <v>434</v>
      </c>
      <c r="O26" s="28" t="s">
        <v>1068</v>
      </c>
      <c r="P26" s="28"/>
      <c r="Q26" s="28"/>
      <c r="R26" s="28"/>
      <c r="S26" s="28"/>
    </row>
    <row r="27" spans="2:15" ht="12.75">
      <c r="B27" s="31" t="s">
        <v>1428</v>
      </c>
      <c r="C27" s="39">
        <f>C26*RPI_inc</f>
        <v>246264960.56315413</v>
      </c>
      <c r="E27" s="40">
        <f>E26*RPI_inc</f>
        <v>0</v>
      </c>
      <c r="F27" s="40">
        <f>F26*RPI_inc</f>
        <v>0</v>
      </c>
      <c r="G27" s="40">
        <f>G26*RPI_inc</f>
        <v>0</v>
      </c>
      <c r="I27" t="s">
        <v>1436</v>
      </c>
      <c r="N27" s="27" t="s">
        <v>440</v>
      </c>
      <c r="O27" s="27" t="s">
        <v>1074</v>
      </c>
    </row>
    <row r="28" spans="2:15" ht="12.75">
      <c r="B28" s="31"/>
      <c r="C28" s="39"/>
      <c r="E28" s="40"/>
      <c r="F28" s="40"/>
      <c r="G28" s="40"/>
      <c r="N28" s="27" t="s">
        <v>616</v>
      </c>
      <c r="O28" s="27" t="s">
        <v>1250</v>
      </c>
    </row>
    <row r="29" spans="2:15" ht="12.75">
      <c r="B29" s="16" t="s">
        <v>1318</v>
      </c>
      <c r="C29" s="39"/>
      <c r="E29" s="41"/>
      <c r="F29" s="41"/>
      <c r="G29" s="41"/>
      <c r="N29" s="27" t="s">
        <v>567</v>
      </c>
      <c r="O29" s="27" t="s">
        <v>1201</v>
      </c>
    </row>
    <row r="30" spans="2:15" ht="12.75">
      <c r="B30" s="31" t="s">
        <v>1426</v>
      </c>
      <c r="C30" s="37">
        <f>IF(ISBLANK(VLOOKUP($C$8,$O$2:$R$409,2,FALSE)),VLOOKUP(C$8,Calculations!$A$2:$BY$680,12,FALSE),SUM(E30:G30))</f>
        <v>695815599.8217499</v>
      </c>
      <c r="E30" s="37">
        <f>IF(ISBLANK(VLOOKUP($C$8,$O$2:$R$409,2,FALSE)),,VLOOKUP(E$8,Calculations!$A$2:$BY$680,12,FALSE))</f>
        <v>0</v>
      </c>
      <c r="F30" s="37">
        <f>IF(ISBLANK(VLOOKUP($C$8,$O$2:$R$409,2,FALSE)),,VLOOKUP(F$8,Calculations!$A$2:$BY$680,12,FALSE))</f>
        <v>0</v>
      </c>
      <c r="G30" s="37"/>
      <c r="N30" s="27" t="s">
        <v>511</v>
      </c>
      <c r="O30" s="27" t="s">
        <v>1145</v>
      </c>
    </row>
    <row r="31" spans="2:15" ht="12.75">
      <c r="B31" s="31" t="s">
        <v>1428</v>
      </c>
      <c r="C31" s="39">
        <f>C30*RPI_inc</f>
        <v>709111439.3087897</v>
      </c>
      <c r="E31" s="40">
        <f>E30*RPI_inc</f>
        <v>0</v>
      </c>
      <c r="F31" s="40">
        <f>F30*RPI_inc</f>
        <v>0</v>
      </c>
      <c r="G31" s="40"/>
      <c r="I31" t="s">
        <v>1436</v>
      </c>
      <c r="N31" s="27" t="s">
        <v>1293</v>
      </c>
      <c r="O31" s="27" t="s">
        <v>1268</v>
      </c>
    </row>
    <row r="32" spans="2:15" ht="12.75">
      <c r="B32" s="31"/>
      <c r="C32" s="39"/>
      <c r="E32" s="40"/>
      <c r="F32" s="40"/>
      <c r="G32" s="40"/>
      <c r="N32" s="27" t="s">
        <v>426</v>
      </c>
      <c r="O32" s="27" t="s">
        <v>1060</v>
      </c>
    </row>
    <row r="33" spans="2:15" ht="12.75">
      <c r="B33" s="16" t="s">
        <v>1319</v>
      </c>
      <c r="C33" s="39"/>
      <c r="E33" s="41"/>
      <c r="F33" s="41"/>
      <c r="G33" s="41"/>
      <c r="N33" s="27" t="s">
        <v>592</v>
      </c>
      <c r="O33" s="27" t="s">
        <v>1226</v>
      </c>
    </row>
    <row r="34" spans="2:17" ht="12.75">
      <c r="B34" s="31" t="s">
        <v>1426</v>
      </c>
      <c r="C34" s="37">
        <f>VLOOKUP(C$8,Calculations!$A$2:$BY$680,14,FALSE)</f>
        <v>18617183.105124</v>
      </c>
      <c r="E34" s="41"/>
      <c r="F34" s="41"/>
      <c r="G34" s="41"/>
      <c r="N34" s="27" t="s">
        <v>145</v>
      </c>
      <c r="O34" s="27" t="s">
        <v>779</v>
      </c>
      <c r="P34" s="27" t="s">
        <v>780</v>
      </c>
      <c r="Q34" s="27" t="s">
        <v>781</v>
      </c>
    </row>
    <row r="35" spans="2:17" ht="12.75">
      <c r="B35" s="31" t="s">
        <v>1428</v>
      </c>
      <c r="C35" s="39">
        <f>C34*RPI_inc</f>
        <v>18972925.45745121</v>
      </c>
      <c r="E35" s="40"/>
      <c r="F35" s="40"/>
      <c r="G35" s="40"/>
      <c r="I35" t="s">
        <v>1436</v>
      </c>
      <c r="N35" s="27" t="s">
        <v>148</v>
      </c>
      <c r="O35" s="27" t="s">
        <v>782</v>
      </c>
      <c r="P35" s="27" t="s">
        <v>783</v>
      </c>
      <c r="Q35" s="27" t="s">
        <v>784</v>
      </c>
    </row>
    <row r="36" spans="2:17" ht="12.75">
      <c r="B36" s="31"/>
      <c r="C36" s="39"/>
      <c r="E36" s="40"/>
      <c r="F36" s="40"/>
      <c r="G36" s="40"/>
      <c r="N36" s="27" t="s">
        <v>46</v>
      </c>
      <c r="O36" s="27" t="s">
        <v>680</v>
      </c>
      <c r="P36" s="27" t="s">
        <v>681</v>
      </c>
      <c r="Q36" s="27" t="s">
        <v>682</v>
      </c>
    </row>
    <row r="37" spans="2:15" ht="12.75">
      <c r="B37" s="16" t="s">
        <v>1411</v>
      </c>
      <c r="C37" s="39"/>
      <c r="E37" s="41"/>
      <c r="F37" s="41"/>
      <c r="G37" s="41"/>
      <c r="N37" s="27" t="s">
        <v>435</v>
      </c>
      <c r="O37" s="27" t="s">
        <v>1069</v>
      </c>
    </row>
    <row r="38" spans="2:15" ht="12.75">
      <c r="B38" s="31" t="s">
        <v>1426</v>
      </c>
      <c r="C38" s="37">
        <f>VLOOKUP(C$8,Calculations!$A$2:$BY$680,16,FALSE)</f>
        <v>773225000</v>
      </c>
      <c r="E38" s="41"/>
      <c r="F38" s="41"/>
      <c r="G38" s="41"/>
      <c r="N38" s="27" t="s">
        <v>467</v>
      </c>
      <c r="O38" s="27" t="s">
        <v>1101</v>
      </c>
    </row>
    <row r="39" spans="2:15" ht="12.75">
      <c r="B39" s="31" t="s">
        <v>1428</v>
      </c>
      <c r="C39" s="39">
        <f>C38*RPI_inc</f>
        <v>788000000</v>
      </c>
      <c r="E39" s="40"/>
      <c r="F39" s="40"/>
      <c r="G39" s="40"/>
      <c r="I39" t="s">
        <v>1436</v>
      </c>
      <c r="N39" s="27" t="s">
        <v>485</v>
      </c>
      <c r="O39" s="27" t="s">
        <v>1119</v>
      </c>
    </row>
    <row r="40" spans="2:15" ht="12.75">
      <c r="B40" s="31"/>
      <c r="C40" s="39"/>
      <c r="E40" s="40"/>
      <c r="F40" s="40"/>
      <c r="G40" s="40"/>
      <c r="N40" s="27" t="s">
        <v>568</v>
      </c>
      <c r="O40" s="27" t="s">
        <v>1202</v>
      </c>
    </row>
    <row r="41" spans="2:17" ht="12.75">
      <c r="B41" s="16" t="s">
        <v>1412</v>
      </c>
      <c r="C41" s="39"/>
      <c r="E41" s="41"/>
      <c r="F41" s="41"/>
      <c r="G41" s="41"/>
      <c r="N41" s="27" t="s">
        <v>245</v>
      </c>
      <c r="O41" s="27" t="s">
        <v>879</v>
      </c>
      <c r="P41" s="27" t="s">
        <v>880</v>
      </c>
      <c r="Q41" s="27" t="s">
        <v>881</v>
      </c>
    </row>
    <row r="42" spans="2:17" ht="12.75">
      <c r="B42" s="31" t="s">
        <v>1426</v>
      </c>
      <c r="C42" s="37">
        <f>VLOOKUP(C$8,Calculations!$A$2:$BY$680,18,FALSE)</f>
        <v>45188474.025974</v>
      </c>
      <c r="E42" s="41"/>
      <c r="F42" s="41"/>
      <c r="G42" s="41"/>
      <c r="N42" s="27" t="s">
        <v>403</v>
      </c>
      <c r="O42" s="27" t="s">
        <v>1037</v>
      </c>
      <c r="P42" s="27" t="s">
        <v>1038</v>
      </c>
      <c r="Q42" s="27" t="s">
        <v>1039</v>
      </c>
    </row>
    <row r="43" spans="2:15" ht="12.75">
      <c r="B43" s="31" t="s">
        <v>1428</v>
      </c>
      <c r="C43" s="39">
        <f>C42*RPI_inc</f>
        <v>46051948.051948026</v>
      </c>
      <c r="E43" s="40"/>
      <c r="F43" s="40"/>
      <c r="G43" s="40"/>
      <c r="I43" t="s">
        <v>1436</v>
      </c>
      <c r="N43" s="27" t="s">
        <v>1297</v>
      </c>
      <c r="O43" s="27" t="s">
        <v>1272</v>
      </c>
    </row>
    <row r="44" spans="2:19" ht="12.75">
      <c r="B44" s="31"/>
      <c r="C44" s="39"/>
      <c r="E44" s="40"/>
      <c r="F44" s="40"/>
      <c r="G44" s="40"/>
      <c r="N44" s="30" t="s">
        <v>1307</v>
      </c>
      <c r="O44" s="30" t="s">
        <v>1282</v>
      </c>
      <c r="P44" s="30"/>
      <c r="Q44" s="30"/>
      <c r="R44" s="30"/>
      <c r="S44" s="30"/>
    </row>
    <row r="45" spans="2:17" ht="12.75">
      <c r="B45" s="16" t="s">
        <v>1320</v>
      </c>
      <c r="C45" s="39"/>
      <c r="E45" s="41"/>
      <c r="F45" s="41"/>
      <c r="G45" s="41"/>
      <c r="N45" s="27" t="s">
        <v>151</v>
      </c>
      <c r="O45" s="27" t="s">
        <v>785</v>
      </c>
      <c r="P45" s="27" t="s">
        <v>786</v>
      </c>
      <c r="Q45" s="27" t="s">
        <v>787</v>
      </c>
    </row>
    <row r="46" spans="2:17" ht="12.75">
      <c r="B46" s="31" t="s">
        <v>1426</v>
      </c>
      <c r="C46" s="37">
        <f>IF(ISBLANK(VLOOKUP($C$8,$O$2:$R$409,2,FALSE)),VLOOKUP(C$8,Calculations!$A$2:$BY$680,20,FALSE),SUM(E46:G46))</f>
        <v>32562051.545398995</v>
      </c>
      <c r="E46" s="37">
        <f>IF(ISBLANK(VLOOKUP($C$8,$O$2:$R$409,2,FALSE)),,VLOOKUP(E$8,Calculations!$A$2:$BY$680,20,FALSE))</f>
        <v>0</v>
      </c>
      <c r="F46" s="41"/>
      <c r="G46" s="41"/>
      <c r="N46" s="27" t="s">
        <v>73</v>
      </c>
      <c r="O46" s="27" t="s">
        <v>707</v>
      </c>
      <c r="P46" s="27" t="s">
        <v>708</v>
      </c>
      <c r="Q46" s="27" t="s">
        <v>709</v>
      </c>
    </row>
    <row r="47" spans="2:15" ht="12.75">
      <c r="B47" s="31" t="s">
        <v>1428</v>
      </c>
      <c r="C47" s="39">
        <f>C46*RPI_inc</f>
        <v>33184256.351998977</v>
      </c>
      <c r="E47" s="40">
        <f>E46*RPI_inc</f>
        <v>0</v>
      </c>
      <c r="F47" s="40">
        <f>F46*RPI_inc</f>
        <v>0</v>
      </c>
      <c r="G47" s="40">
        <f>G46*RPI_inc</f>
        <v>0</v>
      </c>
      <c r="I47" t="s">
        <v>1436</v>
      </c>
      <c r="N47" s="27" t="s">
        <v>535</v>
      </c>
      <c r="O47" s="27" t="s">
        <v>1169</v>
      </c>
    </row>
    <row r="48" spans="2:17" ht="12.75">
      <c r="B48" s="31"/>
      <c r="C48" s="39"/>
      <c r="E48" s="40"/>
      <c r="F48" s="40"/>
      <c r="G48" s="40"/>
      <c r="N48" s="27" t="s">
        <v>368</v>
      </c>
      <c r="O48" s="27" t="s">
        <v>1002</v>
      </c>
      <c r="P48" s="27" t="s">
        <v>1003</v>
      </c>
      <c r="Q48" s="27" t="s">
        <v>1004</v>
      </c>
    </row>
    <row r="49" spans="2:17" ht="12.75">
      <c r="B49" s="16" t="s">
        <v>1415</v>
      </c>
      <c r="C49" s="39"/>
      <c r="E49" s="41"/>
      <c r="F49" s="41"/>
      <c r="G49" s="41"/>
      <c r="N49" s="27" t="s">
        <v>371</v>
      </c>
      <c r="O49" s="27" t="s">
        <v>1005</v>
      </c>
      <c r="P49" s="27" t="s">
        <v>1006</v>
      </c>
      <c r="Q49" s="27" t="s">
        <v>1007</v>
      </c>
    </row>
    <row r="50" spans="2:15" ht="12.75">
      <c r="B50" s="31" t="s">
        <v>1426</v>
      </c>
      <c r="C50" s="37">
        <f>IF(ISBLANK(VLOOKUP($C$8,$O$2:$R$409,2,FALSE)),VLOOKUP(C$8,Calculations!$A$2:$BY$680,22,FALSE),SUM(E50:G50))</f>
        <v>8507512.218282</v>
      </c>
      <c r="E50" s="37">
        <f>IF(ISBLANK(VLOOKUP($C$8,$O$2:$R$409,2,FALSE)),,VLOOKUP(E$8,Calculations!$A$2:$BY$680,22,FALSE))</f>
        <v>0</v>
      </c>
      <c r="F50" s="37">
        <f>IF(ISBLANK(VLOOKUP($C$8,$O$2:$R$409,2,FALSE)),,VLOOKUP(F$8,Calculations!$A$2:$BY$680,22,FALSE))</f>
        <v>0</v>
      </c>
      <c r="G50" s="41"/>
      <c r="N50" s="27" t="s">
        <v>441</v>
      </c>
      <c r="O50" s="27" t="s">
        <v>1075</v>
      </c>
    </row>
    <row r="51" spans="2:17" ht="12.75">
      <c r="B51" s="31" t="s">
        <v>1428</v>
      </c>
      <c r="C51" s="39">
        <f>C50*RPI_inc</f>
        <v>8670076.146019872</v>
      </c>
      <c r="E51" s="40">
        <f>E50*RPI_inc</f>
        <v>0</v>
      </c>
      <c r="F51" s="40">
        <f>F50*RPI_inc</f>
        <v>0</v>
      </c>
      <c r="G51" s="40">
        <f>G50*RPI_inc</f>
        <v>0</v>
      </c>
      <c r="I51" t="s">
        <v>1436</v>
      </c>
      <c r="N51" s="27" t="s">
        <v>1</v>
      </c>
      <c r="O51" s="27" t="s">
        <v>635</v>
      </c>
      <c r="P51" s="27" t="s">
        <v>636</v>
      </c>
      <c r="Q51" s="27" t="s">
        <v>637</v>
      </c>
    </row>
    <row r="52" spans="2:15" ht="12.75">
      <c r="B52" s="31"/>
      <c r="C52" s="39"/>
      <c r="E52" s="40"/>
      <c r="F52" s="40"/>
      <c r="G52" s="40"/>
      <c r="N52" s="27" t="s">
        <v>542</v>
      </c>
      <c r="O52" s="27" t="s">
        <v>1176</v>
      </c>
    </row>
    <row r="53" spans="2:17" ht="12.75">
      <c r="B53" s="16" t="s">
        <v>1321</v>
      </c>
      <c r="C53" s="39"/>
      <c r="E53" s="41"/>
      <c r="F53" s="41"/>
      <c r="G53" s="41"/>
      <c r="N53" s="27" t="s">
        <v>293</v>
      </c>
      <c r="O53" s="27" t="s">
        <v>927</v>
      </c>
      <c r="P53" s="27" t="s">
        <v>928</v>
      </c>
      <c r="Q53" s="27" t="s">
        <v>929</v>
      </c>
    </row>
    <row r="54" spans="2:17" ht="12.75">
      <c r="B54" s="31" t="s">
        <v>1426</v>
      </c>
      <c r="C54" s="37">
        <f>IF(ISBLANK(VLOOKUP($C$8,$O$2:$R$409,2,FALSE)),VLOOKUP(C$8,Calculations!$A$2:$BY$680,24,FALSE),SUM(E54:G54))</f>
        <v>575363402.397603</v>
      </c>
      <c r="E54" s="37">
        <f>IF(ISBLANK(VLOOKUP($C$8,$O$2:$R$409,2,FALSE)),,VLOOKUP(E$8,Calculations!$A$2:$BY$680,24,FALSE))</f>
        <v>0</v>
      </c>
      <c r="F54" s="37">
        <f>IF(ISBLANK(VLOOKUP($C$8,$O$2:$R$409,2,FALSE)),,VLOOKUP(F$8,Calculations!$A$2:$BY$680,24,FALSE))</f>
        <v>0</v>
      </c>
      <c r="G54" s="41"/>
      <c r="N54" s="27" t="s">
        <v>323</v>
      </c>
      <c r="O54" s="27" t="s">
        <v>957</v>
      </c>
      <c r="P54" s="27" t="s">
        <v>958</v>
      </c>
      <c r="Q54" s="27" t="s">
        <v>959</v>
      </c>
    </row>
    <row r="55" spans="2:17" ht="12.75">
      <c r="B55" s="31" t="s">
        <v>1428</v>
      </c>
      <c r="C55" s="39">
        <f>C54*RPI_inc</f>
        <v>586357607.5389585</v>
      </c>
      <c r="E55" s="40">
        <f>E54*RPI_inc</f>
        <v>0</v>
      </c>
      <c r="F55" s="40">
        <f>F54*RPI_inc</f>
        <v>0</v>
      </c>
      <c r="G55" s="40">
        <f>G54*RPI_inc</f>
        <v>0</v>
      </c>
      <c r="I55" t="s">
        <v>1436</v>
      </c>
      <c r="N55" s="27" t="s">
        <v>94</v>
      </c>
      <c r="O55" s="27" t="s">
        <v>728</v>
      </c>
      <c r="P55" s="27" t="s">
        <v>729</v>
      </c>
      <c r="Q55" s="27" t="s">
        <v>730</v>
      </c>
    </row>
    <row r="56" spans="2:15" ht="13.5" thickBot="1">
      <c r="B56" s="25"/>
      <c r="C56" s="42"/>
      <c r="D56" s="43"/>
      <c r="E56" s="44"/>
      <c r="F56" s="44"/>
      <c r="G56" s="44"/>
      <c r="N56" s="27" t="s">
        <v>468</v>
      </c>
      <c r="O56" s="27" t="s">
        <v>1102</v>
      </c>
    </row>
    <row r="57" spans="2:15" ht="13.5" thickTop="1">
      <c r="B57" s="34" t="s">
        <v>1447</v>
      </c>
      <c r="C57" s="39">
        <f>IF(J4="R403",Calculations!AC426,IF(J4="TE",C15+C19+C23+C27+C31+C35+C39+C43+C47+C51+C55+Calculations!AC426,C15+C19+C23+C27+C31+C35+C39+C43+C47+C51+C55))</f>
        <v>11323173448.21154</v>
      </c>
      <c r="E57" s="39">
        <f>E15+E19+E23+E27+E31+E35+E39+E43+E47+E51+E55</f>
        <v>0</v>
      </c>
      <c r="F57" s="39">
        <f>F15+F19+F23+F27+F31+F35+F39+F43+F47+F51+F55</f>
        <v>0</v>
      </c>
      <c r="G57" s="39">
        <f>G15+G19+G23+G27+G31+G35+G39+G43+G47+G51+G55</f>
        <v>0</v>
      </c>
      <c r="N57" s="27" t="s">
        <v>549</v>
      </c>
      <c r="O57" s="27" t="s">
        <v>1183</v>
      </c>
    </row>
    <row r="58" spans="2:17" ht="12.75">
      <c r="B58" s="47" t="s">
        <v>1448</v>
      </c>
      <c r="C58" s="40">
        <f>IF(J4="R403",Calculations!Z426,IF(J4="TE",C14+C18+C22+C26+C30+C34+C38+C42+C46+C50+C54+Calculations!Z426,C14+C18+C22+C26+C30+C34+C38+C42+C46+C50+C54))</f>
        <v>11110863946.057573</v>
      </c>
      <c r="D58" s="48"/>
      <c r="E58" s="40">
        <f>E14+E18+E22+E26+E30+E34+E38+E42+E46+E50+E54</f>
        <v>0</v>
      </c>
      <c r="F58" s="40">
        <f>F14+F18+F22+F26+F30+F34+F38+F42+F46+F50+F54</f>
        <v>0</v>
      </c>
      <c r="G58" s="40">
        <f>G14+G18+G22+G26+G30+G34+G38+G42+G46+G50+G54</f>
        <v>0</v>
      </c>
      <c r="N58" s="27" t="s">
        <v>154</v>
      </c>
      <c r="O58" s="27" t="s">
        <v>788</v>
      </c>
      <c r="P58" s="27" t="s">
        <v>789</v>
      </c>
      <c r="Q58" s="27" t="s">
        <v>790</v>
      </c>
    </row>
    <row r="59" spans="2:15" ht="12.75">
      <c r="B59" s="47"/>
      <c r="C59" s="40"/>
      <c r="D59" s="48"/>
      <c r="E59" s="40"/>
      <c r="F59" s="40"/>
      <c r="G59" s="40"/>
      <c r="N59" s="27" t="s">
        <v>469</v>
      </c>
      <c r="O59" s="27" t="s">
        <v>1103</v>
      </c>
    </row>
    <row r="60" spans="14:17" ht="12.75">
      <c r="N60" s="27" t="s">
        <v>302</v>
      </c>
      <c r="O60" s="27" t="s">
        <v>936</v>
      </c>
      <c r="P60" s="27" t="s">
        <v>937</v>
      </c>
      <c r="Q60" s="27" t="s">
        <v>938</v>
      </c>
    </row>
    <row r="61" spans="2:17" ht="15">
      <c r="B61" s="62" t="s">
        <v>1427</v>
      </c>
      <c r="C61" s="62"/>
      <c r="D61" s="62"/>
      <c r="E61" s="62"/>
      <c r="F61" s="62"/>
      <c r="G61" s="62"/>
      <c r="N61" s="27" t="s">
        <v>248</v>
      </c>
      <c r="O61" s="27" t="s">
        <v>882</v>
      </c>
      <c r="P61" s="27" t="s">
        <v>883</v>
      </c>
      <c r="Q61" s="27" t="s">
        <v>884</v>
      </c>
    </row>
    <row r="62" spans="14:15" ht="12.75">
      <c r="N62" s="27" t="s">
        <v>550</v>
      </c>
      <c r="O62" s="27" t="s">
        <v>1184</v>
      </c>
    </row>
    <row r="63" spans="3:17" ht="12.75">
      <c r="C63" s="36" t="str">
        <f>$J$4</f>
        <v>TE</v>
      </c>
      <c r="D63" s="37"/>
      <c r="E63" s="36">
        <f>IF(ISBLANK(VLOOKUP($C$8,$O$2:$R$409,2,FALSE)),,VLOOKUP($C63,$O$2:$R$409,2,FALSE))</f>
        <v>0</v>
      </c>
      <c r="F63" s="36">
        <f>IF(ISBLANK(VLOOKUP($C$8,$O$2:$R$409,3,FALSE)),,VLOOKUP($C63,$O$2:$R$409,3,FALSE))</f>
        <v>0</v>
      </c>
      <c r="G63" s="36">
        <f>IF(ISBLANK(VLOOKUP($C$8,$O$2:$R$409,4,FALSE)),,VLOOKUP($C63,$O$2:$R$409,4,FALSE))</f>
        <v>0</v>
      </c>
      <c r="N63" s="27" t="s">
        <v>157</v>
      </c>
      <c r="O63" s="27" t="s">
        <v>791</v>
      </c>
      <c r="P63" s="27" t="s">
        <v>792</v>
      </c>
      <c r="Q63" s="27" t="s">
        <v>793</v>
      </c>
    </row>
    <row r="64" spans="3:15" ht="12.75">
      <c r="C64" s="38" t="s">
        <v>0</v>
      </c>
      <c r="D64" s="38"/>
      <c r="E64" s="26">
        <f>IF(RIGHT(E63,1)="U","Upper Tier Services",IF(RIGHT(E63,1)="L","Lower Tier Services",IF(RIGHT(E63,1)="F","Fire &amp; Rescue Services","")))</f>
      </c>
      <c r="F64" s="26">
        <f>IF(RIGHT(F63,1)="U","Upper Tier Services",IF(RIGHT(F63,1)="L","Lower Tier Services",IF(RIGHT(F63,1)="F","Fire &amp; Rescue Services","")))</f>
      </c>
      <c r="G64" s="26">
        <f>IF(RIGHT(G63,1)="U","Upper Tier Services",IF(RIGHT(G63,1)="L","Lower Tier Services",IF(RIGHT(G63,1)="F","Fire &amp; Rescue Services","")))</f>
      </c>
      <c r="N64" s="27" t="s">
        <v>496</v>
      </c>
      <c r="O64" s="27" t="s">
        <v>1130</v>
      </c>
    </row>
    <row r="65" spans="14:15" ht="12.75">
      <c r="N65" s="27" t="s">
        <v>501</v>
      </c>
      <c r="O65" s="27" t="s">
        <v>1135</v>
      </c>
    </row>
    <row r="66" spans="2:15" ht="12.75">
      <c r="B66" s="16" t="s">
        <v>1491</v>
      </c>
      <c r="N66" s="27" t="s">
        <v>569</v>
      </c>
      <c r="O66" s="27" t="s">
        <v>1203</v>
      </c>
    </row>
    <row r="67" spans="2:15" ht="12.75">
      <c r="B67" s="31" t="s">
        <v>1437</v>
      </c>
      <c r="C67" s="37">
        <f>IF(ISBLANK(VLOOKUP($C$8,$O$2:$R$409,2,FALSE)),VLOOKUP(C$8,Calculations!$A$2:$BY$680,33,FALSE),SUM(E67:G67))</f>
        <v>172127442</v>
      </c>
      <c r="E67" s="37">
        <f>IF(ISBLANK(VLOOKUP($C$8,$O$2:$R$409,2,FALSE)),,VLOOKUP(E$8,Calculations!$A$2:$BY$680,33,FALSE))</f>
        <v>0</v>
      </c>
      <c r="F67" s="37">
        <f>IF(ISBLANK(VLOOKUP($C$8,$O$2:$R$409,2,FALSE)),,VLOOKUP(F$8,Calculations!$A$2:$BY$680,33,FALSE))</f>
        <v>0</v>
      </c>
      <c r="G67" s="37">
        <f>IF(ISNUMBER($G$63),,VLOOKUP(G$8,Calculations!$A$2:$BY$680,4,FALSE))</f>
        <v>0</v>
      </c>
      <c r="I67" t="s">
        <v>1443</v>
      </c>
      <c r="N67" s="27" t="s">
        <v>411</v>
      </c>
      <c r="O67" s="27" t="s">
        <v>1045</v>
      </c>
    </row>
    <row r="68" spans="2:15" ht="12.75">
      <c r="B68" s="31" t="s">
        <v>1438</v>
      </c>
      <c r="C68" s="37">
        <f>IF($C$73=0,,Calculations!$AG$680)</f>
        <v>172127442</v>
      </c>
      <c r="E68" s="37">
        <f>IF(E67=0,,Calculations!$AG$680)</f>
        <v>0</v>
      </c>
      <c r="F68" s="37">
        <f>IF(F67=0,,Calculations!$AG$680)</f>
        <v>0</v>
      </c>
      <c r="G68" s="37">
        <f>IF(G67=0,,Calculations!$AG$680)</f>
        <v>0</v>
      </c>
      <c r="I68" t="s">
        <v>1444</v>
      </c>
      <c r="N68" s="27" t="s">
        <v>1298</v>
      </c>
      <c r="O68" s="27" t="s">
        <v>1273</v>
      </c>
    </row>
    <row r="69" spans="2:15" ht="12.75">
      <c r="B69" s="31" t="s">
        <v>1439</v>
      </c>
      <c r="C69" s="37">
        <f>IF($C$73=0,,LWP_RSG)</f>
        <v>129600000</v>
      </c>
      <c r="E69" s="37">
        <f>IF(E67=0,,LWP_RSG)</f>
        <v>0</v>
      </c>
      <c r="F69" s="37">
        <f>IF(F67=0,,LWP_RSG)</f>
        <v>0</v>
      </c>
      <c r="G69" s="37">
        <f>IF(G67=0,,LWP_RSG)</f>
        <v>0</v>
      </c>
      <c r="I69" t="s">
        <v>1445</v>
      </c>
      <c r="N69" s="27" t="s">
        <v>523</v>
      </c>
      <c r="O69" s="27" t="s">
        <v>1157</v>
      </c>
    </row>
    <row r="70" spans="2:17" ht="12.75">
      <c r="B70" s="31" t="s">
        <v>1440</v>
      </c>
      <c r="C70" s="20">
        <f>IF(C67=0,,C67/C68*C69)</f>
        <v>129600000</v>
      </c>
      <c r="E70" s="20">
        <f>IF(E67=0,,E67/E68*E69)</f>
        <v>0</v>
      </c>
      <c r="F70" s="20">
        <f>IF(F67=0,,F67/F68*F69)</f>
        <v>0</v>
      </c>
      <c r="G70" s="20">
        <f>IF(G67=0,,G67/G68*G69)</f>
        <v>0</v>
      </c>
      <c r="I70" s="46" t="s">
        <v>1442</v>
      </c>
      <c r="N70" s="27" t="s">
        <v>4</v>
      </c>
      <c r="O70" s="27" t="s">
        <v>638</v>
      </c>
      <c r="P70" s="27" t="s">
        <v>639</v>
      </c>
      <c r="Q70" s="27" t="s">
        <v>640</v>
      </c>
    </row>
    <row r="71" spans="14:17" ht="12.75">
      <c r="N71" s="27" t="s">
        <v>97</v>
      </c>
      <c r="O71" s="27" t="s">
        <v>731</v>
      </c>
      <c r="P71" s="27" t="s">
        <v>732</v>
      </c>
      <c r="Q71" s="27" t="s">
        <v>733</v>
      </c>
    </row>
    <row r="72" spans="2:15" ht="12.75">
      <c r="B72" s="16" t="s">
        <v>1403</v>
      </c>
      <c r="C72" s="45"/>
      <c r="E72" s="45"/>
      <c r="F72" s="45"/>
      <c r="G72" s="45"/>
      <c r="N72" s="27" t="s">
        <v>430</v>
      </c>
      <c r="O72" s="27" t="s">
        <v>1064</v>
      </c>
    </row>
    <row r="73" spans="2:15" ht="12.75">
      <c r="B73" s="31" t="s">
        <v>1437</v>
      </c>
      <c r="C73" s="37">
        <f>IF(ISBLANK(VLOOKUP($C$8,$O$2:$R$409,2,FALSE)),VLOOKUP(C$8,Calculations!$A$2:$BY$680,35,FALSE),SUM(E73:G73))</f>
        <v>7751998140</v>
      </c>
      <c r="E73" s="37">
        <f>IF(ISBLANK(VLOOKUP($C$8,$O$2:$R$409,2,FALSE)),,VLOOKUP(E$8,Calculations!$A$2:$BY$680,35,FALSE))</f>
        <v>0</v>
      </c>
      <c r="F73" s="37">
        <f>IF(ISBLANK(VLOOKUP($C$8,$O$2:$R$409,2,FALSE)),,VLOOKUP(F$8,Calculations!$A$2:$BY$680,35,FALSE))</f>
        <v>0</v>
      </c>
      <c r="G73" s="37">
        <f>IF(ISNUMBER($G$63),,VLOOKUP(G$8,Calculations!$A$2:$BY$680,35,FALSE))</f>
        <v>0</v>
      </c>
      <c r="I73" t="s">
        <v>1443</v>
      </c>
      <c r="N73" s="27" t="s">
        <v>418</v>
      </c>
      <c r="O73" s="27" t="s">
        <v>1052</v>
      </c>
    </row>
    <row r="74" spans="2:15" ht="12.75">
      <c r="B74" s="31" t="s">
        <v>1438</v>
      </c>
      <c r="C74" s="37">
        <f>IF($C$73=0,,Calculations!$AI$680)</f>
        <v>7751998140</v>
      </c>
      <c r="E74" s="37">
        <f>IF(E73=0,,Calculations!$AI$680)</f>
        <v>0</v>
      </c>
      <c r="F74" s="37">
        <f>IF(F73=0,,Calculations!$AI$680)</f>
        <v>0</v>
      </c>
      <c r="G74" s="37">
        <f>IF(G73=0,,Calculations!$AI$680)</f>
        <v>0</v>
      </c>
      <c r="I74" t="s">
        <v>1444</v>
      </c>
      <c r="N74" s="27" t="s">
        <v>1308</v>
      </c>
      <c r="O74" s="27" t="s">
        <v>1283</v>
      </c>
    </row>
    <row r="75" spans="2:17" ht="12.75">
      <c r="B75" s="31" t="s">
        <v>1439</v>
      </c>
      <c r="C75" s="37">
        <f>IF($C$73=0,,Calculations!$AJ$680)</f>
        <v>5313612078</v>
      </c>
      <c r="E75" s="37">
        <f>IF(E73=0,,Calculations!$AJ$680)</f>
        <v>0</v>
      </c>
      <c r="F75" s="37">
        <f>IF(F73=0,,Calculations!$AJ$680)</f>
        <v>0</v>
      </c>
      <c r="G75" s="37">
        <f>IF(G73=0,,Calculations!$AJ$680)</f>
        <v>0</v>
      </c>
      <c r="I75" t="s">
        <v>1445</v>
      </c>
      <c r="N75" s="27" t="s">
        <v>109</v>
      </c>
      <c r="O75" s="27" t="s">
        <v>743</v>
      </c>
      <c r="P75" s="27" t="s">
        <v>744</v>
      </c>
      <c r="Q75" s="27" t="s">
        <v>745</v>
      </c>
    </row>
    <row r="76" spans="2:15" ht="12.75">
      <c r="B76" s="55" t="s">
        <v>1493</v>
      </c>
      <c r="C76" s="37">
        <f>C70</f>
        <v>129600000</v>
      </c>
      <c r="E76" s="37">
        <f>E70</f>
        <v>0</v>
      </c>
      <c r="F76" s="37">
        <f>F70</f>
        <v>0</v>
      </c>
      <c r="G76" s="37">
        <f>G70</f>
        <v>0</v>
      </c>
      <c r="I76" s="17" t="s">
        <v>1494</v>
      </c>
      <c r="N76" s="27" t="s">
        <v>584</v>
      </c>
      <c r="O76" s="27" t="s">
        <v>1218</v>
      </c>
    </row>
    <row r="77" spans="2:15" ht="12.75">
      <c r="B77" s="31" t="s">
        <v>1440</v>
      </c>
      <c r="C77" s="20">
        <f>IF(C73=0,,C73/C74*C75-C76)</f>
        <v>5184012078</v>
      </c>
      <c r="E77" s="20">
        <f>IF(E73=0,,E73/E74*E75-E76)</f>
        <v>0</v>
      </c>
      <c r="F77" s="20">
        <f>IF(F73=0,,F73/F74*F75-F76)</f>
        <v>0</v>
      </c>
      <c r="G77" s="20">
        <f>IF(G73=0,,G73/G74*G75-G76)</f>
        <v>0</v>
      </c>
      <c r="I77" s="56" t="s">
        <v>1470</v>
      </c>
      <c r="N77" s="27" t="s">
        <v>512</v>
      </c>
      <c r="O77" s="27" t="s">
        <v>1146</v>
      </c>
    </row>
    <row r="78" spans="2:15" ht="12.75">
      <c r="B78" s="31"/>
      <c r="C78" s="20"/>
      <c r="E78" s="20"/>
      <c r="F78" s="20"/>
      <c r="G78" s="20"/>
      <c r="I78" s="46"/>
      <c r="N78" s="27" t="s">
        <v>436</v>
      </c>
      <c r="O78" s="27" t="s">
        <v>1070</v>
      </c>
    </row>
    <row r="79" spans="2:15" ht="12.75">
      <c r="B79" s="16" t="s">
        <v>1405</v>
      </c>
      <c r="C79" s="45"/>
      <c r="E79" s="45"/>
      <c r="F79" s="45"/>
      <c r="G79" s="45"/>
      <c r="N79" s="27" t="s">
        <v>470</v>
      </c>
      <c r="O79" s="27" t="s">
        <v>1104</v>
      </c>
    </row>
    <row r="80" spans="2:17" ht="12.75">
      <c r="B80" s="31" t="s">
        <v>1437</v>
      </c>
      <c r="C80" s="37">
        <f>IF(ISBLANK(VLOOKUP($C$8,$O$2:$R$409,2,FALSE)),VLOOKUP(C$8,Calculations!$A$2:$BY$680,38,FALSE),SUM(E80:G80))</f>
        <v>1906555181.999994</v>
      </c>
      <c r="E80" s="37">
        <f>IF(ISBLANK(VLOOKUP($C$8,$O$2:$R$409,2,FALSE)),,VLOOKUP(E$8,Calculations!$A$2:$BY$680,38,FALSE))</f>
        <v>0</v>
      </c>
      <c r="F80" s="37">
        <f>IF(ISBLANK(VLOOKUP($C$8,$O$2:$R$409,2,FALSE)),,VLOOKUP(F$8,Calculations!$A$2:$BY$680,38,FALSE))</f>
        <v>0</v>
      </c>
      <c r="G80" s="37">
        <f>IF(ISNUMBER($G$63),,VLOOKUP(G$8,Calculations!$A$2:$BY$680,38,FALSE))</f>
        <v>0</v>
      </c>
      <c r="I80" t="s">
        <v>1443</v>
      </c>
      <c r="N80" s="27" t="s">
        <v>406</v>
      </c>
      <c r="O80" s="27" t="s">
        <v>1040</v>
      </c>
      <c r="P80" s="27" t="s">
        <v>1041</v>
      </c>
      <c r="Q80" s="27" t="s">
        <v>1042</v>
      </c>
    </row>
    <row r="81" spans="2:15" ht="12.75">
      <c r="B81" s="31" t="s">
        <v>1438</v>
      </c>
      <c r="C81" s="37">
        <f>IF(C80=0,,Calculations!$AL$680)</f>
        <v>1906555181.999994</v>
      </c>
      <c r="E81" s="37">
        <f>IF(E80=0,,Calculations!$AL$680)</f>
        <v>0</v>
      </c>
      <c r="F81" s="37">
        <f>IF(F80=0,,Calculations!$AL$680)</f>
        <v>0</v>
      </c>
      <c r="G81" s="37">
        <f>IF(G80=0,,Calculations!$AL$680)</f>
        <v>0</v>
      </c>
      <c r="I81" t="s">
        <v>1444</v>
      </c>
      <c r="N81" s="27" t="s">
        <v>536</v>
      </c>
      <c r="O81" s="27" t="s">
        <v>1170</v>
      </c>
    </row>
    <row r="82" spans="2:15" ht="12.75">
      <c r="B82" s="31" t="s">
        <v>1439</v>
      </c>
      <c r="C82" s="37">
        <f>IF(C80=0,,LT_RSG)</f>
        <v>1276518313</v>
      </c>
      <c r="E82" s="37">
        <f>IF(E80=0,,LT_RSG)</f>
        <v>0</v>
      </c>
      <c r="F82" s="37">
        <f>IF(F80=0,,LT_RSG)</f>
        <v>0</v>
      </c>
      <c r="G82" s="37">
        <f>IF(G80=0,,LT_RSG)</f>
        <v>0</v>
      </c>
      <c r="I82" t="s">
        <v>1445</v>
      </c>
      <c r="N82" s="27" t="s">
        <v>471</v>
      </c>
      <c r="O82" s="27" t="s">
        <v>1105</v>
      </c>
    </row>
    <row r="83" spans="2:15" ht="12.75">
      <c r="B83" s="31" t="s">
        <v>1440</v>
      </c>
      <c r="C83" s="20">
        <f>IF(C80=0,,C80/C81*C82)</f>
        <v>1276518313</v>
      </c>
      <c r="E83" s="20">
        <f>IF(E80=0,,E80/E81*E82)</f>
        <v>0</v>
      </c>
      <c r="F83" s="20">
        <f>IF(F80=0,,F80/F81*F82)</f>
        <v>0</v>
      </c>
      <c r="G83" s="20">
        <f>IF(G80=0,,G80/G81*G82)</f>
        <v>0</v>
      </c>
      <c r="I83" s="46" t="s">
        <v>1442</v>
      </c>
      <c r="N83" s="27" t="s">
        <v>479</v>
      </c>
      <c r="O83" s="27" t="s">
        <v>1113</v>
      </c>
    </row>
    <row r="84" spans="2:15" ht="12.75">
      <c r="B84" s="31"/>
      <c r="C84" s="20"/>
      <c r="E84" s="20"/>
      <c r="F84" s="20"/>
      <c r="G84" s="20"/>
      <c r="I84" s="46"/>
      <c r="N84" s="27" t="s">
        <v>574</v>
      </c>
      <c r="O84" s="27" t="s">
        <v>1208</v>
      </c>
    </row>
    <row r="85" spans="2:17" ht="12.75">
      <c r="B85" s="16" t="s">
        <v>1406</v>
      </c>
      <c r="C85" s="45"/>
      <c r="E85" s="45"/>
      <c r="F85" s="45"/>
      <c r="G85" s="45"/>
      <c r="N85" s="27" t="s">
        <v>397</v>
      </c>
      <c r="O85" s="27" t="s">
        <v>1031</v>
      </c>
      <c r="P85" s="27" t="s">
        <v>1032</v>
      </c>
      <c r="Q85" s="27" t="s">
        <v>1033</v>
      </c>
    </row>
    <row r="86" spans="2:15" ht="12.75">
      <c r="B86" s="31" t="s">
        <v>1437</v>
      </c>
      <c r="C86" s="37">
        <f>IF(ISBLANK(VLOOKUP($C$8,$O$2:$R$409,2,FALSE)),VLOOKUP(C$8,Calculations!$A$2:$BY$680,40,FALSE),SUM(E86:G86))</f>
        <v>638098509.0000021</v>
      </c>
      <c r="E86" s="37">
        <f>IF(ISBLANK(VLOOKUP($C$8,$O$2:$R$409,2,FALSE)),,VLOOKUP(E$8,Calculations!$A$2:$BY$680,40,FALSE))</f>
        <v>0</v>
      </c>
      <c r="F86" s="37">
        <f>IF(ISBLANK(VLOOKUP($C$8,$O$2:$R$409,2,FALSE)),,VLOOKUP(F$8,Calculations!$A$2:$BY$680,40,FALSE))</f>
        <v>0</v>
      </c>
      <c r="G86" s="37">
        <f>IF(ISNUMBER($G$63),,VLOOKUP(G$8,Calculations!$A$2:$BY$680,40,FALSE))</f>
        <v>0</v>
      </c>
      <c r="I86" t="s">
        <v>1443</v>
      </c>
      <c r="N86" s="27" t="s">
        <v>1309</v>
      </c>
      <c r="O86" s="27" t="s">
        <v>1284</v>
      </c>
    </row>
    <row r="87" spans="2:17" ht="12.75">
      <c r="B87" s="31" t="s">
        <v>1438</v>
      </c>
      <c r="C87" s="37">
        <f>IF(C86=0,,Calculations!$AN$680)</f>
        <v>638098509.0000021</v>
      </c>
      <c r="E87" s="37">
        <f>IF(E86=0,,Calculations!$AN$680)</f>
        <v>0</v>
      </c>
      <c r="F87" s="37">
        <f>IF(F86=0,,Calculations!$AN$680)</f>
        <v>0</v>
      </c>
      <c r="G87" s="37">
        <f>IF(G86=0,,Calculations!$AN$680)</f>
        <v>0</v>
      </c>
      <c r="I87" t="s">
        <v>1444</v>
      </c>
      <c r="N87" s="27" t="s">
        <v>400</v>
      </c>
      <c r="O87" s="27" t="s">
        <v>1034</v>
      </c>
      <c r="P87" s="27" t="s">
        <v>1035</v>
      </c>
      <c r="Q87" s="27" t="s">
        <v>1036</v>
      </c>
    </row>
    <row r="88" spans="2:15" ht="12.75">
      <c r="B88" s="31" t="s">
        <v>1439</v>
      </c>
      <c r="C88" s="37">
        <f>IF(C86=0,,Calculations!$AO$680)</f>
        <v>526149703</v>
      </c>
      <c r="E88" s="37">
        <f>IF(E86=0,,Calculations!$AO$680)</f>
        <v>0</v>
      </c>
      <c r="F88" s="37">
        <f>IF(F86=0,,Calculations!$AO$680)</f>
        <v>0</v>
      </c>
      <c r="G88" s="37">
        <f>IF(G86=0,,Calculations!$AO$680)</f>
        <v>0</v>
      </c>
      <c r="I88" t="s">
        <v>1445</v>
      </c>
      <c r="N88" s="27" t="s">
        <v>442</v>
      </c>
      <c r="O88" s="27" t="s">
        <v>1076</v>
      </c>
    </row>
    <row r="89" spans="2:15" ht="12.75">
      <c r="B89" s="31" t="s">
        <v>1468</v>
      </c>
      <c r="C89" s="37">
        <f>IF(ISBLANK(VLOOKUP($C$8,$O$2:$R$409,2,FALSE)),VLOOKUP(C$8,Calculations!$A$2:$BY$680,42,FALSE),SUM(E89:G89))</f>
        <v>-2152904</v>
      </c>
      <c r="E89" s="37">
        <f>IF(E86=0,,VLOOKUP(E63,Calculations!$A$2:$AT$659,42,FALSE))</f>
        <v>0</v>
      </c>
      <c r="F89" s="37">
        <f>IF(F86=0,,VLOOKUP(F63,Calculations!$A$2:$AT$659,42,FALSE))</f>
        <v>0</v>
      </c>
      <c r="G89" s="37">
        <f>IF(G86=0,,VLOOKUP(G63,Calculations!$A$2:$AT$659,42,FALSE))</f>
        <v>0</v>
      </c>
      <c r="I89" t="s">
        <v>1469</v>
      </c>
      <c r="N89" s="27" t="s">
        <v>617</v>
      </c>
      <c r="O89" s="27" t="s">
        <v>1251</v>
      </c>
    </row>
    <row r="90" spans="2:15" ht="12.75">
      <c r="B90" s="31" t="s">
        <v>1440</v>
      </c>
      <c r="C90" s="20">
        <f>IF(C86=0,,C86/C87*C88+C89)</f>
        <v>523996799</v>
      </c>
      <c r="E90" s="20">
        <f>IF(E86=0,,E86/E87*E88+E89)</f>
        <v>0</v>
      </c>
      <c r="F90" s="20">
        <f>IF(F86=0,,F86/F87*F88+F89)</f>
        <v>0</v>
      </c>
      <c r="G90" s="20">
        <f>IF(G86=0,,G86/G87*G88+G89)</f>
        <v>0</v>
      </c>
      <c r="I90" s="46" t="s">
        <v>1470</v>
      </c>
      <c r="N90" s="27" t="s">
        <v>428</v>
      </c>
      <c r="O90" s="27" t="s">
        <v>1062</v>
      </c>
    </row>
    <row r="91" spans="2:15" ht="12.75">
      <c r="B91" s="31"/>
      <c r="C91" s="20"/>
      <c r="E91" s="20"/>
      <c r="F91" s="20"/>
      <c r="G91" s="20"/>
      <c r="I91" s="46"/>
      <c r="N91" s="27" t="s">
        <v>524</v>
      </c>
      <c r="O91" s="27" t="s">
        <v>1158</v>
      </c>
    </row>
    <row r="92" spans="2:15" ht="12.75">
      <c r="B92" s="16" t="s">
        <v>1477</v>
      </c>
      <c r="C92" s="45"/>
      <c r="E92" s="45"/>
      <c r="F92" s="45"/>
      <c r="G92" s="45"/>
      <c r="N92" s="27" t="s">
        <v>456</v>
      </c>
      <c r="O92" s="27" t="s">
        <v>1090</v>
      </c>
    </row>
    <row r="93" spans="2:17" ht="12.75">
      <c r="B93" s="31" t="s">
        <v>1437</v>
      </c>
      <c r="C93" s="37">
        <f>IF(ISBLANK(VLOOKUP($C$8,$O$2:$R$409,2,FALSE)),VLOOKUP(C$8,Calculations!$A$2:$BY$680,44,FALSE),SUM(E93:G93))</f>
        <v>349038086.999997</v>
      </c>
      <c r="E93" s="37">
        <f>IF(ISBLANK(VLOOKUP($C$8,$O$2:$R$409,2,FALSE)),,VLOOKUP(E$8,Calculations!$A$2:$BY$680,44,FALSE))</f>
        <v>0</v>
      </c>
      <c r="F93" s="37">
        <f>IF(ISBLANK(VLOOKUP($C$8,$O$2:$R$409,2,FALSE)),,VLOOKUP(F$8,Calculations!$A$2:$BY$680,44,FALSE))</f>
        <v>0</v>
      </c>
      <c r="G93" s="37">
        <f>IF(ISNUMBER($G$63),,VLOOKUP(G$8,Calculations!$A$2:$BY$680,44,FALSE))</f>
        <v>0</v>
      </c>
      <c r="I93" t="s">
        <v>1443</v>
      </c>
      <c r="N93" s="27" t="s">
        <v>238</v>
      </c>
      <c r="O93" s="27" t="s">
        <v>872</v>
      </c>
      <c r="P93" s="27" t="s">
        <v>873</v>
      </c>
      <c r="Q93" s="27" t="s">
        <v>874</v>
      </c>
    </row>
    <row r="94" spans="2:15" ht="12.75">
      <c r="B94" s="31" t="s">
        <v>1438</v>
      </c>
      <c r="C94" s="37">
        <f>IF(C93=0,,Calculations!$AR$680)</f>
        <v>349038086.999997</v>
      </c>
      <c r="E94" s="37">
        <f>IF(E93=0,,Calculations!$AR$680)</f>
        <v>0</v>
      </c>
      <c r="F94" s="37">
        <f>IF(F93=0,,Calculations!$AR$680)</f>
        <v>0</v>
      </c>
      <c r="G94" s="37">
        <f>IF(G93=0,,Calculations!$AR$680)</f>
        <v>0</v>
      </c>
      <c r="I94" t="s">
        <v>1444</v>
      </c>
      <c r="N94" s="27" t="s">
        <v>1294</v>
      </c>
      <c r="O94" s="27" t="s">
        <v>1269</v>
      </c>
    </row>
    <row r="95" spans="2:15" ht="12.75">
      <c r="B95" s="31" t="s">
        <v>1439</v>
      </c>
      <c r="C95" s="37">
        <f>IF(C93=0,,CTF_RSG)</f>
        <v>342170317</v>
      </c>
      <c r="E95" s="37">
        <f>IF(E93=0,,CTF_RSG)</f>
        <v>0</v>
      </c>
      <c r="F95" s="37">
        <f>IF(F93=0,,CTF_RSG)</f>
        <v>0</v>
      </c>
      <c r="G95" s="37">
        <f>IF(G93=0,,CTF_RSG)</f>
        <v>0</v>
      </c>
      <c r="I95" t="s">
        <v>1445</v>
      </c>
      <c r="N95" s="27" t="s">
        <v>472</v>
      </c>
      <c r="O95" s="27" t="s">
        <v>1106</v>
      </c>
    </row>
    <row r="96" spans="2:15" ht="12.75">
      <c r="B96" s="31" t="s">
        <v>1440</v>
      </c>
      <c r="C96" s="20">
        <f>IF(C93=0,,C93/C94*C95)</f>
        <v>342170317</v>
      </c>
      <c r="E96" s="20">
        <f>IF(E93=0,,E93/E94*E95)</f>
        <v>0</v>
      </c>
      <c r="F96" s="20">
        <f>IF(F93=0,,F93/F94*F95)</f>
        <v>0</v>
      </c>
      <c r="G96" s="20">
        <f>IF(G93=0,,G93/G94*G95)</f>
        <v>0</v>
      </c>
      <c r="I96" s="46" t="s">
        <v>1442</v>
      </c>
      <c r="N96" s="27" t="s">
        <v>437</v>
      </c>
      <c r="O96" s="27" t="s">
        <v>1071</v>
      </c>
    </row>
    <row r="97" spans="2:15" ht="12.75">
      <c r="B97" s="31"/>
      <c r="C97" s="20"/>
      <c r="E97" s="20"/>
      <c r="F97" s="20"/>
      <c r="G97" s="20"/>
      <c r="I97" s="46"/>
      <c r="N97" s="27" t="s">
        <v>556</v>
      </c>
      <c r="O97" s="27" t="s">
        <v>1190</v>
      </c>
    </row>
    <row r="98" spans="2:18" ht="12.75">
      <c r="B98" s="16" t="s">
        <v>1318</v>
      </c>
      <c r="C98" s="45"/>
      <c r="E98" s="45"/>
      <c r="F98" s="45"/>
      <c r="G98" s="45"/>
      <c r="N98" s="27" t="s">
        <v>380</v>
      </c>
      <c r="O98" s="27" t="s">
        <v>1014</v>
      </c>
      <c r="P98" s="27" t="s">
        <v>1015</v>
      </c>
      <c r="Q98" s="27" t="s">
        <v>1016</v>
      </c>
      <c r="R98" s="27" t="s">
        <v>1017</v>
      </c>
    </row>
    <row r="99" spans="2:15" ht="12.75">
      <c r="B99" s="31" t="s">
        <v>1437</v>
      </c>
      <c r="C99" s="37">
        <f>IF(ISBLANK(VLOOKUP($C$8,$O$2:$R$409,2,FALSE)),VLOOKUP(C$8,Calculations!$A$2:$BY$680,46,FALSE),SUM(E99:G99))</f>
        <v>880393512</v>
      </c>
      <c r="E99" s="37">
        <f>IF(ISBLANK(VLOOKUP($C$8,$O$2:$R$409,2,FALSE)),,VLOOKUP(E$8,Calculations!$A$2:$BY$680,46,FALSE))</f>
        <v>0</v>
      </c>
      <c r="F99" s="37">
        <f>IF(ISBLANK(VLOOKUP($C$8,$O$2:$R$409,2,FALSE)),,VLOOKUP(F$8,Calculations!$A$2:$BY$680,46,FALSE))</f>
        <v>0</v>
      </c>
      <c r="G99" s="37">
        <f>IF(ISNUMBER($G$63),,VLOOKUP(G$8,Calculations!$A$2:$BY$680,46,FALSE))</f>
        <v>0</v>
      </c>
      <c r="I99" t="s">
        <v>1443</v>
      </c>
      <c r="N99" s="27" t="s">
        <v>480</v>
      </c>
      <c r="O99" s="27" t="s">
        <v>1114</v>
      </c>
    </row>
    <row r="100" spans="2:17" ht="12.75">
      <c r="B100" s="31" t="s">
        <v>1438</v>
      </c>
      <c r="C100" s="37">
        <f>IF(C99=0,,Calculations!$AT$680)</f>
        <v>880393512</v>
      </c>
      <c r="E100" s="37">
        <f>IF(E99=0,,Calculations!$AT$680)</f>
        <v>0</v>
      </c>
      <c r="F100" s="37">
        <f>IF(F99=0,,Calculations!$AT$680)</f>
        <v>0</v>
      </c>
      <c r="G100" s="37">
        <f>IF(G99=0,,Calculations!$AT$680)</f>
        <v>0</v>
      </c>
      <c r="I100" t="s">
        <v>1444</v>
      </c>
      <c r="N100" s="27" t="s">
        <v>76</v>
      </c>
      <c r="O100" s="27" t="s">
        <v>710</v>
      </c>
      <c r="P100" s="27" t="s">
        <v>711</v>
      </c>
      <c r="Q100" s="27" t="s">
        <v>712</v>
      </c>
    </row>
    <row r="101" spans="2:15" ht="12.75">
      <c r="B101" s="31" t="s">
        <v>1439</v>
      </c>
      <c r="C101" s="37">
        <f>IF(C99=0,,EI_RSG)</f>
        <v>726591897</v>
      </c>
      <c r="E101" s="37">
        <f>IF(E99=0,,EI_RSG)</f>
        <v>0</v>
      </c>
      <c r="F101" s="37">
        <f>IF(F99=0,,EI_RSG)</f>
        <v>0</v>
      </c>
      <c r="G101" s="37">
        <f>IF(G99=0,,EI_RSG)</f>
        <v>0</v>
      </c>
      <c r="I101" t="s">
        <v>1445</v>
      </c>
      <c r="N101" s="27" t="s">
        <v>563</v>
      </c>
      <c r="O101" s="27" t="s">
        <v>1197</v>
      </c>
    </row>
    <row r="102" spans="2:15" ht="12.75">
      <c r="B102" s="31" t="s">
        <v>1440</v>
      </c>
      <c r="C102" s="20">
        <f>IF(C99=0,,C99/C100*C101)</f>
        <v>726591897</v>
      </c>
      <c r="E102" s="20">
        <f>IF(E99=0,,E99/E100*E101)</f>
        <v>0</v>
      </c>
      <c r="F102" s="20">
        <f>IF(F99=0,,F99/F100*F101)</f>
        <v>0</v>
      </c>
      <c r="G102" s="20">
        <f>IF(G99=0,,G99/G100*G101)</f>
        <v>0</v>
      </c>
      <c r="I102" s="46" t="s">
        <v>1442</v>
      </c>
      <c r="N102" s="27" t="s">
        <v>618</v>
      </c>
      <c r="O102" s="27" t="s">
        <v>1252</v>
      </c>
    </row>
    <row r="103" spans="2:17" ht="12.75">
      <c r="B103" s="31"/>
      <c r="C103" s="20"/>
      <c r="E103" s="20"/>
      <c r="F103" s="20"/>
      <c r="G103" s="20"/>
      <c r="I103" s="46"/>
      <c r="N103" s="27" t="s">
        <v>160</v>
      </c>
      <c r="O103" s="27" t="s">
        <v>794</v>
      </c>
      <c r="P103" s="27" t="s">
        <v>795</v>
      </c>
      <c r="Q103" s="27" t="s">
        <v>796</v>
      </c>
    </row>
    <row r="104" spans="2:17" ht="12.75">
      <c r="B104" s="16" t="s">
        <v>1319</v>
      </c>
      <c r="C104" s="45"/>
      <c r="E104" s="45"/>
      <c r="F104" s="45"/>
      <c r="G104" s="45"/>
      <c r="N104" s="27" t="s">
        <v>205</v>
      </c>
      <c r="O104" s="27" t="s">
        <v>839</v>
      </c>
      <c r="P104" s="27" t="s">
        <v>840</v>
      </c>
      <c r="Q104" s="27" t="s">
        <v>841</v>
      </c>
    </row>
    <row r="105" spans="2:15" ht="12.75">
      <c r="B105" s="31" t="s">
        <v>1437</v>
      </c>
      <c r="C105" s="37">
        <f>VLOOKUP(C$8,Calculations!$A$2:$BY$680,48,FALSE)</f>
        <v>23394704</v>
      </c>
      <c r="E105" s="45"/>
      <c r="F105" s="45"/>
      <c r="G105" s="45"/>
      <c r="I105" t="s">
        <v>1443</v>
      </c>
      <c r="N105" s="27" t="s">
        <v>502</v>
      </c>
      <c r="O105" s="27" t="s">
        <v>1136</v>
      </c>
    </row>
    <row r="106" spans="2:17" ht="12.75">
      <c r="B106" s="31" t="s">
        <v>1438</v>
      </c>
      <c r="C106" s="37">
        <f>IF(C105=0,,Calculations!$AV$680)</f>
        <v>23394704</v>
      </c>
      <c r="E106" s="45"/>
      <c r="F106" s="45"/>
      <c r="G106" s="45"/>
      <c r="I106" t="s">
        <v>1444</v>
      </c>
      <c r="N106" s="27" t="s">
        <v>299</v>
      </c>
      <c r="O106" s="27" t="s">
        <v>933</v>
      </c>
      <c r="P106" s="27" t="s">
        <v>934</v>
      </c>
      <c r="Q106" s="27" t="s">
        <v>935</v>
      </c>
    </row>
    <row r="107" spans="2:15" ht="12.75">
      <c r="B107" s="31" t="s">
        <v>1439</v>
      </c>
      <c r="C107" s="37">
        <f>IF(C105=0,,GLAGen_RSG)</f>
        <v>21580834</v>
      </c>
      <c r="E107" s="45"/>
      <c r="F107" s="45"/>
      <c r="G107" s="45"/>
      <c r="I107" t="s">
        <v>1445</v>
      </c>
      <c r="N107" s="27" t="s">
        <v>513</v>
      </c>
      <c r="O107" s="27" t="s">
        <v>1147</v>
      </c>
    </row>
    <row r="108" spans="2:15" ht="12.75">
      <c r="B108" s="31" t="s">
        <v>1440</v>
      </c>
      <c r="C108" s="20">
        <f>IF(C105=0,,C105/C106*C107)</f>
        <v>21580834</v>
      </c>
      <c r="E108" s="45"/>
      <c r="F108" s="45"/>
      <c r="G108" s="45"/>
      <c r="I108" s="46" t="s">
        <v>1442</v>
      </c>
      <c r="N108" s="27" t="s">
        <v>557</v>
      </c>
      <c r="O108" s="27" t="s">
        <v>1191</v>
      </c>
    </row>
    <row r="109" spans="2:17" ht="12.75">
      <c r="B109" s="31"/>
      <c r="C109" s="20"/>
      <c r="E109" s="45"/>
      <c r="F109" s="45"/>
      <c r="G109" s="45"/>
      <c r="I109" s="46"/>
      <c r="N109" s="27" t="s">
        <v>290</v>
      </c>
      <c r="O109" s="27" t="s">
        <v>924</v>
      </c>
      <c r="P109" s="27" t="s">
        <v>925</v>
      </c>
      <c r="Q109" s="27" t="s">
        <v>926</v>
      </c>
    </row>
    <row r="110" spans="2:15" ht="12.75">
      <c r="B110" s="16" t="s">
        <v>1320</v>
      </c>
      <c r="C110" s="45"/>
      <c r="E110" s="45"/>
      <c r="F110" s="45"/>
      <c r="G110" s="45"/>
      <c r="N110" s="27" t="s">
        <v>412</v>
      </c>
      <c r="O110" s="27" t="s">
        <v>1046</v>
      </c>
    </row>
    <row r="111" spans="2:15" ht="12.75">
      <c r="B111" s="31" t="s">
        <v>1437</v>
      </c>
      <c r="C111" s="37">
        <f>IF(ISBLANK(VLOOKUP($C$8,$O$2:$R$409,2,FALSE)),VLOOKUP(C$8,Calculations!$A$2:$BY$680,50,FALSE),SUM(E111:G111))</f>
        <v>46220755.00000002</v>
      </c>
      <c r="E111" s="37">
        <f>IF(ISBLANK(VLOOKUP($C$8,$O$2:$R$409,2,FALSE)),,VLOOKUP(E$8,Calculations!$A$2:$BY$680,50,FALSE))</f>
        <v>0</v>
      </c>
      <c r="F111" s="37">
        <f>IF(ISBLANK(VLOOKUP($C$8,$O$2:$R$409,2,FALSE)),,VLOOKUP(F$8,Calculations!$A$2:$BY$680,50,FALSE))</f>
        <v>0</v>
      </c>
      <c r="G111" s="37">
        <f>IF(ISNUMBER($G$63),,VLOOKUP(G$8,Calculations!$A$2:$BY$680,50,FALSE))</f>
        <v>0</v>
      </c>
      <c r="I111" t="s">
        <v>1443</v>
      </c>
      <c r="N111" s="27" t="s">
        <v>447</v>
      </c>
      <c r="O111" s="27" t="s">
        <v>1081</v>
      </c>
    </row>
    <row r="112" spans="2:15" ht="12.75">
      <c r="B112" s="31" t="s">
        <v>1438</v>
      </c>
      <c r="C112" s="37">
        <f>IF(C111=0,,Calculations!$AX$680)</f>
        <v>46220755.00000002</v>
      </c>
      <c r="E112" s="37">
        <f>IF(E111=0,,Calculations!$AX$680)</f>
        <v>0</v>
      </c>
      <c r="F112" s="37">
        <f>IF(F111=0,,Calculations!$AX$680)</f>
        <v>0</v>
      </c>
      <c r="G112" s="37">
        <f>IF(G111=0,,Calculations!$AX$680)</f>
        <v>0</v>
      </c>
      <c r="I112" t="s">
        <v>1444</v>
      </c>
      <c r="N112" s="27" t="s">
        <v>1299</v>
      </c>
      <c r="O112" s="27" t="s">
        <v>1274</v>
      </c>
    </row>
    <row r="113" spans="2:15" ht="12.75">
      <c r="B113" s="31" t="s">
        <v>1439</v>
      </c>
      <c r="C113" s="37">
        <f>IF(C111=0,,HLP_RSG)</f>
        <v>45294790</v>
      </c>
      <c r="E113" s="37">
        <f>IF(E111=0,,HLP_RSG)</f>
        <v>0</v>
      </c>
      <c r="F113" s="37">
        <f>IF(F111=0,,HLP_RSG)</f>
        <v>0</v>
      </c>
      <c r="G113" s="37">
        <f>IF(G111=0,,HLP_RSG)</f>
        <v>0</v>
      </c>
      <c r="I113" t="s">
        <v>1445</v>
      </c>
      <c r="N113" s="27" t="s">
        <v>419</v>
      </c>
      <c r="O113" s="27" t="s">
        <v>1053</v>
      </c>
    </row>
    <row r="114" spans="2:15" ht="12.75">
      <c r="B114" s="31" t="s">
        <v>1440</v>
      </c>
      <c r="C114" s="20">
        <f>IF(C111=0,,C111/C112*C113)</f>
        <v>45294790</v>
      </c>
      <c r="E114" s="20">
        <f>IF(E111=0,,E111/E112*E113)</f>
        <v>0</v>
      </c>
      <c r="F114" s="20">
        <f>IF(F111=0,,F111/F112*F113)</f>
        <v>0</v>
      </c>
      <c r="G114" s="20">
        <f>IF(G111=0,,G111/G112*G113)</f>
        <v>0</v>
      </c>
      <c r="I114" s="46" t="s">
        <v>1442</v>
      </c>
      <c r="N114" s="27" t="s">
        <v>1316</v>
      </c>
      <c r="O114" s="27" t="s">
        <v>1267</v>
      </c>
    </row>
    <row r="115" spans="2:17" ht="12.75">
      <c r="B115" s="31"/>
      <c r="C115" s="20"/>
      <c r="E115" s="20"/>
      <c r="F115" s="20"/>
      <c r="G115" s="20"/>
      <c r="I115" s="46"/>
      <c r="N115" s="27" t="s">
        <v>49</v>
      </c>
      <c r="O115" s="27" t="s">
        <v>683</v>
      </c>
      <c r="P115" s="27" t="s">
        <v>684</v>
      </c>
      <c r="Q115" s="27" t="s">
        <v>685</v>
      </c>
    </row>
    <row r="116" spans="2:15" ht="12.75">
      <c r="B116" s="16" t="s">
        <v>1415</v>
      </c>
      <c r="C116" s="45"/>
      <c r="E116" s="45"/>
      <c r="F116" s="45"/>
      <c r="G116" s="45"/>
      <c r="N116" s="27" t="s">
        <v>413</v>
      </c>
      <c r="O116" s="27" t="s">
        <v>1047</v>
      </c>
    </row>
    <row r="117" spans="2:15" ht="12.75">
      <c r="B117" s="31" t="s">
        <v>1437</v>
      </c>
      <c r="C117" s="37">
        <f>IF(ISBLANK(VLOOKUP($C$8,$O$2:$R$409,2,FALSE)),VLOOKUP(C$8,Calculations!$A$2:$BY$680,52,FALSE),SUM(E117:G117))</f>
        <v>12132947.000001999</v>
      </c>
      <c r="E117" s="37">
        <f>IF(ISBLANK(VLOOKUP($C$8,$O$2:$R$409,2,FALSE)),,VLOOKUP(E$8,Calculations!$A$2:$BY$680,52,FALSE))</f>
        <v>0</v>
      </c>
      <c r="F117" s="37">
        <f>IF(ISBLANK(VLOOKUP($C$8,$O$2:$R$409,2,FALSE)),,VLOOKUP(F$8,Calculations!$A$2:$BY$680,52,FALSE))</f>
        <v>0</v>
      </c>
      <c r="G117" s="37">
        <f>IF(ISNUMBER($G$63),,VLOOKUP(G$8,Calculations!$A$2:$BY$680,52,FALSE))</f>
        <v>0</v>
      </c>
      <c r="I117" t="s">
        <v>1443</v>
      </c>
      <c r="N117" s="27" t="s">
        <v>1300</v>
      </c>
      <c r="O117" s="27" t="s">
        <v>1275</v>
      </c>
    </row>
    <row r="118" spans="2:15" ht="12.75">
      <c r="B118" s="31" t="s">
        <v>1438</v>
      </c>
      <c r="C118" s="37">
        <f>IF(C117=0,,Calculations!$AZ$680)</f>
        <v>12132947.000001999</v>
      </c>
      <c r="E118" s="37">
        <f>IF(E117=0,,Calculations!$AZ$680)</f>
        <v>0</v>
      </c>
      <c r="F118" s="37">
        <f>IF(F117=0,,Calculations!$AZ$680)</f>
        <v>0</v>
      </c>
      <c r="G118" s="37">
        <f>IF(G117=0,,Calculations!$AZ$680)</f>
        <v>0</v>
      </c>
      <c r="I118" t="s">
        <v>1444</v>
      </c>
      <c r="N118" s="27" t="s">
        <v>514</v>
      </c>
      <c r="O118" s="27" t="s">
        <v>1148</v>
      </c>
    </row>
    <row r="119" spans="2:17" ht="12.75">
      <c r="B119" s="31" t="s">
        <v>1439</v>
      </c>
      <c r="C119" s="37">
        <f>IF(C117=0,,LLF_RSG)</f>
        <v>11889881</v>
      </c>
      <c r="E119" s="37">
        <f>IF(E117=0,,LLF_RSG)</f>
        <v>0</v>
      </c>
      <c r="F119" s="37">
        <f>IF(F117=0,,LLF_RSG)</f>
        <v>0</v>
      </c>
      <c r="G119" s="37">
        <f>IF(G117=0,,LLF_RSG)</f>
        <v>0</v>
      </c>
      <c r="I119" t="s">
        <v>1445</v>
      </c>
      <c r="N119" s="27" t="s">
        <v>79</v>
      </c>
      <c r="O119" s="27" t="s">
        <v>713</v>
      </c>
      <c r="P119" s="27" t="s">
        <v>714</v>
      </c>
      <c r="Q119" s="27" t="s">
        <v>715</v>
      </c>
    </row>
    <row r="120" spans="2:17" ht="12.75">
      <c r="B120" s="31" t="s">
        <v>1440</v>
      </c>
      <c r="C120" s="20">
        <f>IF(C117=0,,C117/C118*C119)</f>
        <v>11889881</v>
      </c>
      <c r="E120" s="20">
        <f>IF(E117=0,,E117/E118*E119)</f>
        <v>0</v>
      </c>
      <c r="F120" s="20">
        <f>IF(F117=0,,F117/F118*F119)</f>
        <v>0</v>
      </c>
      <c r="G120" s="20">
        <f>IF(G117=0,,G117/G118*G119)</f>
        <v>0</v>
      </c>
      <c r="I120" s="46" t="s">
        <v>1442</v>
      </c>
      <c r="N120" s="27" t="s">
        <v>384</v>
      </c>
      <c r="O120" s="27" t="s">
        <v>1018</v>
      </c>
      <c r="P120" s="27" t="s">
        <v>1019</v>
      </c>
      <c r="Q120" s="27" t="s">
        <v>1020</v>
      </c>
    </row>
    <row r="121" spans="2:15" ht="12.75">
      <c r="B121" s="31"/>
      <c r="C121" s="20"/>
      <c r="E121" s="20"/>
      <c r="F121" s="20"/>
      <c r="G121" s="20"/>
      <c r="I121" s="46"/>
      <c r="N121" s="27" t="s">
        <v>1301</v>
      </c>
      <c r="O121" s="27" t="s">
        <v>1276</v>
      </c>
    </row>
    <row r="122" spans="2:17" ht="12.75">
      <c r="B122" s="16" t="s">
        <v>1321</v>
      </c>
      <c r="C122" s="45"/>
      <c r="E122" s="45"/>
      <c r="F122" s="45"/>
      <c r="G122" s="45"/>
      <c r="N122" s="27" t="s">
        <v>163</v>
      </c>
      <c r="O122" s="27" t="s">
        <v>797</v>
      </c>
      <c r="P122" s="27" t="s">
        <v>798</v>
      </c>
      <c r="Q122" s="27" t="s">
        <v>799</v>
      </c>
    </row>
    <row r="123" spans="2:15" ht="12.75">
      <c r="B123" s="31" t="s">
        <v>1437</v>
      </c>
      <c r="C123" s="37">
        <f>IF(ISBLANK(VLOOKUP($C$8,$O$2:$R$409,2,FALSE)),VLOOKUP(C$8,Calculations!$A$2:$BY$680,54,FALSE),SUM(E123:G123))</f>
        <v>850782943.0000011</v>
      </c>
      <c r="E123" s="37">
        <f>IF(ISBLANK(VLOOKUP($C$8,$O$2:$R$409,2,FALSE)),,VLOOKUP(E$8,Calculations!$A$2:$BY$680,54,FALSE))</f>
        <v>0</v>
      </c>
      <c r="F123" s="37">
        <f>IF(ISBLANK(VLOOKUP($C$8,$O$2:$R$409,2,FALSE)),,VLOOKUP(F$8,Calculations!$A$2:$BY$680,54,FALSE))</f>
        <v>0</v>
      </c>
      <c r="G123" s="37">
        <f>IF(ISNUMBER($G$63),,VLOOKUP(G$8,Calculations!$A$2:$BY$680,54,FALSE))</f>
        <v>0</v>
      </c>
      <c r="I123" t="s">
        <v>1443</v>
      </c>
      <c r="N123" s="27" t="s">
        <v>431</v>
      </c>
      <c r="O123" s="27" t="s">
        <v>1065</v>
      </c>
    </row>
    <row r="124" spans="2:15" ht="12.75">
      <c r="B124" s="31" t="s">
        <v>1438</v>
      </c>
      <c r="C124" s="37">
        <f>IF(C123=0,,Calculations!$BB$680)</f>
        <v>850782943.0000011</v>
      </c>
      <c r="E124" s="37">
        <f>IF(E123=0,,Calculations!$BB$680)</f>
        <v>0</v>
      </c>
      <c r="F124" s="37">
        <f>IF(F123=0,,Calculations!$BB$680)</f>
        <v>0</v>
      </c>
      <c r="G124" s="37">
        <f>IF(G123=0,,Calculations!$BB$680)</f>
        <v>0</v>
      </c>
      <c r="I124" t="s">
        <v>1444</v>
      </c>
      <c r="N124" s="27" t="s">
        <v>448</v>
      </c>
      <c r="O124" s="27" t="s">
        <v>1082</v>
      </c>
    </row>
    <row r="125" spans="2:15" ht="12.75">
      <c r="B125" s="31" t="s">
        <v>1439</v>
      </c>
      <c r="C125" s="37">
        <f>IF(C123=0,,LDHR_RSG)</f>
        <v>834431462</v>
      </c>
      <c r="E125" s="37">
        <f>IF(E123=0,,LDHR_RSG)</f>
        <v>0</v>
      </c>
      <c r="F125" s="37">
        <f>IF(F123=0,,LDHR_RSG)</f>
        <v>0</v>
      </c>
      <c r="G125" s="37">
        <f>IF(G123=0,,LDHR_RSG)</f>
        <v>0</v>
      </c>
      <c r="I125" t="s">
        <v>1445</v>
      </c>
      <c r="N125" s="27" t="s">
        <v>461</v>
      </c>
      <c r="O125" s="27" t="s">
        <v>1095</v>
      </c>
    </row>
    <row r="126" spans="2:15" ht="12.75">
      <c r="B126" s="31" t="s">
        <v>1440</v>
      </c>
      <c r="C126" s="20">
        <f>IF(C123=0,,C123/C124*C125)</f>
        <v>834431462</v>
      </c>
      <c r="E126" s="20">
        <f>IF(E123=0,,E123/E124*E125)</f>
        <v>0</v>
      </c>
      <c r="F126" s="20">
        <f>IF(F123=0,,F123/F124*F125)</f>
        <v>0</v>
      </c>
      <c r="G126" s="20">
        <f>IF(G123=0,,G123/G124*G125)</f>
        <v>0</v>
      </c>
      <c r="I126" s="46" t="s">
        <v>1442</v>
      </c>
      <c r="N126" s="27" t="s">
        <v>486</v>
      </c>
      <c r="O126" s="27" t="s">
        <v>1120</v>
      </c>
    </row>
    <row r="127" spans="2:15" ht="12.75">
      <c r="B127" s="31"/>
      <c r="C127" s="20"/>
      <c r="E127" s="20"/>
      <c r="F127" s="20"/>
      <c r="G127" s="20"/>
      <c r="I127" s="46"/>
      <c r="N127" s="27" t="s">
        <v>503</v>
      </c>
      <c r="O127" s="27" t="s">
        <v>1137</v>
      </c>
    </row>
    <row r="128" spans="2:15" ht="12.75">
      <c r="B128" s="32" t="s">
        <v>1456</v>
      </c>
      <c r="C128" s="45"/>
      <c r="E128" s="45"/>
      <c r="F128" s="45"/>
      <c r="G128" s="45"/>
      <c r="N128" s="27" t="s">
        <v>543</v>
      </c>
      <c r="O128" s="27" t="s">
        <v>1177</v>
      </c>
    </row>
    <row r="129" spans="2:15" ht="12.75">
      <c r="B129" s="31" t="s">
        <v>1437</v>
      </c>
      <c r="C129" s="37">
        <f>IF(ISBLANK(VLOOKUP($C$8,$O$2:$R$409,2,FALSE)),VLOOKUP(C$8,Calculations!$A$2:$BY$680,56,FALSE),SUM(E129:G129))</f>
        <v>9500006.705888</v>
      </c>
      <c r="E129" s="37">
        <f>IF(ISBLANK(VLOOKUP($C$8,$O$2:$R$409,2,FALSE)),,VLOOKUP(E$8,Calculations!$A$2:$BY$680,56,FALSE))</f>
        <v>0</v>
      </c>
      <c r="F129" s="37">
        <f>IF(ISBLANK(VLOOKUP($C$8,$O$2:$R$409,2,FALSE)),,VLOOKUP(F$8,Calculations!$A$2:$BY$680,56,FALSE))</f>
        <v>0</v>
      </c>
      <c r="G129" s="37">
        <f>IF(ISNUMBER($G$63),,VLOOKUP(G$8,Calculations!$A$2:$BY$680,56,FALSE))</f>
        <v>0</v>
      </c>
      <c r="I129" t="s">
        <v>1443</v>
      </c>
      <c r="N129" s="27" t="s">
        <v>558</v>
      </c>
      <c r="O129" s="27" t="s">
        <v>1192</v>
      </c>
    </row>
    <row r="130" spans="2:17" ht="12.75">
      <c r="B130" s="31" t="s">
        <v>1438</v>
      </c>
      <c r="C130" s="37">
        <f>IF(C129=0,,Calculations!$BD$680)</f>
        <v>9500006.705888</v>
      </c>
      <c r="E130" s="37">
        <f>IF(E129=0,,Calculations!$BD$680)</f>
        <v>0</v>
      </c>
      <c r="F130" s="37">
        <f>IF(F129=0,,Calculations!$BD$680)</f>
        <v>0</v>
      </c>
      <c r="G130" s="37">
        <f>IF(G129=0,,Calculations!$BD$680)</f>
        <v>0</v>
      </c>
      <c r="I130" t="s">
        <v>1444</v>
      </c>
      <c r="N130" s="27" t="s">
        <v>269</v>
      </c>
      <c r="O130" s="27" t="s">
        <v>903</v>
      </c>
      <c r="P130" s="27" t="s">
        <v>904</v>
      </c>
      <c r="Q130" s="27" t="s">
        <v>905</v>
      </c>
    </row>
    <row r="131" spans="2:15" ht="12.75">
      <c r="B131" s="31" t="s">
        <v>1439</v>
      </c>
      <c r="C131" s="37">
        <f>IF(C129=0,,Calculations!$BE$680)</f>
        <v>13500011</v>
      </c>
      <c r="E131" s="37">
        <f>IF(E129=0,,Calculations!$BE$680)</f>
        <v>0</v>
      </c>
      <c r="F131" s="37">
        <f>IF(F129=0,,Calculations!$BE$680)</f>
        <v>0</v>
      </c>
      <c r="G131" s="37">
        <f>IF(G129=0,,Calculations!$BE$680)</f>
        <v>0</v>
      </c>
      <c r="I131" t="s">
        <v>1445</v>
      </c>
      <c r="N131" s="27" t="s">
        <v>585</v>
      </c>
      <c r="O131" s="27" t="s">
        <v>1219</v>
      </c>
    </row>
    <row r="132" spans="2:15" ht="12.75">
      <c r="B132" s="55" t="s">
        <v>1474</v>
      </c>
      <c r="C132" s="37">
        <f>IF(ISBLANK(VLOOKUP($C$8,$O$2:$R$409,2,FALSE)),VLOOKUP(C$8,Calculations!$A$2:$BY$680,58,FALSE),SUM(E132:G132))</f>
        <v>2000000</v>
      </c>
      <c r="E132" s="37">
        <f>IF(ISBLANK(VLOOKUP($C$8,$O$2:$R$409,2,FALSE)),,VLOOKUP(E$8,Calculations!$A$2:$BY$680,58,FALSE))</f>
        <v>0</v>
      </c>
      <c r="F132" s="37">
        <f>IF(ISBLANK(VLOOKUP($C$8,$O$2:$R$409,2,FALSE)),,VLOOKUP(F$8,Calculations!$A$2:$BY$680,58,FALSE))</f>
        <v>0</v>
      </c>
      <c r="G132" s="37">
        <f>IF(ISNUMBER($G$63),,VLOOKUP(G$8,Calculations!$A$2:$BY$680,58,FALSE))</f>
        <v>0</v>
      </c>
      <c r="I132" s="17" t="s">
        <v>1475</v>
      </c>
      <c r="N132" s="27" t="s">
        <v>414</v>
      </c>
      <c r="O132" s="27" t="s">
        <v>1048</v>
      </c>
    </row>
    <row r="133" spans="2:15" ht="12.75">
      <c r="B133" s="55" t="s">
        <v>1440</v>
      </c>
      <c r="C133" s="20">
        <f>IF(C129=0,,C129/C130*C131+C132)</f>
        <v>15500011</v>
      </c>
      <c r="E133" s="20">
        <f>IF(E129=0,,E129/E130*E131+E132)</f>
        <v>0</v>
      </c>
      <c r="F133" s="20">
        <f>IF(F129=0,,F129/F130*F131+F132)</f>
        <v>0</v>
      </c>
      <c r="G133" s="20">
        <f>IF(G129=0,,G129/G130*G131+G132)</f>
        <v>0</v>
      </c>
      <c r="I133" s="56" t="s">
        <v>1476</v>
      </c>
      <c r="N133" s="27" t="s">
        <v>1302</v>
      </c>
      <c r="O133" s="27" t="s">
        <v>1277</v>
      </c>
    </row>
    <row r="134" spans="2:15" ht="12.75">
      <c r="B134" s="55"/>
      <c r="C134" s="20"/>
      <c r="E134" s="20"/>
      <c r="F134" s="20"/>
      <c r="G134" s="20"/>
      <c r="I134" s="46"/>
      <c r="N134" s="27" t="s">
        <v>462</v>
      </c>
      <c r="O134" s="27" t="s">
        <v>1096</v>
      </c>
    </row>
    <row r="135" spans="2:15" ht="12.75">
      <c r="B135" s="33" t="s">
        <v>1462</v>
      </c>
      <c r="C135" s="45"/>
      <c r="E135" s="45"/>
      <c r="F135" s="45"/>
      <c r="G135" s="45"/>
      <c r="N135" s="27" t="s">
        <v>487</v>
      </c>
      <c r="O135" s="27" t="s">
        <v>1121</v>
      </c>
    </row>
    <row r="136" spans="2:15" ht="12.75">
      <c r="B136" s="55" t="s">
        <v>1495</v>
      </c>
      <c r="C136" s="37">
        <f>IF(ISBLANK(VLOOKUP($C$8,$O$2:$R$409,2,FALSE)),VLOOKUP(C$8,Calculations!$A$2:$BY$680,60,FALSE),SUM(E136:G136))</f>
        <v>173963370</v>
      </c>
      <c r="E136" s="37">
        <f>IF(ISBLANK(VLOOKUP($C$8,$O$2:$R$409,2,FALSE)),,VLOOKUP(E$8,Calculations!$A$2:$BY$680,60,FALSE))</f>
        <v>0</v>
      </c>
      <c r="F136" s="37">
        <f>IF(ISBLANK(VLOOKUP($C$8,$O$2:$R$409,2,FALSE)),,VLOOKUP(F$8,Calculations!$A$2:$BY$680,60,FALSE))</f>
        <v>0</v>
      </c>
      <c r="G136" s="37">
        <f>IF(ISNUMBER($G$63),,VLOOKUP(G$8,Calculations!$A$2:$BY$680,60,FALSE))</f>
        <v>0</v>
      </c>
      <c r="I136" s="17" t="s">
        <v>1480</v>
      </c>
      <c r="N136" s="27" t="s">
        <v>438</v>
      </c>
      <c r="O136" s="27" t="s">
        <v>1072</v>
      </c>
    </row>
    <row r="137" spans="2:15" ht="12.75">
      <c r="B137" s="55" t="s">
        <v>1478</v>
      </c>
      <c r="C137" s="37">
        <f>IF(ISBLANK(VLOOKUP($C$8,$O$2:$R$409,2,FALSE)),VLOOKUP(C$8,Calculations!$A$2:$BY$680,63,FALSE),SUM(E137:G137))</f>
        <v>145215319.00000012</v>
      </c>
      <c r="E137" s="37">
        <f>IF(ISBLANK(VLOOKUP($C$8,$O$2:$R$409,2,FALSE)),,VLOOKUP(E$8,Calculations!$A$2:$BY$680,63,FALSE))</f>
        <v>0</v>
      </c>
      <c r="F137" s="37">
        <f>IF(ISBLANK(VLOOKUP($C$8,$O$2:$R$409,2,FALSE)),,VLOOKUP(F$8,Calculations!$A$2:$BY$680,63,FALSE))</f>
        <v>0</v>
      </c>
      <c r="G137" s="37">
        <f>IF(ISNUMBER($G$63),,VLOOKUP(G$8,Calculations!$A$2:$BY$680,63,FALSE))</f>
        <v>0</v>
      </c>
      <c r="I137" s="17" t="s">
        <v>1479</v>
      </c>
      <c r="N137" s="27" t="s">
        <v>599</v>
      </c>
      <c r="O137" s="27" t="s">
        <v>1233</v>
      </c>
    </row>
    <row r="138" spans="2:17" ht="12.75">
      <c r="B138" s="31" t="s">
        <v>1440</v>
      </c>
      <c r="C138" s="37">
        <f>IF(AND(C136=0,C137=0),,C136+C137)</f>
        <v>319178689.0000001</v>
      </c>
      <c r="D138" s="48"/>
      <c r="E138" s="37">
        <f>IF(AND(E136=0,E137=0),,E136+E137)</f>
        <v>0</v>
      </c>
      <c r="F138" s="37">
        <f>IF(AND(F136=0,F137=0),,F136+F137)</f>
        <v>0</v>
      </c>
      <c r="G138" s="37">
        <f>IF(AND(G136=0,G137=0),,G136+G137)</f>
        <v>0</v>
      </c>
      <c r="I138" s="56" t="s">
        <v>1482</v>
      </c>
      <c r="N138" s="27" t="s">
        <v>166</v>
      </c>
      <c r="O138" s="27" t="s">
        <v>800</v>
      </c>
      <c r="P138" s="27" t="s">
        <v>801</v>
      </c>
      <c r="Q138" s="27" t="s">
        <v>802</v>
      </c>
    </row>
    <row r="139" spans="2:15" ht="12.75">
      <c r="B139" s="31"/>
      <c r="C139" s="20"/>
      <c r="E139" s="20"/>
      <c r="F139" s="20"/>
      <c r="G139" s="20"/>
      <c r="I139" s="46"/>
      <c r="N139" s="27" t="s">
        <v>473</v>
      </c>
      <c r="O139" s="27" t="s">
        <v>1107</v>
      </c>
    </row>
    <row r="140" spans="2:15" ht="12.75">
      <c r="B140" s="33" t="s">
        <v>1467</v>
      </c>
      <c r="C140" s="20"/>
      <c r="E140" s="20"/>
      <c r="F140" s="20"/>
      <c r="G140" s="20"/>
      <c r="I140" s="46"/>
      <c r="N140" s="27" t="s">
        <v>600</v>
      </c>
      <c r="O140" s="27" t="s">
        <v>1234</v>
      </c>
    </row>
    <row r="141" spans="2:15" ht="12.75">
      <c r="B141" s="55" t="s">
        <v>1466</v>
      </c>
      <c r="C141" s="37">
        <f>IF(ISBLANK(VLOOKUP($C$8,$O$2:$R$409,2,FALSE)),VLOOKUP(C$8,Calculations!$A$2:$BY$680,65,FALSE),SUM(E141:G141))</f>
        <v>9386434</v>
      </c>
      <c r="E141" s="37">
        <f>IF(ISBLANK(VLOOKUP($C$8,$O$2:$R$409,2,FALSE)),,VLOOKUP(E$8,Calculations!$A$2:$BY$680,65,FALSE))</f>
        <v>0</v>
      </c>
      <c r="F141" s="37">
        <f>IF(ISBLANK(VLOOKUP($C$8,$O$2:$R$409,2,FALSE)),,VLOOKUP(F$8,Calculations!$A$2:$BY$680,65,FALSE))</f>
        <v>0</v>
      </c>
      <c r="G141" s="37">
        <f>IF(ISNUMBER($G$63),,VLOOKUP(G$8,Calculations!$A$2:$BY$680,65,FALSE))</f>
        <v>0</v>
      </c>
      <c r="I141" s="58" t="s">
        <v>1483</v>
      </c>
      <c r="N141" s="27" t="s">
        <v>443</v>
      </c>
      <c r="O141" s="27" t="s">
        <v>1077</v>
      </c>
    </row>
    <row r="142" spans="2:15" ht="12.75">
      <c r="B142" s="55" t="s">
        <v>1440</v>
      </c>
      <c r="C142" s="20">
        <f>IF(C141=0,,C141)</f>
        <v>9386434</v>
      </c>
      <c r="E142" s="20">
        <f>IF(E141=0,,E141)</f>
        <v>0</v>
      </c>
      <c r="F142" s="20">
        <f>IF(F141=0,,F141)</f>
        <v>0</v>
      </c>
      <c r="G142" s="20">
        <f>IF(G141=0,,G141)</f>
        <v>0</v>
      </c>
      <c r="I142" s="56" t="s">
        <v>1484</v>
      </c>
      <c r="N142" s="27" t="s">
        <v>420</v>
      </c>
      <c r="O142" s="27" t="s">
        <v>1054</v>
      </c>
    </row>
    <row r="143" spans="2:15" ht="12.75">
      <c r="B143" s="31"/>
      <c r="C143" s="20"/>
      <c r="E143" s="20"/>
      <c r="F143" s="20"/>
      <c r="G143" s="20"/>
      <c r="I143" s="46"/>
      <c r="N143" s="27" t="s">
        <v>1310</v>
      </c>
      <c r="O143" s="27" t="s">
        <v>1285</v>
      </c>
    </row>
    <row r="144" spans="2:15" ht="12.75">
      <c r="B144" s="31"/>
      <c r="C144" s="20"/>
      <c r="E144" s="20"/>
      <c r="F144" s="20"/>
      <c r="G144" s="20"/>
      <c r="I144" s="46"/>
      <c r="N144" s="27" t="s">
        <v>449</v>
      </c>
      <c r="O144" s="27" t="s">
        <v>1083</v>
      </c>
    </row>
    <row r="145" spans="2:15" ht="12.75">
      <c r="B145" s="33" t="s">
        <v>1419</v>
      </c>
      <c r="C145" s="45"/>
      <c r="E145" s="45"/>
      <c r="F145" s="45"/>
      <c r="G145" s="45"/>
      <c r="N145" s="27" t="s">
        <v>488</v>
      </c>
      <c r="O145" s="27" t="s">
        <v>1122</v>
      </c>
    </row>
    <row r="146" spans="2:15" ht="12.75">
      <c r="B146" s="31" t="s">
        <v>1437</v>
      </c>
      <c r="C146" s="37">
        <f>IF(ISBLANK(VLOOKUP($C$8,$O$2:$R$409,2,FALSE)),VLOOKUP(C$8,Calculations!$A$2:$BY$680,67,FALSE),SUM(E146:G146))</f>
        <v>31110492.999998998</v>
      </c>
      <c r="E146" s="37">
        <f>IF(ISBLANK(VLOOKUP($C$8,$O$2:$R$409,2,FALSE)),,VLOOKUP(E$8,Calculations!$A$2:$BY$680,67,FALSE))</f>
        <v>0</v>
      </c>
      <c r="F146" s="37">
        <f>IF(ISBLANK(VLOOKUP($C$8,$O$2:$R$409,2,FALSE)),,VLOOKUP(F$8,Calculations!$A$2:$BY$680,67,FALSE))</f>
        <v>0</v>
      </c>
      <c r="G146" s="37">
        <f>IF(ISNUMBER($G$63),,VLOOKUP(G$8,Calculations!$A$2:$BY$680,67,FALSE))</f>
        <v>0</v>
      </c>
      <c r="N146" s="27" t="s">
        <v>432</v>
      </c>
      <c r="O146" s="27" t="s">
        <v>1066</v>
      </c>
    </row>
    <row r="147" spans="2:15" ht="12.75">
      <c r="B147" s="31" t="s">
        <v>1438</v>
      </c>
      <c r="C147" s="45"/>
      <c r="E147" s="45"/>
      <c r="F147" s="45"/>
      <c r="G147" s="45"/>
      <c r="N147" s="27" t="s">
        <v>593</v>
      </c>
      <c r="O147" s="27" t="s">
        <v>1227</v>
      </c>
    </row>
    <row r="148" spans="2:15" ht="12.75">
      <c r="B148" s="31" t="s">
        <v>1439</v>
      </c>
      <c r="C148" s="45"/>
      <c r="E148" s="45"/>
      <c r="F148" s="45"/>
      <c r="G148" s="45"/>
      <c r="N148" s="27" t="s">
        <v>481</v>
      </c>
      <c r="O148" s="27" t="s">
        <v>1115</v>
      </c>
    </row>
    <row r="149" spans="2:15" ht="12.75">
      <c r="B149" s="31" t="s">
        <v>1440</v>
      </c>
      <c r="C149" s="45"/>
      <c r="E149" s="45"/>
      <c r="F149" s="45"/>
      <c r="G149" s="45"/>
      <c r="N149" s="27" t="s">
        <v>525</v>
      </c>
      <c r="O149" s="27" t="s">
        <v>1159</v>
      </c>
    </row>
    <row r="150" spans="2:17" ht="12.75">
      <c r="B150" s="31"/>
      <c r="C150" s="45"/>
      <c r="E150" s="45"/>
      <c r="F150" s="45"/>
      <c r="G150" s="45"/>
      <c r="N150" s="27" t="s">
        <v>58</v>
      </c>
      <c r="O150" s="27" t="s">
        <v>692</v>
      </c>
      <c r="P150" s="27" t="s">
        <v>693</v>
      </c>
      <c r="Q150" s="27" t="s">
        <v>694</v>
      </c>
    </row>
    <row r="151" spans="2:15" ht="12.75">
      <c r="B151" s="33" t="s">
        <v>1487</v>
      </c>
      <c r="C151" s="45"/>
      <c r="E151" s="45"/>
      <c r="F151" s="45"/>
      <c r="G151" s="45"/>
      <c r="N151" s="27" t="s">
        <v>570</v>
      </c>
      <c r="O151" s="27" t="s">
        <v>1204</v>
      </c>
    </row>
    <row r="152" spans="2:15" ht="12.75">
      <c r="B152" s="31" t="s">
        <v>1440</v>
      </c>
      <c r="C152" s="37">
        <f>IF(ISBLANK(VLOOKUP($C$8,$O$2:$R$409,2,FALSE)),VLOOKUP(C$8,Calculations!$A$2:$BY$680,68,FALSE),SUM(E152:G152))</f>
        <v>-6355569</v>
      </c>
      <c r="E152" s="37">
        <f>IF(ISBLANK(VLOOKUP($C$8,$O$2:$R$409,2,FALSE)),,VLOOKUP(E$8,Calculations!$A$2:$BY$680,68,FALSE))</f>
        <v>0</v>
      </c>
      <c r="F152" s="37">
        <f>IF(ISBLANK(VLOOKUP($C$8,$O$2:$R$409,2,FALSE)),,VLOOKUP(F$8,Calculations!$A$2:$BY$680,68,FALSE))</f>
        <v>0</v>
      </c>
      <c r="G152" s="37">
        <f>IF(ISNUMBER($G$63),,VLOOKUP(G$8,Calculations!$A$2:$BY$680,68,FALSE))</f>
        <v>0</v>
      </c>
      <c r="N152" s="27" t="s">
        <v>633</v>
      </c>
      <c r="O152" s="27" t="s">
        <v>1291</v>
      </c>
    </row>
    <row r="153" spans="2:15" ht="13.5" thickBot="1">
      <c r="B153" s="24"/>
      <c r="C153" s="44"/>
      <c r="D153" s="43"/>
      <c r="E153" s="44"/>
      <c r="F153" s="44"/>
      <c r="G153" s="44"/>
      <c r="N153" s="27" t="s">
        <v>634</v>
      </c>
      <c r="O153" s="27" t="s">
        <v>1292</v>
      </c>
    </row>
    <row r="154" spans="2:15" ht="13.5" thickTop="1">
      <c r="B154" s="34" t="s">
        <v>1449</v>
      </c>
      <c r="C154" s="49">
        <f>IF(VLOOKUP(J4,$O$4:$S$414,5,FALSE)=1,VLOOKUP(J4,Calculations!A2:CQ680,72,FALSE),C70+C77+C83+C90+C96+C102+C108+C114+C120+C126+C133+C138+C142+C152)</f>
        <v>9435365359.558416</v>
      </c>
      <c r="D154" s="12"/>
      <c r="E154" s="49">
        <f>E70+E77+E83+E90+E96+E102+E108+E114+E120+E126+E133+E138+E142+E152</f>
        <v>0</v>
      </c>
      <c r="F154" s="49">
        <f>F70+F77+F83+F90+F96+F102+F108+F114+F120+F126+F133+F138+F142+F152</f>
        <v>0</v>
      </c>
      <c r="G154" s="49">
        <f>G70+G77+G83+G90+G96+G102+G108+G114+G120+G126+G133+G138+G142+G152</f>
        <v>0</v>
      </c>
      <c r="N154" s="27" t="s">
        <v>482</v>
      </c>
      <c r="O154" s="27" t="s">
        <v>1116</v>
      </c>
    </row>
    <row r="155" spans="2:17" ht="12.75">
      <c r="B155" s="59" t="s">
        <v>1486</v>
      </c>
      <c r="C155" s="45">
        <f>IF(VLOOKUP(J4,$O$4:$S$414,5,FALSE)=1,VLOOKUP(J4,Calculations!A2:CQ680,69,FALSE),C67+C73+C80+C86+C89+C93+C99+C105+C111+C117+C123+C129+C132+C136+C137+C141+C146)</f>
        <v>13001330998.7721</v>
      </c>
      <c r="E155" s="45">
        <f>E67+E73+E80+E86+E89+E93+E99+E105+E111+E117+E123+E129+E132+E136+E137+E141+E146</f>
        <v>0</v>
      </c>
      <c r="F155" s="45">
        <f>F67+F73+F80+F86+F89+F93+F99+F105+F111+F117+F123+F129+F132+F136+F137+F141+F146</f>
        <v>0</v>
      </c>
      <c r="G155" s="45">
        <f>G67+G73+G80+G86+G89+G93+G99+G105+G111+G117+G123+G129+G132+G136+G137+G141+G146</f>
        <v>0</v>
      </c>
      <c r="N155" s="27" t="s">
        <v>208</v>
      </c>
      <c r="O155" s="27" t="s">
        <v>842</v>
      </c>
      <c r="P155" s="27" t="s">
        <v>843</v>
      </c>
      <c r="Q155" s="27" t="s">
        <v>844</v>
      </c>
    </row>
    <row r="156" spans="2:15" ht="12.75">
      <c r="B156" s="50"/>
      <c r="C156" s="45"/>
      <c r="E156" s="45"/>
      <c r="F156" s="45"/>
      <c r="G156" s="45"/>
      <c r="N156" s="27" t="s">
        <v>489</v>
      </c>
      <c r="O156" s="27" t="s">
        <v>1123</v>
      </c>
    </row>
    <row r="157" spans="2:15" ht="12.75">
      <c r="B157" s="50"/>
      <c r="C157" s="45"/>
      <c r="E157" s="45"/>
      <c r="F157" s="45"/>
      <c r="G157" s="45"/>
      <c r="N157" s="27" t="s">
        <v>515</v>
      </c>
      <c r="O157" s="27" t="s">
        <v>1149</v>
      </c>
    </row>
    <row r="158" spans="2:15" ht="15">
      <c r="B158" s="62" t="s">
        <v>1422</v>
      </c>
      <c r="C158" s="62"/>
      <c r="D158" s="62"/>
      <c r="E158" s="62"/>
      <c r="F158" s="62"/>
      <c r="G158" s="62"/>
      <c r="N158" s="27" t="s">
        <v>551</v>
      </c>
      <c r="O158" s="27" t="s">
        <v>1185</v>
      </c>
    </row>
    <row r="159" spans="2:15" ht="13.5" thickBot="1">
      <c r="B159" s="24"/>
      <c r="C159" s="43"/>
      <c r="D159" s="43"/>
      <c r="E159" s="43"/>
      <c r="F159" s="43"/>
      <c r="G159" s="43"/>
      <c r="N159" s="27" t="s">
        <v>627</v>
      </c>
      <c r="O159" s="27" t="s">
        <v>1261</v>
      </c>
    </row>
    <row r="160" spans="2:17" ht="13.5" thickTop="1">
      <c r="B160" s="16" t="s">
        <v>1446</v>
      </c>
      <c r="C160" s="12">
        <f>C57+C154</f>
        <v>20758538807.76996</v>
      </c>
      <c r="D160" s="12"/>
      <c r="E160" s="12">
        <f aca="true" t="shared" si="0" ref="E160:G161">E57+E154</f>
        <v>0</v>
      </c>
      <c r="F160" s="12">
        <f t="shared" si="0"/>
        <v>0</v>
      </c>
      <c r="G160" s="12">
        <f t="shared" si="0"/>
        <v>0</v>
      </c>
      <c r="I160" t="s">
        <v>1450</v>
      </c>
      <c r="N160" s="27" t="s">
        <v>112</v>
      </c>
      <c r="O160" s="27" t="s">
        <v>746</v>
      </c>
      <c r="P160" s="27" t="s">
        <v>747</v>
      </c>
      <c r="Q160" s="27" t="s">
        <v>748</v>
      </c>
    </row>
    <row r="161" spans="2:15" ht="12.75">
      <c r="B161" s="17" t="s">
        <v>1485</v>
      </c>
      <c r="C161" s="1">
        <f>C58+C155</f>
        <v>24112194944.829674</v>
      </c>
      <c r="E161" s="1">
        <f t="shared" si="0"/>
        <v>0</v>
      </c>
      <c r="F161" s="1">
        <f t="shared" si="0"/>
        <v>0</v>
      </c>
      <c r="G161" s="1">
        <f t="shared" si="0"/>
        <v>0</v>
      </c>
      <c r="I161" t="s">
        <v>1450</v>
      </c>
      <c r="N161" s="27" t="s">
        <v>601</v>
      </c>
      <c r="O161" s="27" t="s">
        <v>1235</v>
      </c>
    </row>
    <row r="162" spans="14:17" ht="12.75">
      <c r="N162" s="27" t="s">
        <v>115</v>
      </c>
      <c r="O162" s="27" t="s">
        <v>749</v>
      </c>
      <c r="P162" s="27" t="s">
        <v>750</v>
      </c>
      <c r="Q162" s="27" t="s">
        <v>751</v>
      </c>
    </row>
    <row r="163" spans="14:17" ht="12.75">
      <c r="N163" s="27" t="s">
        <v>344</v>
      </c>
      <c r="O163" s="27" t="s">
        <v>978</v>
      </c>
      <c r="P163" s="27" t="s">
        <v>979</v>
      </c>
      <c r="Q163" s="27" t="s">
        <v>980</v>
      </c>
    </row>
    <row r="164" spans="1:15" ht="24.75" customHeight="1">
      <c r="A164" s="67" t="str">
        <f>IF(C35&gt;0,"In addition, a Transport Grant payable directly to the Greater London Authority for the purposes of Transport for London, as provided for under Section 101 of the Greater London Authority Act, will continue to be paid by the Department for Transport.",0)</f>
        <v>In addition, a Transport Grant payable directly to the Greater London Authority for the purposes of Transport for London, as provided for under Section 101 of the Greater London Authority Act, will continue to be paid by the Department for Transport.</v>
      </c>
      <c r="B164" s="67"/>
      <c r="C164" s="67"/>
      <c r="D164" s="67"/>
      <c r="E164" s="67"/>
      <c r="F164" s="67"/>
      <c r="G164" s="67"/>
      <c r="N164" s="27" t="s">
        <v>564</v>
      </c>
      <c r="O164" s="27" t="s">
        <v>1198</v>
      </c>
    </row>
    <row r="165" spans="1:17" ht="12.75">
      <c r="A165" s="61" t="str">
        <f>IF(OR(J4="R403",J4="TE"),"Funding for the Isles of Scilly is determined separately by the Secretary of State due to its unique circumstances",0)</f>
        <v>Funding for the Isles of Scilly is determined separately by the Secretary of State due to its unique circumstances</v>
      </c>
      <c r="B165" s="61"/>
      <c r="C165" s="61"/>
      <c r="D165" s="61"/>
      <c r="E165" s="61"/>
      <c r="F165" s="61"/>
      <c r="G165" s="61"/>
      <c r="N165" s="27" t="s">
        <v>118</v>
      </c>
      <c r="O165" s="27" t="s">
        <v>752</v>
      </c>
      <c r="P165" s="27" t="s">
        <v>753</v>
      </c>
      <c r="Q165" s="27" t="s">
        <v>754</v>
      </c>
    </row>
    <row r="166" spans="14:15" ht="12.75">
      <c r="N166" s="27" t="s">
        <v>415</v>
      </c>
      <c r="O166" s="27" t="s">
        <v>1049</v>
      </c>
    </row>
    <row r="167" spans="14:15" ht="12.75">
      <c r="N167" s="27" t="s">
        <v>1303</v>
      </c>
      <c r="O167" s="27" t="s">
        <v>1278</v>
      </c>
    </row>
    <row r="168" spans="14:15" ht="12.75">
      <c r="N168" s="27" t="s">
        <v>537</v>
      </c>
      <c r="O168" s="27" t="s">
        <v>1171</v>
      </c>
    </row>
    <row r="169" spans="14:17" ht="12.75">
      <c r="N169" s="27" t="s">
        <v>169</v>
      </c>
      <c r="O169" s="27" t="s">
        <v>803</v>
      </c>
      <c r="P169" s="27" t="s">
        <v>804</v>
      </c>
      <c r="Q169" s="27" t="s">
        <v>805</v>
      </c>
    </row>
    <row r="170" spans="14:15" ht="12.75">
      <c r="N170" s="27" t="s">
        <v>474</v>
      </c>
      <c r="O170" s="27" t="s">
        <v>1108</v>
      </c>
    </row>
    <row r="171" spans="14:15" ht="12.75">
      <c r="N171" s="27" t="s">
        <v>622</v>
      </c>
      <c r="O171" s="27" t="s">
        <v>1256</v>
      </c>
    </row>
    <row r="172" spans="14:17" ht="12.75">
      <c r="N172" s="27" t="s">
        <v>172</v>
      </c>
      <c r="O172" s="27" t="s">
        <v>806</v>
      </c>
      <c r="P172" s="27" t="s">
        <v>807</v>
      </c>
      <c r="Q172" s="27" t="s">
        <v>808</v>
      </c>
    </row>
    <row r="173" spans="14:15" ht="12.75">
      <c r="N173" s="27" t="s">
        <v>490</v>
      </c>
      <c r="O173" s="27" t="s">
        <v>1124</v>
      </c>
    </row>
    <row r="174" spans="14:17" ht="12.75">
      <c r="N174" s="27" t="s">
        <v>257</v>
      </c>
      <c r="O174" s="27" t="s">
        <v>891</v>
      </c>
      <c r="P174" s="27" t="s">
        <v>892</v>
      </c>
      <c r="Q174" s="27" t="s">
        <v>893</v>
      </c>
    </row>
    <row r="175" spans="14:15" ht="12.75">
      <c r="N175" s="27" t="s">
        <v>463</v>
      </c>
      <c r="O175" s="27" t="s">
        <v>1097</v>
      </c>
    </row>
    <row r="176" spans="14:15" ht="12.75">
      <c r="N176" s="27" t="s">
        <v>491</v>
      </c>
      <c r="O176" s="27" t="s">
        <v>1125</v>
      </c>
    </row>
    <row r="177" spans="14:17" ht="12.75">
      <c r="N177" s="27" t="s">
        <v>175</v>
      </c>
      <c r="O177" s="27" t="s">
        <v>809</v>
      </c>
      <c r="P177" s="27" t="s">
        <v>810</v>
      </c>
      <c r="Q177" s="27" t="s">
        <v>811</v>
      </c>
    </row>
    <row r="178" spans="14:15" ht="12.75">
      <c r="N178" s="27" t="s">
        <v>1311</v>
      </c>
      <c r="O178" s="27" t="s">
        <v>1286</v>
      </c>
    </row>
    <row r="179" spans="14:17" ht="12.75">
      <c r="N179" s="27" t="s">
        <v>362</v>
      </c>
      <c r="O179" s="27" t="s">
        <v>996</v>
      </c>
      <c r="P179" s="27" t="s">
        <v>997</v>
      </c>
      <c r="Q179" s="27" t="s">
        <v>998</v>
      </c>
    </row>
    <row r="180" spans="14:17" ht="12.75">
      <c r="N180" s="27" t="s">
        <v>211</v>
      </c>
      <c r="O180" s="27" t="s">
        <v>845</v>
      </c>
      <c r="P180" s="27" t="s">
        <v>846</v>
      </c>
      <c r="Q180" s="27" t="s">
        <v>847</v>
      </c>
    </row>
    <row r="181" spans="14:15" ht="12.75">
      <c r="N181" s="27" t="s">
        <v>504</v>
      </c>
      <c r="O181" s="27" t="s">
        <v>1138</v>
      </c>
    </row>
    <row r="182" spans="14:15" ht="12.75">
      <c r="N182" s="27" t="s">
        <v>444</v>
      </c>
      <c r="O182" s="27" t="s">
        <v>1078</v>
      </c>
    </row>
    <row r="183" spans="14:17" ht="12.75">
      <c r="N183" s="27" t="s">
        <v>178</v>
      </c>
      <c r="O183" s="27" t="s">
        <v>812</v>
      </c>
      <c r="P183" s="27" t="s">
        <v>813</v>
      </c>
      <c r="Q183" s="27" t="s">
        <v>814</v>
      </c>
    </row>
    <row r="184" spans="14:15" ht="12.75">
      <c r="N184" s="27" t="s">
        <v>538</v>
      </c>
      <c r="O184" s="27" t="s">
        <v>1172</v>
      </c>
    </row>
    <row r="185" spans="14:15" ht="12.75">
      <c r="N185" s="27" t="s">
        <v>619</v>
      </c>
      <c r="O185" s="27" t="s">
        <v>1253</v>
      </c>
    </row>
    <row r="186" spans="14:17" ht="12.75">
      <c r="N186" s="27" t="s">
        <v>181</v>
      </c>
      <c r="O186" s="27" t="s">
        <v>815</v>
      </c>
      <c r="P186" s="27" t="s">
        <v>816</v>
      </c>
      <c r="Q186" s="27" t="s">
        <v>817</v>
      </c>
    </row>
    <row r="187" spans="14:15" ht="12.75">
      <c r="N187" s="27" t="s">
        <v>1295</v>
      </c>
      <c r="O187" s="27" t="s">
        <v>1270</v>
      </c>
    </row>
    <row r="188" spans="14:15" ht="12.75">
      <c r="N188" s="27" t="s">
        <v>625</v>
      </c>
      <c r="O188" s="27" t="s">
        <v>1259</v>
      </c>
    </row>
    <row r="189" spans="14:15" ht="12.75">
      <c r="N189" s="27" t="s">
        <v>526</v>
      </c>
      <c r="O189" s="27" t="s">
        <v>1160</v>
      </c>
    </row>
    <row r="190" spans="14:15" ht="12.75">
      <c r="N190" s="27" t="s">
        <v>594</v>
      </c>
      <c r="O190" s="27" t="s">
        <v>1228</v>
      </c>
    </row>
    <row r="191" spans="14:18" ht="12.75">
      <c r="N191" s="27" t="s">
        <v>1424</v>
      </c>
      <c r="O191" s="27" t="s">
        <v>875</v>
      </c>
      <c r="P191" s="27" t="s">
        <v>876</v>
      </c>
      <c r="Q191" s="27" t="s">
        <v>877</v>
      </c>
      <c r="R191" s="27" t="s">
        <v>878</v>
      </c>
    </row>
    <row r="192" spans="14:19" ht="12.75">
      <c r="N192" s="27" t="s">
        <v>425</v>
      </c>
      <c r="O192" s="27" t="s">
        <v>1059</v>
      </c>
      <c r="S192" s="27">
        <v>1</v>
      </c>
    </row>
    <row r="193" spans="14:17" ht="12.75">
      <c r="N193" s="27" t="s">
        <v>121</v>
      </c>
      <c r="O193" s="27" t="s">
        <v>755</v>
      </c>
      <c r="P193" s="27" t="s">
        <v>756</v>
      </c>
      <c r="Q193" s="27" t="s">
        <v>757</v>
      </c>
    </row>
    <row r="194" spans="14:17" ht="12.75">
      <c r="N194" s="27" t="s">
        <v>124</v>
      </c>
      <c r="O194" s="27" t="s">
        <v>758</v>
      </c>
      <c r="P194" s="27" t="s">
        <v>759</v>
      </c>
      <c r="Q194" s="27" t="s">
        <v>760</v>
      </c>
    </row>
    <row r="195" spans="14:15" ht="12.75">
      <c r="N195" s="27" t="s">
        <v>421</v>
      </c>
      <c r="O195" s="27" t="s">
        <v>1055</v>
      </c>
    </row>
    <row r="196" spans="14:15" ht="12.75">
      <c r="N196" s="27" t="s">
        <v>1312</v>
      </c>
      <c r="O196" s="27" t="s">
        <v>1287</v>
      </c>
    </row>
    <row r="197" spans="14:15" ht="12.75">
      <c r="N197" s="27" t="s">
        <v>559</v>
      </c>
      <c r="O197" s="27" t="s">
        <v>1193</v>
      </c>
    </row>
    <row r="198" spans="14:15" ht="12.75">
      <c r="N198" s="27" t="s">
        <v>555</v>
      </c>
      <c r="O198" s="27" t="s">
        <v>1189</v>
      </c>
    </row>
    <row r="199" spans="14:17" ht="12.75">
      <c r="N199" s="27" t="s">
        <v>272</v>
      </c>
      <c r="O199" s="27" t="s">
        <v>906</v>
      </c>
      <c r="P199" s="27" t="s">
        <v>907</v>
      </c>
      <c r="Q199" s="27" t="s">
        <v>908</v>
      </c>
    </row>
    <row r="200" spans="14:17" ht="12.75">
      <c r="N200" s="27" t="s">
        <v>184</v>
      </c>
      <c r="O200" s="27" t="s">
        <v>818</v>
      </c>
      <c r="P200" s="27" t="s">
        <v>819</v>
      </c>
      <c r="Q200" s="27" t="s">
        <v>820</v>
      </c>
    </row>
    <row r="201" spans="14:17" ht="12.75">
      <c r="N201" s="27" t="s">
        <v>100</v>
      </c>
      <c r="O201" s="27" t="s">
        <v>734</v>
      </c>
      <c r="P201" s="27" t="s">
        <v>735</v>
      </c>
      <c r="Q201" s="27" t="s">
        <v>736</v>
      </c>
    </row>
    <row r="202" spans="14:17" ht="12.75">
      <c r="N202" s="27" t="s">
        <v>31</v>
      </c>
      <c r="O202" s="27" t="s">
        <v>665</v>
      </c>
      <c r="P202" s="27" t="s">
        <v>666</v>
      </c>
      <c r="Q202" s="27" t="s">
        <v>667</v>
      </c>
    </row>
    <row r="203" spans="14:17" ht="12.75">
      <c r="N203" s="27" t="s">
        <v>127</v>
      </c>
      <c r="O203" s="27" t="s">
        <v>761</v>
      </c>
      <c r="P203" s="27" t="s">
        <v>762</v>
      </c>
      <c r="Q203" s="27" t="s">
        <v>763</v>
      </c>
    </row>
    <row r="204" spans="14:15" ht="12.75">
      <c r="N204" s="27" t="s">
        <v>422</v>
      </c>
      <c r="O204" s="27" t="s">
        <v>1056</v>
      </c>
    </row>
    <row r="205" spans="14:15" ht="12.75">
      <c r="N205" s="27" t="s">
        <v>1313</v>
      </c>
      <c r="O205" s="27" t="s">
        <v>1288</v>
      </c>
    </row>
    <row r="206" spans="14:15" ht="12.75">
      <c r="N206" s="27" t="s">
        <v>527</v>
      </c>
      <c r="O206" s="27" t="s">
        <v>1161</v>
      </c>
    </row>
    <row r="207" spans="14:17" ht="12.75">
      <c r="N207" s="27" t="s">
        <v>103</v>
      </c>
      <c r="O207" s="27" t="s">
        <v>737</v>
      </c>
      <c r="P207" s="27" t="s">
        <v>738</v>
      </c>
      <c r="Q207" s="27" t="s">
        <v>739</v>
      </c>
    </row>
    <row r="208" spans="14:17" ht="12.75">
      <c r="N208" s="27" t="s">
        <v>311</v>
      </c>
      <c r="O208" s="27" t="s">
        <v>945</v>
      </c>
      <c r="P208" s="27" t="s">
        <v>946</v>
      </c>
      <c r="Q208" s="27" t="s">
        <v>947</v>
      </c>
    </row>
    <row r="209" spans="14:15" ht="12.75">
      <c r="N209" s="27" t="s">
        <v>416</v>
      </c>
      <c r="O209" s="27" t="s">
        <v>1050</v>
      </c>
    </row>
    <row r="210" spans="14:15" ht="12.75">
      <c r="N210" s="27" t="s">
        <v>1304</v>
      </c>
      <c r="O210" s="27" t="s">
        <v>1279</v>
      </c>
    </row>
    <row r="211" spans="14:15" ht="12.75">
      <c r="N211" s="27" t="s">
        <v>464</v>
      </c>
      <c r="O211" s="27" t="s">
        <v>1098</v>
      </c>
    </row>
    <row r="212" spans="14:17" ht="12.75">
      <c r="N212" s="27" t="s">
        <v>130</v>
      </c>
      <c r="O212" s="27" t="s">
        <v>764</v>
      </c>
      <c r="P212" s="27" t="s">
        <v>765</v>
      </c>
      <c r="Q212" s="27" t="s">
        <v>766</v>
      </c>
    </row>
    <row r="213" spans="14:15" ht="12.75">
      <c r="N213" s="27" t="s">
        <v>586</v>
      </c>
      <c r="O213" s="27" t="s">
        <v>1220</v>
      </c>
    </row>
    <row r="214" spans="14:15" ht="12.75">
      <c r="N214" s="27" t="s">
        <v>544</v>
      </c>
      <c r="O214" s="27" t="s">
        <v>1178</v>
      </c>
    </row>
    <row r="215" spans="14:17" ht="12.75">
      <c r="N215" s="27" t="s">
        <v>214</v>
      </c>
      <c r="O215" s="27" t="s">
        <v>848</v>
      </c>
      <c r="P215" s="27" t="s">
        <v>849</v>
      </c>
      <c r="Q215" s="27" t="s">
        <v>850</v>
      </c>
    </row>
    <row r="216" spans="14:17" ht="12.75">
      <c r="N216" s="27" t="s">
        <v>34</v>
      </c>
      <c r="O216" s="27" t="s">
        <v>668</v>
      </c>
      <c r="P216" s="27" t="s">
        <v>669</v>
      </c>
      <c r="Q216" s="27" t="s">
        <v>670</v>
      </c>
    </row>
    <row r="217" spans="14:17" ht="12.75">
      <c r="N217" s="27" t="s">
        <v>284</v>
      </c>
      <c r="O217" s="27" t="s">
        <v>918</v>
      </c>
      <c r="P217" s="27" t="s">
        <v>919</v>
      </c>
      <c r="Q217" s="27" t="s">
        <v>920</v>
      </c>
    </row>
    <row r="218" spans="14:15" ht="12.75">
      <c r="N218" s="27" t="s">
        <v>516</v>
      </c>
      <c r="O218" s="27" t="s">
        <v>1150</v>
      </c>
    </row>
    <row r="219" spans="14:15" ht="12.75">
      <c r="N219" s="27" t="s">
        <v>475</v>
      </c>
      <c r="O219" s="27" t="s">
        <v>1109</v>
      </c>
    </row>
    <row r="220" spans="14:15" ht="12.75">
      <c r="N220" s="27" t="s">
        <v>626</v>
      </c>
      <c r="O220" s="27" t="s">
        <v>1260</v>
      </c>
    </row>
    <row r="221" spans="14:17" ht="12.75">
      <c r="N221" s="27" t="s">
        <v>7</v>
      </c>
      <c r="O221" s="27" t="s">
        <v>641</v>
      </c>
      <c r="P221" s="27" t="s">
        <v>642</v>
      </c>
      <c r="Q221" s="27" t="s">
        <v>643</v>
      </c>
    </row>
    <row r="222" spans="14:15" ht="12.75">
      <c r="N222" s="27" t="s">
        <v>571</v>
      </c>
      <c r="O222" s="27" t="s">
        <v>1205</v>
      </c>
    </row>
    <row r="223" spans="14:17" ht="12.75">
      <c r="N223" s="27" t="s">
        <v>365</v>
      </c>
      <c r="O223" s="27" t="s">
        <v>999</v>
      </c>
      <c r="P223" s="27" t="s">
        <v>1000</v>
      </c>
      <c r="Q223" s="27" t="s">
        <v>1001</v>
      </c>
    </row>
    <row r="224" spans="14:15" ht="12.75">
      <c r="N224" s="27" t="s">
        <v>539</v>
      </c>
      <c r="O224" s="27" t="s">
        <v>1173</v>
      </c>
    </row>
    <row r="225" spans="14:15" ht="12.75">
      <c r="N225" s="27" t="s">
        <v>579</v>
      </c>
      <c r="O225" s="27" t="s">
        <v>1213</v>
      </c>
    </row>
    <row r="226" spans="14:15" ht="12.75">
      <c r="N226" s="27" t="s">
        <v>628</v>
      </c>
      <c r="O226" s="27" t="s">
        <v>1262</v>
      </c>
    </row>
    <row r="227" spans="14:17" ht="12.75">
      <c r="N227" s="27" t="s">
        <v>187</v>
      </c>
      <c r="O227" s="27" t="s">
        <v>821</v>
      </c>
      <c r="P227" s="27" t="s">
        <v>822</v>
      </c>
      <c r="Q227" s="27" t="s">
        <v>823</v>
      </c>
    </row>
    <row r="228" spans="14:15" ht="12.75">
      <c r="N228" s="27" t="s">
        <v>453</v>
      </c>
      <c r="O228" s="27" t="s">
        <v>1087</v>
      </c>
    </row>
    <row r="229" spans="14:15" ht="12.75">
      <c r="N229" s="27" t="s">
        <v>595</v>
      </c>
      <c r="O229" s="27" t="s">
        <v>1229</v>
      </c>
    </row>
    <row r="230" spans="14:15" ht="12.75">
      <c r="N230" s="27" t="s">
        <v>620</v>
      </c>
      <c r="O230" s="27" t="s">
        <v>1254</v>
      </c>
    </row>
    <row r="231" spans="14:17" ht="12.75">
      <c r="N231" s="27" t="s">
        <v>260</v>
      </c>
      <c r="O231" s="27" t="s">
        <v>894</v>
      </c>
      <c r="P231" s="27" t="s">
        <v>895</v>
      </c>
      <c r="Q231" s="27" t="s">
        <v>896</v>
      </c>
    </row>
    <row r="232" spans="14:17" ht="12.75">
      <c r="N232" s="27" t="s">
        <v>287</v>
      </c>
      <c r="O232" s="27" t="s">
        <v>921</v>
      </c>
      <c r="P232" s="27" t="s">
        <v>922</v>
      </c>
      <c r="Q232" s="27" t="s">
        <v>923</v>
      </c>
    </row>
    <row r="233" spans="14:15" ht="12.75">
      <c r="N233" s="27" t="s">
        <v>602</v>
      </c>
      <c r="O233" s="27" t="s">
        <v>1236</v>
      </c>
    </row>
    <row r="234" spans="14:15" ht="12.75">
      <c r="N234" s="27" t="s">
        <v>492</v>
      </c>
      <c r="O234" s="27" t="s">
        <v>1126</v>
      </c>
    </row>
    <row r="235" spans="14:15" ht="12.75">
      <c r="N235" s="27" t="s">
        <v>572</v>
      </c>
      <c r="O235" s="27" t="s">
        <v>1206</v>
      </c>
    </row>
    <row r="236" spans="14:17" ht="12.75">
      <c r="N236" s="27" t="s">
        <v>61</v>
      </c>
      <c r="O236" s="27" t="s">
        <v>695</v>
      </c>
      <c r="P236" s="27" t="s">
        <v>696</v>
      </c>
      <c r="Q236" s="27" t="s">
        <v>697</v>
      </c>
    </row>
    <row r="237" spans="14:15" ht="12.75">
      <c r="N237" s="27" t="s">
        <v>587</v>
      </c>
      <c r="O237" s="27" t="s">
        <v>1221</v>
      </c>
    </row>
    <row r="238" spans="14:17" ht="12.75">
      <c r="N238" s="27" t="s">
        <v>190</v>
      </c>
      <c r="O238" s="27" t="s">
        <v>824</v>
      </c>
      <c r="P238" s="27" t="s">
        <v>825</v>
      </c>
      <c r="Q238" s="27" t="s">
        <v>826</v>
      </c>
    </row>
    <row r="239" spans="14:17" ht="12.75">
      <c r="N239" s="27" t="s">
        <v>217</v>
      </c>
      <c r="O239" s="27" t="s">
        <v>851</v>
      </c>
      <c r="P239" s="27" t="s">
        <v>852</v>
      </c>
      <c r="Q239" s="27" t="s">
        <v>853</v>
      </c>
    </row>
    <row r="240" spans="14:15" ht="12.75">
      <c r="N240" s="27" t="s">
        <v>450</v>
      </c>
      <c r="O240" s="27" t="s">
        <v>1084</v>
      </c>
    </row>
    <row r="241" spans="14:15" ht="12.75">
      <c r="N241" s="27" t="s">
        <v>457</v>
      </c>
      <c r="O241" s="27" t="s">
        <v>1091</v>
      </c>
    </row>
    <row r="242" spans="14:15" ht="12.75">
      <c r="N242" s="27" t="s">
        <v>445</v>
      </c>
      <c r="O242" s="27" t="s">
        <v>1079</v>
      </c>
    </row>
    <row r="243" spans="14:17" ht="12.75">
      <c r="N243" s="27" t="s">
        <v>275</v>
      </c>
      <c r="O243" s="27" t="s">
        <v>909</v>
      </c>
      <c r="P243" s="27" t="s">
        <v>910</v>
      </c>
      <c r="Q243" s="27" t="s">
        <v>911</v>
      </c>
    </row>
    <row r="244" spans="14:15" ht="12.75">
      <c r="N244" s="27" t="s">
        <v>505</v>
      </c>
      <c r="O244" s="27" t="s">
        <v>1139</v>
      </c>
    </row>
    <row r="245" spans="14:15" ht="12.75">
      <c r="N245" s="27" t="s">
        <v>545</v>
      </c>
      <c r="O245" s="27" t="s">
        <v>1179</v>
      </c>
    </row>
    <row r="246" spans="14:17" ht="12.75">
      <c r="N246" s="27" t="s">
        <v>278</v>
      </c>
      <c r="O246" s="27" t="s">
        <v>912</v>
      </c>
      <c r="P246" s="27" t="s">
        <v>913</v>
      </c>
      <c r="Q246" s="27" t="s">
        <v>914</v>
      </c>
    </row>
    <row r="247" spans="14:15" ht="12.75">
      <c r="N247" s="27" t="s">
        <v>552</v>
      </c>
      <c r="O247" s="27" t="s">
        <v>1186</v>
      </c>
    </row>
    <row r="248" spans="14:17" ht="12.75">
      <c r="N248" s="27" t="s">
        <v>254</v>
      </c>
      <c r="O248" s="27" t="s">
        <v>888</v>
      </c>
      <c r="P248" s="27" t="s">
        <v>889</v>
      </c>
      <c r="Q248" s="27" t="s">
        <v>890</v>
      </c>
    </row>
    <row r="249" spans="14:17" ht="12.75">
      <c r="N249" s="27" t="s">
        <v>64</v>
      </c>
      <c r="O249" s="27" t="s">
        <v>698</v>
      </c>
      <c r="P249" s="27" t="s">
        <v>699</v>
      </c>
      <c r="Q249" s="27" t="s">
        <v>700</v>
      </c>
    </row>
    <row r="250" spans="14:15" ht="12.75">
      <c r="N250" s="27" t="s">
        <v>610</v>
      </c>
      <c r="O250" s="27" t="s">
        <v>1244</v>
      </c>
    </row>
    <row r="251" spans="14:15" ht="12.75">
      <c r="N251" s="27" t="s">
        <v>540</v>
      </c>
      <c r="O251" s="27" t="s">
        <v>1174</v>
      </c>
    </row>
    <row r="252" spans="14:15" ht="12.75">
      <c r="N252" s="27" t="s">
        <v>410</v>
      </c>
      <c r="O252" s="27" t="s">
        <v>1044</v>
      </c>
    </row>
    <row r="253" spans="14:15" ht="12.75">
      <c r="N253" s="27" t="s">
        <v>1296</v>
      </c>
      <c r="O253" s="27" t="s">
        <v>1271</v>
      </c>
    </row>
    <row r="254" spans="14:15" ht="12.75">
      <c r="N254" s="27" t="s">
        <v>560</v>
      </c>
      <c r="O254" s="27" t="s">
        <v>1194</v>
      </c>
    </row>
    <row r="255" spans="14:17" ht="12.75">
      <c r="N255" s="27" t="s">
        <v>220</v>
      </c>
      <c r="O255" s="27" t="s">
        <v>854</v>
      </c>
      <c r="P255" s="27" t="s">
        <v>855</v>
      </c>
      <c r="Q255" s="27" t="s">
        <v>856</v>
      </c>
    </row>
    <row r="256" spans="14:18" ht="12.75">
      <c r="N256" s="27" t="s">
        <v>387</v>
      </c>
      <c r="O256" s="27" t="s">
        <v>1021</v>
      </c>
      <c r="P256" s="27" t="s">
        <v>1022</v>
      </c>
      <c r="Q256" s="27" t="s">
        <v>1023</v>
      </c>
      <c r="R256" s="27" t="s">
        <v>1024</v>
      </c>
    </row>
    <row r="257" spans="14:15" ht="12.75">
      <c r="N257" s="27" t="s">
        <v>553</v>
      </c>
      <c r="O257" s="27" t="s">
        <v>1187</v>
      </c>
    </row>
    <row r="258" spans="14:17" ht="12.75">
      <c r="N258" s="27" t="s">
        <v>374</v>
      </c>
      <c r="O258" s="27" t="s">
        <v>1008</v>
      </c>
      <c r="P258" s="27" t="s">
        <v>1009</v>
      </c>
      <c r="Q258" s="27" t="s">
        <v>1010</v>
      </c>
    </row>
    <row r="259" spans="14:15" ht="12.75">
      <c r="N259" s="27" t="s">
        <v>423</v>
      </c>
      <c r="O259" s="27" t="s">
        <v>1057</v>
      </c>
    </row>
    <row r="260" spans="14:15" ht="12.75">
      <c r="N260" s="27" t="s">
        <v>1314</v>
      </c>
      <c r="O260" s="27" t="s">
        <v>1289</v>
      </c>
    </row>
    <row r="261" spans="14:15" ht="12.75">
      <c r="N261" s="27" t="s">
        <v>611</v>
      </c>
      <c r="O261" s="27" t="s">
        <v>1245</v>
      </c>
    </row>
    <row r="262" spans="14:15" ht="12.75">
      <c r="N262" s="27" t="s">
        <v>541</v>
      </c>
      <c r="O262" s="27" t="s">
        <v>1175</v>
      </c>
    </row>
    <row r="263" spans="14:17" ht="12.75">
      <c r="N263" s="27" t="s">
        <v>10</v>
      </c>
      <c r="O263" s="27" t="s">
        <v>644</v>
      </c>
      <c r="P263" s="27" t="s">
        <v>645</v>
      </c>
      <c r="Q263" s="27" t="s">
        <v>646</v>
      </c>
    </row>
    <row r="264" spans="14:15" ht="12.75">
      <c r="N264" s="27" t="s">
        <v>575</v>
      </c>
      <c r="O264" s="27" t="s">
        <v>1209</v>
      </c>
    </row>
    <row r="265" spans="14:17" ht="12.75">
      <c r="N265" s="27" t="s">
        <v>223</v>
      </c>
      <c r="O265" s="27" t="s">
        <v>857</v>
      </c>
      <c r="P265" s="27" t="s">
        <v>858</v>
      </c>
      <c r="Q265" s="27" t="s">
        <v>859</v>
      </c>
    </row>
    <row r="266" spans="14:15" ht="12.75">
      <c r="N266" s="27" t="s">
        <v>528</v>
      </c>
      <c r="O266" s="27" t="s">
        <v>1162</v>
      </c>
    </row>
    <row r="267" spans="14:17" ht="12.75">
      <c r="N267" s="27" t="s">
        <v>341</v>
      </c>
      <c r="O267" s="27" t="s">
        <v>975</v>
      </c>
      <c r="P267" s="27" t="s">
        <v>976</v>
      </c>
      <c r="Q267" s="27" t="s">
        <v>977</v>
      </c>
    </row>
    <row r="268" spans="14:17" ht="12.75">
      <c r="N268" s="27" t="s">
        <v>350</v>
      </c>
      <c r="O268" s="27" t="s">
        <v>984</v>
      </c>
      <c r="P268" s="27" t="s">
        <v>985</v>
      </c>
      <c r="Q268" s="27" t="s">
        <v>986</v>
      </c>
    </row>
    <row r="269" spans="14:17" ht="12.75">
      <c r="N269" s="27" t="s">
        <v>296</v>
      </c>
      <c r="O269" s="27" t="s">
        <v>930</v>
      </c>
      <c r="P269" s="27" t="s">
        <v>931</v>
      </c>
      <c r="Q269" s="27" t="s">
        <v>932</v>
      </c>
    </row>
    <row r="270" spans="14:17" ht="12.75">
      <c r="N270" s="27" t="s">
        <v>305</v>
      </c>
      <c r="O270" s="27" t="s">
        <v>939</v>
      </c>
      <c r="P270" s="27" t="s">
        <v>940</v>
      </c>
      <c r="Q270" s="27" t="s">
        <v>941</v>
      </c>
    </row>
    <row r="271" spans="14:15" ht="12.75">
      <c r="N271" s="27" t="s">
        <v>529</v>
      </c>
      <c r="O271" s="27" t="s">
        <v>1163</v>
      </c>
    </row>
    <row r="272" spans="14:15" ht="12.75">
      <c r="N272" s="27" t="s">
        <v>458</v>
      </c>
      <c r="O272" s="27" t="s">
        <v>1092</v>
      </c>
    </row>
    <row r="273" spans="14:17" ht="12.75">
      <c r="N273" s="27" t="s">
        <v>329</v>
      </c>
      <c r="O273" s="27" t="s">
        <v>963</v>
      </c>
      <c r="P273" s="27" t="s">
        <v>964</v>
      </c>
      <c r="Q273" s="27" t="s">
        <v>965</v>
      </c>
    </row>
    <row r="274" spans="14:17" ht="12.75">
      <c r="N274" s="27" t="s">
        <v>193</v>
      </c>
      <c r="O274" s="27" t="s">
        <v>827</v>
      </c>
      <c r="P274" s="27" t="s">
        <v>828</v>
      </c>
      <c r="Q274" s="27" t="s">
        <v>829</v>
      </c>
    </row>
    <row r="275" spans="14:17" ht="12.75">
      <c r="N275" s="27" t="s">
        <v>263</v>
      </c>
      <c r="O275" s="27" t="s">
        <v>897</v>
      </c>
      <c r="P275" s="27" t="s">
        <v>898</v>
      </c>
      <c r="Q275" s="27" t="s">
        <v>899</v>
      </c>
    </row>
    <row r="276" spans="14:15" ht="12.75">
      <c r="N276" s="27" t="s">
        <v>497</v>
      </c>
      <c r="O276" s="27" t="s">
        <v>1131</v>
      </c>
    </row>
    <row r="277" spans="14:15" ht="12.75">
      <c r="N277" s="27" t="s">
        <v>603</v>
      </c>
      <c r="O277" s="27" t="s">
        <v>1237</v>
      </c>
    </row>
    <row r="278" spans="14:15" ht="12.75">
      <c r="N278" s="27" t="s">
        <v>530</v>
      </c>
      <c r="O278" s="27" t="s">
        <v>1164</v>
      </c>
    </row>
    <row r="279" spans="14:17" ht="12.75">
      <c r="N279" s="27" t="s">
        <v>196</v>
      </c>
      <c r="O279" s="27" t="s">
        <v>830</v>
      </c>
      <c r="P279" s="27" t="s">
        <v>831</v>
      </c>
      <c r="Q279" s="27" t="s">
        <v>832</v>
      </c>
    </row>
    <row r="280" spans="14:15" ht="12.75">
      <c r="N280" s="27" t="s">
        <v>565</v>
      </c>
      <c r="O280" s="27" t="s">
        <v>1199</v>
      </c>
    </row>
    <row r="281" spans="14:17" ht="12.75">
      <c r="N281" s="27" t="s">
        <v>13</v>
      </c>
      <c r="O281" s="27" t="s">
        <v>647</v>
      </c>
      <c r="P281" s="27" t="s">
        <v>648</v>
      </c>
      <c r="Q281" s="27" t="s">
        <v>649</v>
      </c>
    </row>
    <row r="282" spans="14:15" ht="12.75">
      <c r="N282" s="27" t="s">
        <v>476</v>
      </c>
      <c r="O282" s="27" t="s">
        <v>1110</v>
      </c>
    </row>
    <row r="283" spans="14:15" ht="12.75">
      <c r="N283" s="27" t="s">
        <v>531</v>
      </c>
      <c r="O283" s="27" t="s">
        <v>1165</v>
      </c>
    </row>
    <row r="284" spans="14:15" ht="12.75">
      <c r="N284" s="27" t="s">
        <v>465</v>
      </c>
      <c r="O284" s="27" t="s">
        <v>1099</v>
      </c>
    </row>
    <row r="285" spans="14:17" ht="12.75">
      <c r="N285" s="27" t="s">
        <v>52</v>
      </c>
      <c r="O285" s="27" t="s">
        <v>686</v>
      </c>
      <c r="P285" s="27" t="s">
        <v>687</v>
      </c>
      <c r="Q285" s="27" t="s">
        <v>688</v>
      </c>
    </row>
    <row r="286" spans="14:15" ht="12.75">
      <c r="N286" s="27" t="s">
        <v>612</v>
      </c>
      <c r="O286" s="27" t="s">
        <v>1246</v>
      </c>
    </row>
    <row r="287" spans="14:15" ht="12.75">
      <c r="N287" s="27" t="s">
        <v>604</v>
      </c>
      <c r="O287" s="27" t="s">
        <v>1238</v>
      </c>
    </row>
    <row r="288" spans="14:15" ht="12.75">
      <c r="N288" s="27" t="s">
        <v>573</v>
      </c>
      <c r="O288" s="27" t="s">
        <v>1207</v>
      </c>
    </row>
    <row r="289" spans="14:15" ht="12.75">
      <c r="N289" s="27" t="s">
        <v>493</v>
      </c>
      <c r="O289" s="27" t="s">
        <v>1127</v>
      </c>
    </row>
    <row r="290" spans="14:17" ht="12.75">
      <c r="N290" s="27" t="s">
        <v>314</v>
      </c>
      <c r="O290" s="27" t="s">
        <v>948</v>
      </c>
      <c r="P290" s="27" t="s">
        <v>949</v>
      </c>
      <c r="Q290" s="27" t="s">
        <v>950</v>
      </c>
    </row>
    <row r="291" spans="14:15" ht="12.75">
      <c r="N291" s="27" t="s">
        <v>623</v>
      </c>
      <c r="O291" s="27" t="s">
        <v>1257</v>
      </c>
    </row>
    <row r="292" spans="14:17" ht="12.75">
      <c r="N292" s="27" t="s">
        <v>16</v>
      </c>
      <c r="O292" s="27" t="s">
        <v>650</v>
      </c>
      <c r="P292" s="27" t="s">
        <v>651</v>
      </c>
      <c r="Q292" s="27" t="s">
        <v>652</v>
      </c>
    </row>
    <row r="293" spans="14:17" ht="12.75">
      <c r="N293" s="27" t="s">
        <v>82</v>
      </c>
      <c r="O293" s="27" t="s">
        <v>716</v>
      </c>
      <c r="P293" s="27" t="s">
        <v>717</v>
      </c>
      <c r="Q293" s="27" t="s">
        <v>718</v>
      </c>
    </row>
    <row r="294" spans="14:15" ht="12.75">
      <c r="N294" s="27" t="s">
        <v>566</v>
      </c>
      <c r="O294" s="27" t="s">
        <v>1200</v>
      </c>
    </row>
    <row r="295" spans="14:15" ht="12.75">
      <c r="N295" s="27" t="s">
        <v>580</v>
      </c>
      <c r="O295" s="27" t="s">
        <v>1214</v>
      </c>
    </row>
    <row r="296" spans="14:17" ht="12.75">
      <c r="N296" s="27" t="s">
        <v>40</v>
      </c>
      <c r="O296" s="27" t="s">
        <v>674</v>
      </c>
      <c r="P296" s="27" t="s">
        <v>675</v>
      </c>
      <c r="Q296" s="27" t="s">
        <v>676</v>
      </c>
    </row>
    <row r="297" spans="14:15" ht="12.75">
      <c r="N297" s="27" t="s">
        <v>624</v>
      </c>
      <c r="O297" s="27" t="s">
        <v>1258</v>
      </c>
    </row>
    <row r="298" spans="14:15" ht="12.75">
      <c r="N298" s="27" t="s">
        <v>517</v>
      </c>
      <c r="O298" s="27" t="s">
        <v>1151</v>
      </c>
    </row>
    <row r="299" spans="14:17" ht="12.75">
      <c r="N299" s="27" t="s">
        <v>55</v>
      </c>
      <c r="O299" s="27" t="s">
        <v>689</v>
      </c>
      <c r="P299" s="27" t="s">
        <v>690</v>
      </c>
      <c r="Q299" s="27" t="s">
        <v>691</v>
      </c>
    </row>
    <row r="300" spans="14:15" ht="12.75">
      <c r="N300" s="27" t="s">
        <v>518</v>
      </c>
      <c r="O300" s="27" t="s">
        <v>1152</v>
      </c>
    </row>
    <row r="301" spans="14:17" ht="12.75">
      <c r="N301" s="27" t="s">
        <v>391</v>
      </c>
      <c r="O301" s="27" t="s">
        <v>1025</v>
      </c>
      <c r="P301" s="27" t="s">
        <v>1026</v>
      </c>
      <c r="Q301" s="27" t="s">
        <v>1027</v>
      </c>
    </row>
    <row r="302" spans="14:15" ht="12.75">
      <c r="N302" s="27" t="s">
        <v>1315</v>
      </c>
      <c r="O302" s="27" t="s">
        <v>1290</v>
      </c>
    </row>
    <row r="303" spans="14:17" ht="12.75">
      <c r="N303" s="27" t="s">
        <v>332</v>
      </c>
      <c r="O303" s="27" t="s">
        <v>966</v>
      </c>
      <c r="P303" s="27" t="s">
        <v>967</v>
      </c>
      <c r="Q303" s="27" t="s">
        <v>968</v>
      </c>
    </row>
    <row r="304" spans="14:17" ht="12.75">
      <c r="N304" s="27" t="s">
        <v>85</v>
      </c>
      <c r="O304" s="27" t="s">
        <v>719</v>
      </c>
      <c r="P304" s="27" t="s">
        <v>720</v>
      </c>
      <c r="Q304" s="27" t="s">
        <v>721</v>
      </c>
    </row>
    <row r="305" spans="14:15" ht="12.75">
      <c r="N305" s="27" t="s">
        <v>409</v>
      </c>
      <c r="O305" s="27" t="s">
        <v>1043</v>
      </c>
    </row>
    <row r="306" spans="14:15" ht="12.75">
      <c r="N306" s="27" t="s">
        <v>427</v>
      </c>
      <c r="O306" s="27" t="s">
        <v>1061</v>
      </c>
    </row>
    <row r="307" spans="14:15" ht="12.75">
      <c r="N307" s="27" t="s">
        <v>433</v>
      </c>
      <c r="O307" s="27" t="s">
        <v>1067</v>
      </c>
    </row>
    <row r="308" spans="14:15" ht="12.75">
      <c r="N308" s="27" t="s">
        <v>446</v>
      </c>
      <c r="O308" s="27" t="s">
        <v>1080</v>
      </c>
    </row>
    <row r="309" spans="14:17" ht="12.75">
      <c r="N309" s="27" t="s">
        <v>251</v>
      </c>
      <c r="O309" s="27" t="s">
        <v>885</v>
      </c>
      <c r="P309" s="27" t="s">
        <v>886</v>
      </c>
      <c r="Q309" s="27" t="s">
        <v>887</v>
      </c>
    </row>
    <row r="310" spans="14:15" ht="12.75">
      <c r="N310" s="27" t="s">
        <v>451</v>
      </c>
      <c r="O310" s="27" t="s">
        <v>1085</v>
      </c>
    </row>
    <row r="311" spans="14:15" ht="12.75">
      <c r="N311" s="27" t="s">
        <v>546</v>
      </c>
      <c r="O311" s="27" t="s">
        <v>1180</v>
      </c>
    </row>
    <row r="312" spans="14:15" ht="12.75">
      <c r="N312" s="27" t="s">
        <v>547</v>
      </c>
      <c r="O312" s="27" t="s">
        <v>1181</v>
      </c>
    </row>
    <row r="313" spans="14:15" ht="12.75">
      <c r="N313" s="27" t="s">
        <v>439</v>
      </c>
      <c r="O313" s="27" t="s">
        <v>1073</v>
      </c>
    </row>
    <row r="314" spans="14:15" ht="12.75">
      <c r="N314" s="27" t="s">
        <v>554</v>
      </c>
      <c r="O314" s="27" t="s">
        <v>1188</v>
      </c>
    </row>
    <row r="315" spans="14:15" ht="12.75">
      <c r="N315" s="27" t="s">
        <v>561</v>
      </c>
      <c r="O315" s="27" t="s">
        <v>1195</v>
      </c>
    </row>
    <row r="316" spans="14:15" ht="12.75">
      <c r="N316" s="27" t="s">
        <v>576</v>
      </c>
      <c r="O316" s="27" t="s">
        <v>1210</v>
      </c>
    </row>
    <row r="317" spans="14:15" ht="12.75">
      <c r="N317" s="27" t="s">
        <v>532</v>
      </c>
      <c r="O317" s="27" t="s">
        <v>1166</v>
      </c>
    </row>
    <row r="318" spans="14:15" ht="12.75">
      <c r="N318" s="27" t="s">
        <v>583</v>
      </c>
      <c r="O318" s="27" t="s">
        <v>1217</v>
      </c>
    </row>
    <row r="319" spans="14:15" ht="12.75">
      <c r="N319" s="27" t="s">
        <v>588</v>
      </c>
      <c r="O319" s="27" t="s">
        <v>1222</v>
      </c>
    </row>
    <row r="320" spans="14:17" ht="12.75">
      <c r="N320" s="27" t="s">
        <v>67</v>
      </c>
      <c r="O320" s="27" t="s">
        <v>701</v>
      </c>
      <c r="P320" s="27" t="s">
        <v>702</v>
      </c>
      <c r="Q320" s="27" t="s">
        <v>703</v>
      </c>
    </row>
    <row r="321" spans="14:15" ht="12.75">
      <c r="N321" s="27" t="s">
        <v>629</v>
      </c>
      <c r="O321" s="27" t="s">
        <v>1263</v>
      </c>
    </row>
    <row r="322" spans="14:17" ht="12.75">
      <c r="N322" s="27" t="s">
        <v>308</v>
      </c>
      <c r="O322" s="27" t="s">
        <v>942</v>
      </c>
      <c r="P322" s="27" t="s">
        <v>943</v>
      </c>
      <c r="Q322" s="27" t="s">
        <v>944</v>
      </c>
    </row>
    <row r="323" spans="14:17" ht="12.75">
      <c r="N323" s="27" t="s">
        <v>356</v>
      </c>
      <c r="O323" s="27" t="s">
        <v>990</v>
      </c>
      <c r="P323" s="27" t="s">
        <v>991</v>
      </c>
      <c r="Q323" s="27" t="s">
        <v>992</v>
      </c>
    </row>
    <row r="324" spans="14:17" ht="12.75">
      <c r="N324" s="27" t="s">
        <v>133</v>
      </c>
      <c r="O324" s="27" t="s">
        <v>767</v>
      </c>
      <c r="P324" s="27" t="s">
        <v>768</v>
      </c>
      <c r="Q324" s="27" t="s">
        <v>769</v>
      </c>
    </row>
    <row r="325" spans="14:15" ht="12.75">
      <c r="N325" s="27" t="s">
        <v>605</v>
      </c>
      <c r="O325" s="27" t="s">
        <v>1239</v>
      </c>
    </row>
    <row r="326" spans="14:15" ht="12.75">
      <c r="N326" s="27" t="s">
        <v>506</v>
      </c>
      <c r="O326" s="27" t="s">
        <v>1140</v>
      </c>
    </row>
    <row r="327" spans="14:15" ht="12.75">
      <c r="N327" s="27" t="s">
        <v>596</v>
      </c>
      <c r="O327" s="27" t="s">
        <v>1230</v>
      </c>
    </row>
    <row r="328" spans="14:17" ht="12.75">
      <c r="N328" s="27" t="s">
        <v>37</v>
      </c>
      <c r="O328" s="27" t="s">
        <v>671</v>
      </c>
      <c r="P328" s="27" t="s">
        <v>672</v>
      </c>
      <c r="Q328" s="27" t="s">
        <v>673</v>
      </c>
    </row>
    <row r="329" spans="14:15" ht="12.75">
      <c r="N329" s="27" t="s">
        <v>589</v>
      </c>
      <c r="O329" s="27" t="s">
        <v>1223</v>
      </c>
    </row>
    <row r="330" spans="14:15" ht="12.75">
      <c r="N330" s="27" t="s">
        <v>417</v>
      </c>
      <c r="O330" s="27" t="s">
        <v>1051</v>
      </c>
    </row>
    <row r="331" spans="14:15" ht="12.75">
      <c r="N331" s="27" t="s">
        <v>1305</v>
      </c>
      <c r="O331" s="27" t="s">
        <v>1280</v>
      </c>
    </row>
    <row r="332" spans="14:15" ht="12.75">
      <c r="N332" s="27" t="s">
        <v>590</v>
      </c>
      <c r="O332" s="27" t="s">
        <v>1224</v>
      </c>
    </row>
    <row r="333" spans="14:15" ht="12.75">
      <c r="N333" s="27" t="s">
        <v>507</v>
      </c>
      <c r="O333" s="27" t="s">
        <v>1141</v>
      </c>
    </row>
    <row r="334" spans="14:17" ht="12.75">
      <c r="N334" s="27" t="s">
        <v>19</v>
      </c>
      <c r="O334" s="27" t="s">
        <v>653</v>
      </c>
      <c r="P334" s="27" t="s">
        <v>654</v>
      </c>
      <c r="Q334" s="27" t="s">
        <v>655</v>
      </c>
    </row>
    <row r="335" spans="14:17" ht="12.75">
      <c r="N335" s="27" t="s">
        <v>266</v>
      </c>
      <c r="O335" s="27" t="s">
        <v>900</v>
      </c>
      <c r="P335" s="27" t="s">
        <v>901</v>
      </c>
      <c r="Q335" s="27" t="s">
        <v>902</v>
      </c>
    </row>
    <row r="336" spans="14:17" ht="12.75">
      <c r="N336" s="27" t="s">
        <v>317</v>
      </c>
      <c r="O336" s="27" t="s">
        <v>951</v>
      </c>
      <c r="P336" s="27" t="s">
        <v>952</v>
      </c>
      <c r="Q336" s="27" t="s">
        <v>953</v>
      </c>
    </row>
    <row r="337" spans="14:15" ht="12.75">
      <c r="N337" s="27" t="s">
        <v>613</v>
      </c>
      <c r="O337" s="27" t="s">
        <v>1247</v>
      </c>
    </row>
    <row r="338" spans="14:15" ht="12.75">
      <c r="N338" s="27" t="s">
        <v>483</v>
      </c>
      <c r="O338" s="27" t="s">
        <v>1117</v>
      </c>
    </row>
    <row r="339" spans="14:17" ht="12.75">
      <c r="N339" s="27" t="s">
        <v>226</v>
      </c>
      <c r="O339" s="27" t="s">
        <v>860</v>
      </c>
      <c r="P339" s="27" t="s">
        <v>861</v>
      </c>
      <c r="Q339" s="27" t="s">
        <v>862</v>
      </c>
    </row>
    <row r="340" spans="14:15" ht="12.75">
      <c r="N340" s="27" t="s">
        <v>597</v>
      </c>
      <c r="O340" s="27" t="s">
        <v>1231</v>
      </c>
    </row>
    <row r="341" spans="14:17" ht="12.75">
      <c r="N341" s="27" t="s">
        <v>70</v>
      </c>
      <c r="O341" s="27" t="s">
        <v>704</v>
      </c>
      <c r="P341" s="27" t="s">
        <v>705</v>
      </c>
      <c r="Q341" s="27" t="s">
        <v>706</v>
      </c>
    </row>
    <row r="342" spans="14:17" ht="12.75">
      <c r="N342" s="27" t="s">
        <v>229</v>
      </c>
      <c r="O342" s="27" t="s">
        <v>863</v>
      </c>
      <c r="P342" s="27" t="s">
        <v>864</v>
      </c>
      <c r="Q342" s="27" t="s">
        <v>865</v>
      </c>
    </row>
    <row r="343" spans="14:15" ht="12.75">
      <c r="N343" s="27" t="s">
        <v>606</v>
      </c>
      <c r="O343" s="27" t="s">
        <v>1240</v>
      </c>
    </row>
    <row r="344" spans="14:17" ht="12.75">
      <c r="N344" s="27" t="s">
        <v>199</v>
      </c>
      <c r="O344" s="27" t="s">
        <v>833</v>
      </c>
      <c r="P344" s="27" t="s">
        <v>834</v>
      </c>
      <c r="Q344" s="27" t="s">
        <v>835</v>
      </c>
    </row>
    <row r="345" spans="14:15" ht="12.75">
      <c r="N345" s="27" t="s">
        <v>519</v>
      </c>
      <c r="O345" s="27" t="s">
        <v>1153</v>
      </c>
    </row>
    <row r="346" spans="14:17" ht="12.75">
      <c r="N346" s="27" t="s">
        <v>320</v>
      </c>
      <c r="O346" s="27" t="s">
        <v>954</v>
      </c>
      <c r="P346" s="27" t="s">
        <v>955</v>
      </c>
      <c r="Q346" s="27" t="s">
        <v>956</v>
      </c>
    </row>
    <row r="347" spans="14:17" ht="12.75">
      <c r="N347" s="27" t="s">
        <v>22</v>
      </c>
      <c r="O347" s="27" t="s">
        <v>656</v>
      </c>
      <c r="P347" s="27" t="s">
        <v>657</v>
      </c>
      <c r="Q347" s="27" t="s">
        <v>658</v>
      </c>
    </row>
    <row r="348" spans="14:15" ht="12.75">
      <c r="N348" s="27" t="s">
        <v>591</v>
      </c>
      <c r="O348" s="27" t="s">
        <v>1225</v>
      </c>
    </row>
    <row r="349" spans="14:15" ht="12.75">
      <c r="N349" s="27" t="s">
        <v>607</v>
      </c>
      <c r="O349" s="27" t="s">
        <v>1241</v>
      </c>
    </row>
    <row r="350" spans="14:15" ht="12.75">
      <c r="N350" s="27" t="s">
        <v>581</v>
      </c>
      <c r="O350" s="27" t="s">
        <v>1215</v>
      </c>
    </row>
    <row r="351" spans="14:15" ht="12.75">
      <c r="N351" s="27" t="s">
        <v>452</v>
      </c>
      <c r="O351" s="27" t="s">
        <v>1086</v>
      </c>
    </row>
    <row r="352" spans="14:17" ht="12.75">
      <c r="N352" s="27" t="s">
        <v>377</v>
      </c>
      <c r="O352" s="27" t="s">
        <v>1011</v>
      </c>
      <c r="P352" s="27" t="s">
        <v>1012</v>
      </c>
      <c r="Q352" s="27" t="s">
        <v>1013</v>
      </c>
    </row>
    <row r="353" spans="14:15" ht="12.75">
      <c r="N353" s="27" t="s">
        <v>477</v>
      </c>
      <c r="O353" s="27" t="s">
        <v>1111</v>
      </c>
    </row>
    <row r="354" spans="14:15" ht="12.75">
      <c r="N354" s="27" t="s">
        <v>494</v>
      </c>
      <c r="O354" s="27" t="s">
        <v>1128</v>
      </c>
    </row>
    <row r="355" spans="14:15" ht="12.75">
      <c r="N355" s="27" t="s">
        <v>484</v>
      </c>
      <c r="O355" s="27" t="s">
        <v>1118</v>
      </c>
    </row>
    <row r="356" spans="14:15" ht="12.75">
      <c r="N356" s="27" t="s">
        <v>520</v>
      </c>
      <c r="O356" s="27" t="s">
        <v>1154</v>
      </c>
    </row>
    <row r="357" spans="14:15" ht="12.75">
      <c r="N357" s="27" t="s">
        <v>508</v>
      </c>
      <c r="O357" s="27" t="s">
        <v>1142</v>
      </c>
    </row>
    <row r="358" spans="14:17" ht="12.75">
      <c r="N358" s="27" t="s">
        <v>359</v>
      </c>
      <c r="O358" s="27" t="s">
        <v>993</v>
      </c>
      <c r="P358" s="27" t="s">
        <v>994</v>
      </c>
      <c r="Q358" s="27" t="s">
        <v>995</v>
      </c>
    </row>
    <row r="359" spans="14:15" ht="12.75">
      <c r="N359" s="27" t="s">
        <v>521</v>
      </c>
      <c r="O359" s="27" t="s">
        <v>1155</v>
      </c>
    </row>
    <row r="360" spans="14:17" ht="12.75">
      <c r="N360" s="27" t="s">
        <v>353</v>
      </c>
      <c r="O360" s="27" t="s">
        <v>987</v>
      </c>
      <c r="P360" s="27" t="s">
        <v>988</v>
      </c>
      <c r="Q360" s="27" t="s">
        <v>989</v>
      </c>
    </row>
    <row r="361" spans="14:15" ht="12.75">
      <c r="N361" s="27" t="s">
        <v>454</v>
      </c>
      <c r="O361" s="27" t="s">
        <v>1088</v>
      </c>
    </row>
    <row r="362" spans="14:17" ht="12.75">
      <c r="N362" s="27" t="s">
        <v>136</v>
      </c>
      <c r="O362" s="27" t="s">
        <v>770</v>
      </c>
      <c r="P362" s="27" t="s">
        <v>771</v>
      </c>
      <c r="Q362" s="27" t="s">
        <v>772</v>
      </c>
    </row>
    <row r="363" spans="14:17" ht="12.75">
      <c r="N363" s="27" t="s">
        <v>25</v>
      </c>
      <c r="O363" s="27" t="s">
        <v>659</v>
      </c>
      <c r="P363" s="27" t="s">
        <v>660</v>
      </c>
      <c r="Q363" s="27" t="s">
        <v>661</v>
      </c>
    </row>
    <row r="364" spans="14:15" ht="12.75">
      <c r="N364" s="27" t="s">
        <v>522</v>
      </c>
      <c r="O364" s="27" t="s">
        <v>1156</v>
      </c>
    </row>
    <row r="365" spans="14:15" ht="12.75">
      <c r="N365" s="27" t="s">
        <v>630</v>
      </c>
      <c r="O365" s="27" t="s">
        <v>1264</v>
      </c>
    </row>
    <row r="366" spans="14:15" ht="12.75">
      <c r="N366" s="27" t="s">
        <v>478</v>
      </c>
      <c r="O366" s="27" t="s">
        <v>1112</v>
      </c>
    </row>
    <row r="367" spans="14:15" ht="12.75">
      <c r="N367" s="27" t="s">
        <v>577</v>
      </c>
      <c r="O367" s="27" t="s">
        <v>1211</v>
      </c>
    </row>
    <row r="368" spans="14:17" ht="12.75">
      <c r="N368" s="27" t="s">
        <v>106</v>
      </c>
      <c r="O368" s="27" t="s">
        <v>740</v>
      </c>
      <c r="P368" s="27" t="s">
        <v>741</v>
      </c>
      <c r="Q368" s="27" t="s">
        <v>742</v>
      </c>
    </row>
    <row r="369" spans="14:17" ht="12.75">
      <c r="N369" s="27" t="s">
        <v>88</v>
      </c>
      <c r="O369" s="27" t="s">
        <v>722</v>
      </c>
      <c r="P369" s="27" t="s">
        <v>723</v>
      </c>
      <c r="Q369" s="27" t="s">
        <v>724</v>
      </c>
    </row>
    <row r="370" spans="14:17" ht="12.75">
      <c r="N370" s="27" t="s">
        <v>202</v>
      </c>
      <c r="O370" s="27" t="s">
        <v>836</v>
      </c>
      <c r="P370" s="27" t="s">
        <v>837</v>
      </c>
      <c r="Q370" s="27" t="s">
        <v>838</v>
      </c>
    </row>
    <row r="371" spans="14:17" ht="12.75">
      <c r="N371" s="27" t="s">
        <v>139</v>
      </c>
      <c r="O371" s="27" t="s">
        <v>773</v>
      </c>
      <c r="P371" s="27" t="s">
        <v>774</v>
      </c>
      <c r="Q371" s="27" t="s">
        <v>775</v>
      </c>
    </row>
    <row r="372" spans="14:17" ht="12.75">
      <c r="N372" s="27" t="s">
        <v>347</v>
      </c>
      <c r="O372" s="27" t="s">
        <v>981</v>
      </c>
      <c r="P372" s="27" t="s">
        <v>982</v>
      </c>
      <c r="Q372" s="27" t="s">
        <v>983</v>
      </c>
    </row>
    <row r="373" spans="14:15" ht="12.75">
      <c r="N373" s="27" t="s">
        <v>614</v>
      </c>
      <c r="O373" s="27" t="s">
        <v>1248</v>
      </c>
    </row>
    <row r="374" spans="14:17" ht="12.75">
      <c r="N374" s="27" t="s">
        <v>232</v>
      </c>
      <c r="O374" s="27" t="s">
        <v>866</v>
      </c>
      <c r="P374" s="27" t="s">
        <v>867</v>
      </c>
      <c r="Q374" s="27" t="s">
        <v>868</v>
      </c>
    </row>
    <row r="375" spans="14:15" ht="12.75">
      <c r="N375" s="27" t="s">
        <v>509</v>
      </c>
      <c r="O375" s="27" t="s">
        <v>1143</v>
      </c>
    </row>
    <row r="376" spans="14:15" ht="12.75">
      <c r="N376" s="27" t="s">
        <v>598</v>
      </c>
      <c r="O376" s="27" t="s">
        <v>1232</v>
      </c>
    </row>
    <row r="377" spans="14:15" ht="12.75">
      <c r="N377" s="27" t="s">
        <v>608</v>
      </c>
      <c r="O377" s="27" t="s">
        <v>1242</v>
      </c>
    </row>
    <row r="378" spans="14:15" ht="12.75">
      <c r="N378" s="27" t="s">
        <v>466</v>
      </c>
      <c r="O378" s="27" t="s">
        <v>1100</v>
      </c>
    </row>
    <row r="379" spans="14:15" ht="12.75">
      <c r="N379" s="27" t="s">
        <v>562</v>
      </c>
      <c r="O379" s="27" t="s">
        <v>1196</v>
      </c>
    </row>
    <row r="380" spans="14:15" ht="12.75">
      <c r="N380" s="27" t="s">
        <v>510</v>
      </c>
      <c r="O380" s="27" t="s">
        <v>1144</v>
      </c>
    </row>
    <row r="381" spans="14:17" ht="12.75">
      <c r="N381" s="27" t="s">
        <v>326</v>
      </c>
      <c r="O381" s="27" t="s">
        <v>960</v>
      </c>
      <c r="P381" s="27" t="s">
        <v>961</v>
      </c>
      <c r="Q381" s="27" t="s">
        <v>962</v>
      </c>
    </row>
    <row r="382" spans="14:15" ht="12.75">
      <c r="N382" s="27" t="s">
        <v>455</v>
      </c>
      <c r="O382" s="27" t="s">
        <v>1089</v>
      </c>
    </row>
    <row r="383" spans="14:15" ht="12.75">
      <c r="N383" s="27" t="s">
        <v>459</v>
      </c>
      <c r="O383" s="27" t="s">
        <v>1093</v>
      </c>
    </row>
    <row r="384" spans="14:15" ht="12.75">
      <c r="N384" s="27" t="s">
        <v>533</v>
      </c>
      <c r="O384" s="27" t="s">
        <v>1167</v>
      </c>
    </row>
    <row r="385" spans="14:15" ht="12.75">
      <c r="N385" s="27" t="s">
        <v>548</v>
      </c>
      <c r="O385" s="27" t="s">
        <v>1182</v>
      </c>
    </row>
    <row r="386" spans="14:15" ht="12.75">
      <c r="N386" s="27" t="s">
        <v>631</v>
      </c>
      <c r="O386" s="27" t="s">
        <v>1265</v>
      </c>
    </row>
    <row r="387" spans="14:15" ht="12.75">
      <c r="N387" s="27" t="s">
        <v>578</v>
      </c>
      <c r="O387" s="27" t="s">
        <v>1212</v>
      </c>
    </row>
    <row r="388" spans="14:15" ht="12.75">
      <c r="N388" s="27" t="s">
        <v>582</v>
      </c>
      <c r="O388" s="27" t="s">
        <v>1216</v>
      </c>
    </row>
    <row r="389" spans="14:17" ht="12.75">
      <c r="N389" s="27" t="s">
        <v>235</v>
      </c>
      <c r="O389" s="27" t="s">
        <v>869</v>
      </c>
      <c r="P389" s="27" t="s">
        <v>870</v>
      </c>
      <c r="Q389" s="27" t="s">
        <v>871</v>
      </c>
    </row>
    <row r="390" spans="14:15" ht="12.75">
      <c r="N390" s="27" t="s">
        <v>632</v>
      </c>
      <c r="O390" s="27" t="s">
        <v>1266</v>
      </c>
    </row>
    <row r="391" spans="14:17" ht="12.75">
      <c r="N391" s="27" t="s">
        <v>142</v>
      </c>
      <c r="O391" s="27" t="s">
        <v>776</v>
      </c>
      <c r="P391" s="27" t="s">
        <v>777</v>
      </c>
      <c r="Q391" s="27" t="s">
        <v>778</v>
      </c>
    </row>
    <row r="392" spans="14:15" ht="12.75">
      <c r="N392" s="27" t="s">
        <v>460</v>
      </c>
      <c r="O392" s="27" t="s">
        <v>1094</v>
      </c>
    </row>
    <row r="393" spans="14:17" ht="12.75">
      <c r="N393" s="27" t="s">
        <v>28</v>
      </c>
      <c r="O393" s="27" t="s">
        <v>662</v>
      </c>
      <c r="P393" s="27" t="s">
        <v>663</v>
      </c>
      <c r="Q393" s="27" t="s">
        <v>664</v>
      </c>
    </row>
    <row r="394" spans="14:17" ht="12.75">
      <c r="N394" s="27" t="s">
        <v>394</v>
      </c>
      <c r="O394" s="27" t="s">
        <v>1028</v>
      </c>
      <c r="P394" s="27" t="s">
        <v>1029</v>
      </c>
      <c r="Q394" s="27" t="s">
        <v>1030</v>
      </c>
    </row>
    <row r="395" spans="14:15" ht="12.75">
      <c r="N395" s="27" t="s">
        <v>1306</v>
      </c>
      <c r="O395" s="27" t="s">
        <v>1281</v>
      </c>
    </row>
    <row r="396" spans="14:15" ht="12.75">
      <c r="N396" s="27" t="s">
        <v>495</v>
      </c>
      <c r="O396" s="27" t="s">
        <v>1129</v>
      </c>
    </row>
    <row r="397" spans="14:17" ht="12.75">
      <c r="N397" s="27" t="s">
        <v>335</v>
      </c>
      <c r="O397" s="27" t="s">
        <v>969</v>
      </c>
      <c r="P397" s="27" t="s">
        <v>970</v>
      </c>
      <c r="Q397" s="27" t="s">
        <v>971</v>
      </c>
    </row>
    <row r="398" spans="14:17" ht="12.75">
      <c r="N398" s="27" t="s">
        <v>43</v>
      </c>
      <c r="O398" s="27" t="s">
        <v>677</v>
      </c>
      <c r="P398" s="27" t="s">
        <v>678</v>
      </c>
      <c r="Q398" s="27" t="s">
        <v>679</v>
      </c>
    </row>
    <row r="399" spans="14:15" ht="12.75">
      <c r="N399" s="27" t="s">
        <v>609</v>
      </c>
      <c r="O399" s="27" t="s">
        <v>1243</v>
      </c>
    </row>
    <row r="400" spans="14:17" ht="12.75">
      <c r="N400" s="27" t="s">
        <v>338</v>
      </c>
      <c r="O400" s="27" t="s">
        <v>972</v>
      </c>
      <c r="P400" s="27" t="s">
        <v>973</v>
      </c>
      <c r="Q400" s="27" t="s">
        <v>974</v>
      </c>
    </row>
    <row r="401" spans="14:17" ht="12.75">
      <c r="N401" s="27" t="s">
        <v>91</v>
      </c>
      <c r="O401" s="27" t="s">
        <v>725</v>
      </c>
      <c r="P401" s="27" t="s">
        <v>726</v>
      </c>
      <c r="Q401" s="27" t="s">
        <v>727</v>
      </c>
    </row>
    <row r="402" spans="14:15" ht="12.75">
      <c r="N402" s="27" t="s">
        <v>498</v>
      </c>
      <c r="O402" s="27" t="s">
        <v>1132</v>
      </c>
    </row>
    <row r="403" spans="14:15" ht="12.75">
      <c r="N403" s="27" t="s">
        <v>424</v>
      </c>
      <c r="O403" s="27" t="s">
        <v>1058</v>
      </c>
    </row>
    <row r="404" spans="14:15" ht="12.75">
      <c r="N404" s="27" t="s">
        <v>621</v>
      </c>
      <c r="O404" s="27" t="s">
        <v>1255</v>
      </c>
    </row>
    <row r="405" spans="14:15" ht="12.75">
      <c r="N405" s="27" t="s">
        <v>499</v>
      </c>
      <c r="O405" s="27" t="s">
        <v>1133</v>
      </c>
    </row>
    <row r="406" spans="14:15" ht="12.75">
      <c r="N406" s="27" t="s">
        <v>429</v>
      </c>
      <c r="O406" s="27" t="s">
        <v>1063</v>
      </c>
    </row>
    <row r="407" spans="14:15" ht="12.75">
      <c r="N407" s="27" t="s">
        <v>534</v>
      </c>
      <c r="O407" s="27" t="s">
        <v>1168</v>
      </c>
    </row>
    <row r="408" spans="14:15" ht="12.75">
      <c r="N408" s="27" t="s">
        <v>500</v>
      </c>
      <c r="O408" s="27" t="s">
        <v>1134</v>
      </c>
    </row>
    <row r="409" spans="14:17" ht="12.75">
      <c r="N409" s="27" t="s">
        <v>281</v>
      </c>
      <c r="O409" s="27" t="s">
        <v>915</v>
      </c>
      <c r="P409" s="27" t="s">
        <v>916</v>
      </c>
      <c r="Q409" s="27" t="s">
        <v>917</v>
      </c>
    </row>
  </sheetData>
  <sheetProtection/>
  <mergeCells count="7">
    <mergeCell ref="A165:G165"/>
    <mergeCell ref="B158:G158"/>
    <mergeCell ref="A4:G4"/>
    <mergeCell ref="A1:J1"/>
    <mergeCell ref="B6:G6"/>
    <mergeCell ref="B61:G61"/>
    <mergeCell ref="A164:G164"/>
  </mergeCells>
  <dataValidations count="1">
    <dataValidation type="list" allowBlank="1" showInputMessage="1" showErrorMessage="1" sqref="A4:G4">
      <formula1>AuthorityList</formula1>
    </dataValidation>
  </dataValidations>
  <printOptions/>
  <pageMargins left="0.75" right="0.75" top="1" bottom="1" header="0.5" footer="0.5"/>
  <pageSetup horizontalDpi="600" verticalDpi="600" orientation="landscape" paperSize="8" scale="80" r:id="rId1"/>
  <rowBreaks count="2" manualBreakCount="2">
    <brk id="59" max="12" man="1"/>
    <brk id="134" max="12" man="1"/>
  </rowBreaks>
</worksheet>
</file>

<file path=xl/worksheets/sheet2.xml><?xml version="1.0" encoding="utf-8"?>
<worksheet xmlns="http://schemas.openxmlformats.org/spreadsheetml/2006/main" xmlns:r="http://schemas.openxmlformats.org/officeDocument/2006/relationships">
  <dimension ref="A2:B21"/>
  <sheetViews>
    <sheetView zoomScalePageLayoutView="0" workbookViewId="0" topLeftCell="A1">
      <selection activeCell="D40" sqref="D40"/>
    </sheetView>
  </sheetViews>
  <sheetFormatPr defaultColWidth="9.140625" defaultRowHeight="12.75"/>
  <cols>
    <col min="1" max="1" width="45.8515625" style="0" customWidth="1"/>
    <col min="2" max="2" width="18.7109375" style="1" customWidth="1"/>
  </cols>
  <sheetData>
    <row r="2" spans="1:2" ht="12.75">
      <c r="A2" t="s">
        <v>1429</v>
      </c>
      <c r="B2" s="1">
        <v>15175401532.8551</v>
      </c>
    </row>
    <row r="3" spans="1:2" ht="12.75">
      <c r="A3" t="s">
        <v>1430</v>
      </c>
      <c r="B3" s="1">
        <v>10898554443.9036</v>
      </c>
    </row>
    <row r="4" spans="1:2" ht="12.75">
      <c r="A4" t="s">
        <v>1431</v>
      </c>
      <c r="B4" s="1">
        <v>773225000</v>
      </c>
    </row>
    <row r="5" spans="1:2" ht="12.75">
      <c r="A5" t="s">
        <v>1432</v>
      </c>
      <c r="B5" s="1">
        <v>45188474.025974</v>
      </c>
    </row>
    <row r="7" spans="1:2" ht="12.75">
      <c r="A7" t="s">
        <v>1433</v>
      </c>
      <c r="B7" s="9">
        <v>1357641.305456</v>
      </c>
    </row>
    <row r="9" spans="1:2" ht="12.75">
      <c r="A9" t="s">
        <v>1441</v>
      </c>
      <c r="B9" s="10">
        <f>0.48/0.471</f>
        <v>1.019108280254777</v>
      </c>
    </row>
    <row r="11" ht="12.75">
      <c r="A11" s="16" t="s">
        <v>1352</v>
      </c>
    </row>
    <row r="12" spans="1:2" s="17" customFormat="1" ht="12.75">
      <c r="A12" s="17" t="s">
        <v>425</v>
      </c>
      <c r="B12" s="1">
        <v>1901063.244677</v>
      </c>
    </row>
    <row r="13" spans="1:2" s="17" customFormat="1" ht="12.75">
      <c r="A13" s="17" t="s">
        <v>1491</v>
      </c>
      <c r="B13" s="1">
        <v>129600000</v>
      </c>
    </row>
    <row r="14" spans="1:2" ht="12.75">
      <c r="A14" t="s">
        <v>1317</v>
      </c>
      <c r="B14" s="1">
        <v>1276518313</v>
      </c>
    </row>
    <row r="15" spans="1:2" ht="12.75">
      <c r="A15" t="s">
        <v>1461</v>
      </c>
      <c r="B15" s="1">
        <v>342170317</v>
      </c>
    </row>
    <row r="16" spans="1:2" ht="12.75">
      <c r="A16" t="s">
        <v>1318</v>
      </c>
      <c r="B16" s="1">
        <v>726591897</v>
      </c>
    </row>
    <row r="17" spans="1:2" ht="12.75">
      <c r="A17" t="s">
        <v>1319</v>
      </c>
      <c r="B17" s="1">
        <v>21580834</v>
      </c>
    </row>
    <row r="18" spans="1:2" ht="12.75">
      <c r="A18" t="s">
        <v>1320</v>
      </c>
      <c r="B18" s="1">
        <v>45294790</v>
      </c>
    </row>
    <row r="19" spans="1:2" ht="12.75">
      <c r="A19" t="s">
        <v>1415</v>
      </c>
      <c r="B19" s="1">
        <v>11889881</v>
      </c>
    </row>
    <row r="20" spans="1:2" ht="12.75">
      <c r="A20" t="s">
        <v>1321</v>
      </c>
      <c r="B20" s="1">
        <v>834431462</v>
      </c>
    </row>
    <row r="21" spans="1:2" ht="12.75">
      <c r="A21" t="s">
        <v>1467</v>
      </c>
      <c r="B21" s="1">
        <v>9386434</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B686"/>
  <sheetViews>
    <sheetView zoomScale="75" zoomScaleNormal="75" zoomScalePageLayoutView="0" workbookViewId="0" topLeftCell="A1">
      <pane xSplit="3" ySplit="1" topLeftCell="BL51" activePane="bottomRight" state="frozen"/>
      <selection pane="topLeft" activeCell="A1" sqref="A1"/>
      <selection pane="topRight" activeCell="D1" sqref="D1"/>
      <selection pane="bottomLeft" activeCell="A3" sqref="A3"/>
      <selection pane="bottomRight" activeCell="BO58" sqref="BO58"/>
    </sheetView>
  </sheetViews>
  <sheetFormatPr defaultColWidth="9.140625" defaultRowHeight="12.75"/>
  <cols>
    <col min="1" max="1" width="9.7109375" style="0" customWidth="1"/>
    <col min="2" max="2" width="30.57421875" style="0" customWidth="1"/>
    <col min="3" max="3" width="12.421875" style="0" customWidth="1"/>
    <col min="4" max="4" width="17.7109375" style="0" customWidth="1"/>
    <col min="5" max="10" width="17.7109375" style="1" customWidth="1"/>
    <col min="11" max="11" width="17.57421875" style="1" customWidth="1"/>
    <col min="12" max="13" width="16.57421875" style="1" customWidth="1"/>
    <col min="14" max="15" width="15.28125" style="1" customWidth="1"/>
    <col min="16" max="17" width="16.421875" style="1" customWidth="1"/>
    <col min="18" max="19" width="15.00390625" style="1" customWidth="1"/>
    <col min="20" max="21" width="15.8515625" style="1" customWidth="1"/>
    <col min="22" max="23" width="16.00390625" style="1" customWidth="1"/>
    <col min="24" max="26" width="16.7109375" style="1" customWidth="1"/>
    <col min="27" max="27" width="16.8515625" style="9" hidden="1" customWidth="1"/>
    <col min="28" max="28" width="12.7109375" style="18" hidden="1" customWidth="1"/>
    <col min="29" max="29" width="16.7109375" style="12" customWidth="1"/>
    <col min="30" max="30" width="12.7109375" style="9" hidden="1" customWidth="1"/>
    <col min="31" max="31" width="12.7109375" style="18" hidden="1" customWidth="1"/>
    <col min="32" max="32" width="3.28125" style="1" customWidth="1"/>
    <col min="33" max="59" width="15.8515625" style="1" customWidth="1"/>
    <col min="60" max="60" width="18.421875" style="1" customWidth="1"/>
    <col min="61" max="61" width="18.140625" style="1" customWidth="1"/>
    <col min="62" max="62" width="16.00390625" style="1" customWidth="1"/>
    <col min="63" max="63" width="18.140625" style="1" customWidth="1"/>
    <col min="64" max="64" width="17.7109375" style="1" customWidth="1"/>
    <col min="65" max="66" width="17.57421875" style="1" customWidth="1"/>
    <col min="67" max="69" width="15.8515625" style="1" customWidth="1"/>
    <col min="70" max="70" width="15.28125" style="9" hidden="1" customWidth="1"/>
    <col min="71" max="71" width="12.7109375" style="18" hidden="1" customWidth="1"/>
    <col min="72" max="72" width="15.8515625" style="1" customWidth="1"/>
    <col min="73" max="73" width="15.57421875" style="9" hidden="1" customWidth="1"/>
    <col min="74" max="74" width="12.7109375" style="18" hidden="1" customWidth="1"/>
    <col min="75" max="75" width="3.140625" style="18" customWidth="1"/>
    <col min="76" max="77" width="15.8515625" style="1" customWidth="1"/>
    <col min="79" max="79" width="13.7109375" style="0" bestFit="1" customWidth="1"/>
  </cols>
  <sheetData>
    <row r="1" spans="1:77" s="18" customFormat="1" ht="105">
      <c r="A1" s="19" t="s">
        <v>1338</v>
      </c>
      <c r="B1" s="19" t="s">
        <v>1339</v>
      </c>
      <c r="C1" s="19" t="s">
        <v>1340</v>
      </c>
      <c r="D1" s="19" t="s">
        <v>1353</v>
      </c>
      <c r="E1" s="19" t="s">
        <v>1354</v>
      </c>
      <c r="F1" s="19" t="s">
        <v>1355</v>
      </c>
      <c r="G1" s="19" t="s">
        <v>1356</v>
      </c>
      <c r="H1" s="19" t="s">
        <v>1357</v>
      </c>
      <c r="I1" s="19" t="s">
        <v>1358</v>
      </c>
      <c r="J1" s="19" t="s">
        <v>1359</v>
      </c>
      <c r="K1" s="19" t="s">
        <v>1360</v>
      </c>
      <c r="L1" s="19" t="s">
        <v>1361</v>
      </c>
      <c r="M1" s="19" t="s">
        <v>1362</v>
      </c>
      <c r="N1" s="19" t="s">
        <v>1363</v>
      </c>
      <c r="O1" s="19" t="s">
        <v>1364</v>
      </c>
      <c r="P1" s="19" t="s">
        <v>1365</v>
      </c>
      <c r="Q1" s="19" t="s">
        <v>1366</v>
      </c>
      <c r="R1" s="19" t="s">
        <v>1367</v>
      </c>
      <c r="S1" s="19" t="s">
        <v>1368</v>
      </c>
      <c r="T1" s="19" t="s">
        <v>1369</v>
      </c>
      <c r="U1" s="19" t="s">
        <v>1370</v>
      </c>
      <c r="V1" s="19" t="s">
        <v>1371</v>
      </c>
      <c r="W1" s="19" t="s">
        <v>1372</v>
      </c>
      <c r="X1" s="19" t="s">
        <v>1373</v>
      </c>
      <c r="Y1" s="19" t="s">
        <v>1374</v>
      </c>
      <c r="Z1" s="20" t="s">
        <v>1375</v>
      </c>
      <c r="AA1" s="19"/>
      <c r="AB1" s="19"/>
      <c r="AC1" s="20" t="s">
        <v>1376</v>
      </c>
      <c r="AD1" s="19"/>
      <c r="AE1" s="19"/>
      <c r="AF1" s="19"/>
      <c r="AG1" s="19" t="s">
        <v>1489</v>
      </c>
      <c r="AH1" s="19" t="s">
        <v>1490</v>
      </c>
      <c r="AI1" s="19" t="s">
        <v>1377</v>
      </c>
      <c r="AJ1" s="19" t="s">
        <v>1492</v>
      </c>
      <c r="AK1" s="19" t="s">
        <v>1378</v>
      </c>
      <c r="AL1" s="19" t="s">
        <v>1379</v>
      </c>
      <c r="AM1" s="19" t="s">
        <v>1386</v>
      </c>
      <c r="AN1" s="19" t="s">
        <v>1380</v>
      </c>
      <c r="AO1" s="19" t="s">
        <v>1457</v>
      </c>
      <c r="AP1" s="19" t="s">
        <v>1458</v>
      </c>
      <c r="AQ1" s="19" t="s">
        <v>1387</v>
      </c>
      <c r="AR1" s="37" t="s">
        <v>1472</v>
      </c>
      <c r="AS1" s="37" t="s">
        <v>1473</v>
      </c>
      <c r="AT1" s="19" t="s">
        <v>1381</v>
      </c>
      <c r="AU1" s="19" t="s">
        <v>1388</v>
      </c>
      <c r="AV1" s="19" t="s">
        <v>1382</v>
      </c>
      <c r="AW1" s="19" t="s">
        <v>1389</v>
      </c>
      <c r="AX1" s="19" t="s">
        <v>1383</v>
      </c>
      <c r="AY1" s="19" t="s">
        <v>1390</v>
      </c>
      <c r="AZ1" s="19" t="s">
        <v>1384</v>
      </c>
      <c r="BA1" s="19" t="s">
        <v>1391</v>
      </c>
      <c r="BB1" s="19" t="s">
        <v>1385</v>
      </c>
      <c r="BC1" s="19" t="s">
        <v>1392</v>
      </c>
      <c r="BD1" s="19" t="s">
        <v>1455</v>
      </c>
      <c r="BE1" s="19" t="s">
        <v>1463</v>
      </c>
      <c r="BF1" s="19" t="s">
        <v>1464</v>
      </c>
      <c r="BG1" s="19" t="s">
        <v>1454</v>
      </c>
      <c r="BH1" s="19" t="s">
        <v>1394</v>
      </c>
      <c r="BI1" s="19" t="s">
        <v>1460</v>
      </c>
      <c r="BJ1" s="2" t="s">
        <v>1459</v>
      </c>
      <c r="BK1" s="2" t="s">
        <v>1460</v>
      </c>
      <c r="BL1" s="37" t="s">
        <v>1481</v>
      </c>
      <c r="BM1" s="19" t="s">
        <v>1466</v>
      </c>
      <c r="BN1" s="19" t="s">
        <v>1465</v>
      </c>
      <c r="BO1" s="19" t="s">
        <v>1434</v>
      </c>
      <c r="BP1" s="37" t="s">
        <v>1471</v>
      </c>
      <c r="BQ1" s="37" t="s">
        <v>1488</v>
      </c>
      <c r="BR1" s="19"/>
      <c r="BS1" s="19"/>
      <c r="BT1" s="19" t="s">
        <v>1393</v>
      </c>
      <c r="BU1" s="19"/>
      <c r="BV1" s="19"/>
      <c r="BW1" s="19"/>
      <c r="BX1" s="19" t="s">
        <v>1395</v>
      </c>
      <c r="BY1" s="19" t="s">
        <v>1396</v>
      </c>
    </row>
    <row r="2" spans="1:79" ht="12.75">
      <c r="A2" t="s">
        <v>635</v>
      </c>
      <c r="B2" t="s">
        <v>1</v>
      </c>
      <c r="J2"/>
      <c r="K2"/>
      <c r="L2"/>
      <c r="M2"/>
      <c r="V2"/>
      <c r="X2"/>
      <c r="Z2" s="12">
        <f>Z3+Z4</f>
        <v>60701943.01943301</v>
      </c>
      <c r="AC2" s="12">
        <f>AC3+AC4</f>
        <v>61861852.75865783</v>
      </c>
      <c r="AF2" s="51"/>
      <c r="AG2"/>
      <c r="AI2"/>
      <c r="AR2"/>
      <c r="AT2"/>
      <c r="AZ2"/>
      <c r="BB2"/>
      <c r="BD2"/>
      <c r="BE2"/>
      <c r="BF2"/>
      <c r="BH2"/>
      <c r="BI2"/>
      <c r="BJ2" s="1">
        <v>119734580.262424</v>
      </c>
      <c r="BL2"/>
      <c r="BO2"/>
      <c r="BP2"/>
      <c r="BQ2" s="1">
        <f>BQ3+BQ4</f>
        <v>74633672.906694</v>
      </c>
      <c r="BT2" s="1">
        <f>BT3+BT4</f>
        <v>52728193.91762927</v>
      </c>
      <c r="BW2" s="52"/>
      <c r="BX2" s="1">
        <f aca="true" t="shared" si="0" ref="BX2:BX65">Z2+BQ2</f>
        <v>135335615.92612702</v>
      </c>
      <c r="BY2" s="1">
        <f aca="true" t="shared" si="1" ref="BY2:BY65">AC2+BT2</f>
        <v>114590046.6762871</v>
      </c>
      <c r="CA2" s="1"/>
    </row>
    <row r="3" spans="1:77" ht="12.75">
      <c r="A3" s="3" t="s">
        <v>636</v>
      </c>
      <c r="B3" s="3" t="s">
        <v>2</v>
      </c>
      <c r="C3" s="3" t="s">
        <v>1341</v>
      </c>
      <c r="D3" s="3"/>
      <c r="E3" s="4"/>
      <c r="F3" s="4">
        <v>8846300.130122</v>
      </c>
      <c r="G3" s="4">
        <f>F3*RPI_inc</f>
        <v>9015337.712226242</v>
      </c>
      <c r="H3" s="4"/>
      <c r="I3" s="4"/>
      <c r="J3" s="4">
        <v>168037.675196</v>
      </c>
      <c r="K3" s="4">
        <f>J3*RPI_inc</f>
        <v>171248.58618700635</v>
      </c>
      <c r="L3" s="3"/>
      <c r="M3" s="4"/>
      <c r="N3" s="4"/>
      <c r="O3" s="4"/>
      <c r="P3" s="4"/>
      <c r="Q3" s="4"/>
      <c r="R3" s="4"/>
      <c r="S3" s="4"/>
      <c r="T3" s="4">
        <v>61950.162337</v>
      </c>
      <c r="U3" s="4">
        <f>T3*RPI_inc</f>
        <v>63133.92340076433</v>
      </c>
      <c r="V3" s="3"/>
      <c r="W3" s="4"/>
      <c r="X3" s="3"/>
      <c r="Y3" s="4"/>
      <c r="Z3" s="13">
        <f>D3+F3+H3+J3+L3+N3+P3+R3+T3+V3+X3</f>
        <v>9076287.967655</v>
      </c>
      <c r="AC3" s="13">
        <f>E3+G3+I3+K3+M3+O3+Q3+S3+U3+W3+Y3</f>
        <v>9249720.221814012</v>
      </c>
      <c r="AF3" s="51"/>
      <c r="AG3" s="3"/>
      <c r="AH3" s="4"/>
      <c r="AI3" s="3"/>
      <c r="AJ3" s="4"/>
      <c r="AK3" s="4"/>
      <c r="AL3" s="4">
        <v>9773204.948722</v>
      </c>
      <c r="AM3" s="4">
        <f>AL3/$AL$680*$AM$680</f>
        <v>6543568.846855384</v>
      </c>
      <c r="AN3" s="4"/>
      <c r="AO3" s="4"/>
      <c r="AP3" s="4"/>
      <c r="AQ3" s="4"/>
      <c r="AR3" s="4">
        <v>242702.808997</v>
      </c>
      <c r="AS3" s="4">
        <f>AR3/$AR$680*$AS$680</f>
        <v>237927.32135646458</v>
      </c>
      <c r="AT3" s="3"/>
      <c r="AU3" s="4"/>
      <c r="AV3" s="4"/>
      <c r="AW3" s="4"/>
      <c r="AX3" s="4">
        <v>87881.245972</v>
      </c>
      <c r="AY3" s="4">
        <f>AX3/$AX$680*$AY$680</f>
        <v>86120.6741698634</v>
      </c>
      <c r="AZ3" s="3"/>
      <c r="BA3" s="4"/>
      <c r="BB3" s="3"/>
      <c r="BC3" s="4"/>
      <c r="BD3" s="4"/>
      <c r="BE3" s="4"/>
      <c r="BF3" s="4"/>
      <c r="BG3" s="4"/>
      <c r="BH3" s="4"/>
      <c r="BI3" s="4"/>
      <c r="BJ3" s="4">
        <v>19199602.042007</v>
      </c>
      <c r="BK3" s="4"/>
      <c r="BL3" s="4"/>
      <c r="BM3" s="4"/>
      <c r="BN3" s="4"/>
      <c r="BO3" s="4">
        <v>26589.794689</v>
      </c>
      <c r="BP3" s="4"/>
      <c r="BQ3" s="4">
        <f>AG3+AI3+AL3+AN3+AP3+AR3+AT3+AV3+AX3+AZ3+BB3+BD3+BF3+BH3+BK3+BM3+BO3</f>
        <v>10130378.798379999</v>
      </c>
      <c r="BT3" s="4">
        <f>AH3+AK3+AM3+AQ3+AS3+AU3+AW3+AY3+BA3+BC3+BG3+BL3+BN3+BP3</f>
        <v>6867616.842381712</v>
      </c>
      <c r="BW3" s="52"/>
      <c r="BX3" s="4">
        <f t="shared" si="0"/>
        <v>19206666.766034998</v>
      </c>
      <c r="BY3" s="4">
        <f t="shared" si="1"/>
        <v>16117337.064195724</v>
      </c>
    </row>
    <row r="4" spans="1:77" ht="12.75">
      <c r="A4" s="5" t="s">
        <v>637</v>
      </c>
      <c r="B4" s="5" t="s">
        <v>3</v>
      </c>
      <c r="C4" s="5" t="s">
        <v>1341</v>
      </c>
      <c r="D4" s="6">
        <v>43038082.130196</v>
      </c>
      <c r="E4" s="6">
        <f>D4*RPI_inc</f>
        <v>43860465.86516789</v>
      </c>
      <c r="F4" s="6"/>
      <c r="G4" s="6"/>
      <c r="H4" s="6"/>
      <c r="I4" s="6"/>
      <c r="J4" s="6">
        <v>860654.245777</v>
      </c>
      <c r="K4" s="6">
        <f>J4*RPI_inc</f>
        <v>877099.8683077707</v>
      </c>
      <c r="L4" s="6">
        <v>4454937.035775</v>
      </c>
      <c r="M4" s="6">
        <f>L4*RPI_inc</f>
        <v>4540063.221171975</v>
      </c>
      <c r="N4" s="6"/>
      <c r="O4" s="6"/>
      <c r="P4" s="6"/>
      <c r="Q4" s="6"/>
      <c r="R4" s="6"/>
      <c r="S4" s="6"/>
      <c r="T4" s="6"/>
      <c r="U4" s="6"/>
      <c r="V4" s="6">
        <v>48792.162412</v>
      </c>
      <c r="W4" s="6">
        <f>V4*RPI_inc</f>
        <v>49724.496725605095</v>
      </c>
      <c r="X4" s="6">
        <v>3223189.477618</v>
      </c>
      <c r="Y4" s="6">
        <f>X4*RPI_inc</f>
        <v>3284779.085470573</v>
      </c>
      <c r="Z4" s="14">
        <f>D4+F4+H4+J4+L4+N4+P4+R4+T4+V4+X4</f>
        <v>51625655.051778</v>
      </c>
      <c r="AC4" s="14">
        <f>E4+G4+I4+K4+M4+O4+Q4+S4+U4+W4+Y4</f>
        <v>52612132.536843814</v>
      </c>
      <c r="AF4" s="51"/>
      <c r="AG4" s="6">
        <v>1214032</v>
      </c>
      <c r="AH4" s="6">
        <f>AG4/$AG$680*$AH$680</f>
        <v>914081.713943091</v>
      </c>
      <c r="AI4" s="6">
        <v>51424552.24712</v>
      </c>
      <c r="AJ4" s="6">
        <f>AI4/$AI$680*$AJ$680</f>
        <v>35248992.19416465</v>
      </c>
      <c r="AK4" s="6">
        <f>AJ4-AH4</f>
        <v>34334910.480221555</v>
      </c>
      <c r="AL4" s="6"/>
      <c r="AM4" s="6"/>
      <c r="AN4" s="6"/>
      <c r="AO4" s="6"/>
      <c r="AP4" s="6"/>
      <c r="AQ4" s="6"/>
      <c r="AR4" s="6">
        <v>1243073.630844</v>
      </c>
      <c r="AS4" s="6">
        <f>AR4/$AR$680*$AS$680</f>
        <v>1218614.5700490163</v>
      </c>
      <c r="AT4" s="6">
        <v>5635129.237473</v>
      </c>
      <c r="AU4" s="6">
        <f>AT4/$AT$680*$AU$680</f>
        <v>4650692.203755893</v>
      </c>
      <c r="AV4" s="6"/>
      <c r="AW4" s="6"/>
      <c r="AX4" s="6"/>
      <c r="AY4" s="6"/>
      <c r="AZ4" s="6">
        <v>69215.573838</v>
      </c>
      <c r="BA4" s="6">
        <f>AZ4/$AZ$680*$BA$680</f>
        <v>67828.94018084787</v>
      </c>
      <c r="BB4" s="6">
        <v>4766049.460497</v>
      </c>
      <c r="BC4" s="6">
        <f>BB4/$BB$680*$BC$680</f>
        <v>4674449.167097157</v>
      </c>
      <c r="BD4" s="6"/>
      <c r="BE4" s="6"/>
      <c r="BF4" s="6"/>
      <c r="BG4" s="6"/>
      <c r="BH4" s="6"/>
      <c r="BI4" s="6"/>
      <c r="BJ4" s="6">
        <v>100534978.220417</v>
      </c>
      <c r="BK4" s="6"/>
      <c r="BL4" s="6"/>
      <c r="BM4" s="6"/>
      <c r="BN4" s="6"/>
      <c r="BO4" s="6">
        <v>151241.958542</v>
      </c>
      <c r="BP4" s="6"/>
      <c r="BQ4" s="6">
        <f>AG4+AI4+AL4+AN4+AP4+AR4+AT4+AV4+AX4+AZ4+BB4+BD4+BF4+BH4+BK4+BM4+BO4</f>
        <v>64503294.108314</v>
      </c>
      <c r="BT4" s="6">
        <f>AH4+AK4+AM4+AQ4+AS4+AU4+AW4+AY4+BA4+BC4+BG4+BL4+BN4+BP4</f>
        <v>45860577.07524756</v>
      </c>
      <c r="BW4" s="52"/>
      <c r="BX4" s="6">
        <f t="shared" si="0"/>
        <v>116128949.160092</v>
      </c>
      <c r="BY4" s="6">
        <f t="shared" si="1"/>
        <v>98472709.61209138</v>
      </c>
    </row>
    <row r="5" spans="1:77" ht="12.75">
      <c r="A5" t="s">
        <v>638</v>
      </c>
      <c r="B5" t="s">
        <v>4</v>
      </c>
      <c r="J5"/>
      <c r="K5"/>
      <c r="L5"/>
      <c r="M5"/>
      <c r="V5"/>
      <c r="X5"/>
      <c r="Z5" s="12">
        <f>Z6+Z7</f>
        <v>32069634.624929003</v>
      </c>
      <c r="AC5" s="12">
        <f>AC6+AC7</f>
        <v>32682430.19101045</v>
      </c>
      <c r="AF5" s="51"/>
      <c r="AG5"/>
      <c r="AI5"/>
      <c r="AR5"/>
      <c r="AT5"/>
      <c r="AZ5"/>
      <c r="BB5"/>
      <c r="BD5"/>
      <c r="BE5"/>
      <c r="BF5"/>
      <c r="BH5"/>
      <c r="BI5">
        <v>773740</v>
      </c>
      <c r="BJ5" s="1">
        <v>60199618.545768</v>
      </c>
      <c r="BL5"/>
      <c r="BO5"/>
      <c r="BP5"/>
      <c r="BQ5" s="1">
        <f>BQ6+BQ7</f>
        <v>40344791.073696</v>
      </c>
      <c r="BT5" s="1">
        <f>BT6+BT7</f>
        <v>28916577.319959104</v>
      </c>
      <c r="BW5" s="52"/>
      <c r="BX5" s="1">
        <f t="shared" si="0"/>
        <v>72414425.698625</v>
      </c>
      <c r="BY5" s="1">
        <f t="shared" si="1"/>
        <v>61599007.51096955</v>
      </c>
    </row>
    <row r="6" spans="1:77" ht="12.75">
      <c r="A6" s="3" t="s">
        <v>639</v>
      </c>
      <c r="B6" s="3" t="s">
        <v>5</v>
      </c>
      <c r="C6" s="3" t="s">
        <v>1341</v>
      </c>
      <c r="D6" s="3"/>
      <c r="E6" s="4"/>
      <c r="F6" s="4">
        <v>4947901.273656</v>
      </c>
      <c r="G6" s="4">
        <f>F6*RPI_inc</f>
        <v>5042447.157865988</v>
      </c>
      <c r="H6" s="4"/>
      <c r="I6" s="4"/>
      <c r="J6" s="4">
        <v>139608.201075</v>
      </c>
      <c r="K6" s="4">
        <f>J6*RPI_inc</f>
        <v>142275.87370700637</v>
      </c>
      <c r="L6" s="3"/>
      <c r="M6" s="4"/>
      <c r="N6" s="4"/>
      <c r="O6" s="4"/>
      <c r="P6" s="4"/>
      <c r="Q6" s="4"/>
      <c r="R6" s="4"/>
      <c r="S6" s="4"/>
      <c r="T6" s="4">
        <v>188709.593689</v>
      </c>
      <c r="U6" s="4">
        <f>T6*RPI_inc</f>
        <v>192315.50949197452</v>
      </c>
      <c r="V6" s="3"/>
      <c r="W6" s="4"/>
      <c r="X6" s="3"/>
      <c r="Y6" s="4"/>
      <c r="Z6" s="13">
        <f>D6+F6+H6+J6+L6+N6+P6+R6+T6+V6+X6</f>
        <v>5276219.06842</v>
      </c>
      <c r="AC6" s="13">
        <f>E6+G6+I6+K6+M6+O6+Q6+S6+U6+W6+Y6</f>
        <v>5377038.541064969</v>
      </c>
      <c r="AF6" s="51"/>
      <c r="AG6" s="3"/>
      <c r="AH6" s="4"/>
      <c r="AI6" s="3"/>
      <c r="AJ6" s="4"/>
      <c r="AK6" s="4"/>
      <c r="AL6" s="4">
        <v>5466336.491211</v>
      </c>
      <c r="AM6" s="4">
        <f>AL6/$AL$680*$AM$680</f>
        <v>3659940.5576769854</v>
      </c>
      <c r="AN6" s="4"/>
      <c r="AO6" s="4"/>
      <c r="AP6" s="4"/>
      <c r="AQ6" s="4"/>
      <c r="AR6" s="4">
        <v>201641.105308</v>
      </c>
      <c r="AS6" s="4">
        <f>AR6/$AR$680*$AS$680</f>
        <v>197673.55911353405</v>
      </c>
      <c r="AT6" s="3"/>
      <c r="AU6" s="4"/>
      <c r="AV6" s="4"/>
      <c r="AW6" s="4"/>
      <c r="AX6" s="4">
        <v>267699.608761</v>
      </c>
      <c r="AY6" s="4">
        <f>AX6/$AX$680*$AY$680</f>
        <v>262336.63993397873</v>
      </c>
      <c r="AZ6" s="3"/>
      <c r="BA6" s="4"/>
      <c r="BB6" s="3"/>
      <c r="BC6" s="4"/>
      <c r="BD6" s="4"/>
      <c r="BE6" s="4"/>
      <c r="BF6" s="4"/>
      <c r="BG6" s="4"/>
      <c r="BH6" s="4"/>
      <c r="BI6" s="4"/>
      <c r="BJ6" s="4">
        <v>10387694.765135</v>
      </c>
      <c r="BK6" s="4">
        <f>BJ6/BJ5*BI5</f>
        <v>133512.05774609643</v>
      </c>
      <c r="BL6" s="4">
        <f>BH6+BK6</f>
        <v>133512.05774609643</v>
      </c>
      <c r="BM6" s="4"/>
      <c r="BN6" s="4"/>
      <c r="BO6" s="4">
        <v>15457.154099</v>
      </c>
      <c r="BP6" s="4"/>
      <c r="BQ6" s="4">
        <f>AG6+AI6+AL6+AN6+AP6+AR6+AT6+AV6+AX6+AZ6+BB6+BD6+BF6+BH6+BK6+BM6+BO6</f>
        <v>6084646.417125097</v>
      </c>
      <c r="BT6" s="4">
        <f>AJ6+AM6+AQ6+AS6+AU6+AW6+AY6+BA6+BC6+BG6+BL6+BN6+BP6</f>
        <v>4253462.814470595</v>
      </c>
      <c r="BW6" s="52"/>
      <c r="BX6" s="4">
        <f t="shared" si="0"/>
        <v>11360865.485545097</v>
      </c>
      <c r="BY6" s="4">
        <f t="shared" si="1"/>
        <v>9630501.355535563</v>
      </c>
    </row>
    <row r="7" spans="1:77" ht="12.75">
      <c r="A7" s="5" t="s">
        <v>640</v>
      </c>
      <c r="B7" s="5" t="s">
        <v>6</v>
      </c>
      <c r="C7" s="5" t="s">
        <v>1341</v>
      </c>
      <c r="D7" s="6">
        <v>21898043.237566</v>
      </c>
      <c r="E7" s="6">
        <f>D7*RPI_inc</f>
        <v>22316477.18478064</v>
      </c>
      <c r="F7" s="6"/>
      <c r="G7" s="6"/>
      <c r="H7" s="6"/>
      <c r="I7" s="6"/>
      <c r="J7" s="6">
        <v>628880.168031</v>
      </c>
      <c r="K7" s="6">
        <f>J7*RPI_inc</f>
        <v>640896.9865284075</v>
      </c>
      <c r="L7" s="6">
        <v>2429133.266391</v>
      </c>
      <c r="M7" s="6">
        <f>L7*RPI_inc</f>
        <v>2475549.825621401</v>
      </c>
      <c r="N7" s="6"/>
      <c r="O7" s="6"/>
      <c r="P7" s="6"/>
      <c r="Q7" s="6"/>
      <c r="R7" s="6"/>
      <c r="S7" s="6"/>
      <c r="T7" s="6"/>
      <c r="U7" s="6"/>
      <c r="V7" s="6">
        <v>49484.538673</v>
      </c>
      <c r="W7" s="6">
        <f>V7*RPI_inc</f>
        <v>50430.103106242044</v>
      </c>
      <c r="X7" s="6">
        <v>1787874.345848</v>
      </c>
      <c r="Y7" s="6">
        <f>X7*RPI_inc</f>
        <v>1822037.5499087898</v>
      </c>
      <c r="Z7" s="14">
        <f>D7+F7+H7+J7+L7+N7+P7+R7+T7+V7+X7</f>
        <v>26793415.556509003</v>
      </c>
      <c r="AC7" s="14">
        <f>E7+G7+I7+K7+M7+O7+Q7+S7+U7+W7+Y7</f>
        <v>27305391.64994548</v>
      </c>
      <c r="AF7" s="51"/>
      <c r="AG7" s="6">
        <v>681441</v>
      </c>
      <c r="AH7" s="6">
        <f>AG7/$AG$680*$AH$680</f>
        <v>513077.7090151609</v>
      </c>
      <c r="AI7" s="6">
        <v>26165131.270797</v>
      </c>
      <c r="AJ7" s="6">
        <f>AI7/$AI$680*$AJ$680</f>
        <v>17934905.94709591</v>
      </c>
      <c r="AK7" s="6">
        <f>AJ7-AH7</f>
        <v>17421828.238080747</v>
      </c>
      <c r="AL7" s="6"/>
      <c r="AM7" s="6"/>
      <c r="AN7" s="6"/>
      <c r="AO7" s="6"/>
      <c r="AP7" s="6"/>
      <c r="AQ7" s="6"/>
      <c r="AR7" s="6">
        <v>908314.061862</v>
      </c>
      <c r="AS7" s="6">
        <f>AR7/$AR$680*$AS$680</f>
        <v>890441.8229947519</v>
      </c>
      <c r="AT7" s="6">
        <v>3072653.95251</v>
      </c>
      <c r="AU7" s="6">
        <f>AT7/$AT$680*$AU$680</f>
        <v>2535872.2363901166</v>
      </c>
      <c r="AV7" s="6"/>
      <c r="AW7" s="6"/>
      <c r="AX7" s="6"/>
      <c r="AY7" s="6"/>
      <c r="AZ7" s="6">
        <v>70197.764786</v>
      </c>
      <c r="BA7" s="6">
        <f>AZ7/$AZ$680*$BA$680</f>
        <v>68791.45435741151</v>
      </c>
      <c r="BB7" s="6">
        <v>2643684.965043</v>
      </c>
      <c r="BC7" s="6">
        <f>BB7/$BB$680*$BC$680</f>
        <v>2592875.102396413</v>
      </c>
      <c r="BD7" s="6"/>
      <c r="BE7" s="6"/>
      <c r="BF7" s="6"/>
      <c r="BG7" s="6"/>
      <c r="BH7" s="6"/>
      <c r="BI7" s="6"/>
      <c r="BJ7" s="6">
        <v>49811923.780633</v>
      </c>
      <c r="BK7" s="6">
        <f>BJ7/BJ5*BI5</f>
        <v>640227.9422539036</v>
      </c>
      <c r="BL7" s="6">
        <f>BH7+BK7</f>
        <v>640227.9422539036</v>
      </c>
      <c r="BM7" s="6"/>
      <c r="BN7" s="6"/>
      <c r="BO7" s="6">
        <v>78493.699319</v>
      </c>
      <c r="BP7" s="6"/>
      <c r="BQ7" s="6">
        <f>AG7+AI7+AL7+AN7+AP7+AR7+AT7+AV7+AX7+AZ7+BB7+BD7+BF7+BH7+BK7+BM7+BO7</f>
        <v>34260144.656570904</v>
      </c>
      <c r="BT7" s="6">
        <f>AJ7+AM7+AQ7+AS7+AU7+AW7+AY7+BA7+BC7+BG7+BL7+BN7+BP7</f>
        <v>24663114.505488507</v>
      </c>
      <c r="BW7" s="52"/>
      <c r="BX7" s="6">
        <f t="shared" si="0"/>
        <v>61053560.21307991</v>
      </c>
      <c r="BY7" s="6">
        <f t="shared" si="1"/>
        <v>51968506.15543398</v>
      </c>
    </row>
    <row r="8" spans="1:77" ht="12.75">
      <c r="A8" t="s">
        <v>641</v>
      </c>
      <c r="B8" t="s">
        <v>7</v>
      </c>
      <c r="J8"/>
      <c r="K8"/>
      <c r="L8"/>
      <c r="M8"/>
      <c r="V8"/>
      <c r="X8"/>
      <c r="Z8" s="12">
        <f>Z9+Z10</f>
        <v>159210634.252532</v>
      </c>
      <c r="AC8" s="12">
        <f>AC9+AC10</f>
        <v>162252875.67137018</v>
      </c>
      <c r="AF8" s="51"/>
      <c r="AG8"/>
      <c r="AI8"/>
      <c r="AR8"/>
      <c r="AT8"/>
      <c r="AZ8"/>
      <c r="BB8"/>
      <c r="BD8"/>
      <c r="BE8"/>
      <c r="BF8"/>
      <c r="BH8"/>
      <c r="BI8">
        <v>1524478</v>
      </c>
      <c r="BJ8" s="1">
        <v>321574253.246482</v>
      </c>
      <c r="BL8"/>
      <c r="BO8"/>
      <c r="BP8"/>
      <c r="BQ8" s="1">
        <f>BQ9+BQ10</f>
        <v>196078817.22633198</v>
      </c>
      <c r="BT8" s="1">
        <f>BT9+BT10</f>
        <v>137024230.46719083</v>
      </c>
      <c r="BW8" s="52"/>
      <c r="BX8" s="1">
        <f t="shared" si="0"/>
        <v>355289451.47886395</v>
      </c>
      <c r="BY8" s="1">
        <f t="shared" si="1"/>
        <v>299277106.138561</v>
      </c>
    </row>
    <row r="9" spans="1:77" ht="12.75">
      <c r="A9" s="3" t="s">
        <v>642</v>
      </c>
      <c r="B9" s="3" t="s">
        <v>8</v>
      </c>
      <c r="C9" s="3" t="s">
        <v>1341</v>
      </c>
      <c r="D9" s="3"/>
      <c r="E9" s="4"/>
      <c r="F9" s="4">
        <v>25119743.916189</v>
      </c>
      <c r="G9" s="4">
        <f>F9*RPI_inc</f>
        <v>25599739.02286777</v>
      </c>
      <c r="H9" s="4"/>
      <c r="I9" s="4"/>
      <c r="J9" s="4">
        <v>241639.505589</v>
      </c>
      <c r="K9" s="4">
        <f>J9*RPI_inc</f>
        <v>246256.82098242038</v>
      </c>
      <c r="L9" s="3"/>
      <c r="M9" s="4"/>
      <c r="N9" s="4"/>
      <c r="O9" s="4"/>
      <c r="P9" s="4"/>
      <c r="Q9" s="4"/>
      <c r="R9" s="4"/>
      <c r="S9" s="4"/>
      <c r="T9" s="4">
        <v>489813.847709</v>
      </c>
      <c r="U9" s="4">
        <f>T9*RPI_inc</f>
        <v>499173.3479836943</v>
      </c>
      <c r="V9" s="3"/>
      <c r="W9" s="4"/>
      <c r="X9" s="3"/>
      <c r="Y9" s="4"/>
      <c r="Z9" s="13">
        <f>D9+F9+H9+J9+L9+N9+P9+R9+T9+V9+X9</f>
        <v>25851197.269487</v>
      </c>
      <c r="AC9" s="13">
        <f>E9+G9+I9+K9+M9+O9+Q9+S9+U9+W9+Y9</f>
        <v>26345169.191833884</v>
      </c>
      <c r="AF9" s="51"/>
      <c r="AG9" s="3"/>
      <c r="AH9" s="4"/>
      <c r="AI9" s="3"/>
      <c r="AJ9" s="4"/>
      <c r="AK9" s="4"/>
      <c r="AL9" s="4">
        <v>27751760.842525</v>
      </c>
      <c r="AM9" s="4">
        <f>AL9/$AL$680*$AM$680</f>
        <v>18580962.81079977</v>
      </c>
      <c r="AN9" s="4"/>
      <c r="AO9" s="4"/>
      <c r="AP9" s="4"/>
      <c r="AQ9" s="4"/>
      <c r="AR9" s="4">
        <v>349008.558364</v>
      </c>
      <c r="AS9" s="4">
        <f>AR9/$AR$680*$AS$680</f>
        <v>342141.3693776172</v>
      </c>
      <c r="AT9" s="3"/>
      <c r="AU9" s="4"/>
      <c r="AV9" s="4"/>
      <c r="AW9" s="4"/>
      <c r="AX9" s="4">
        <v>694840.006988</v>
      </c>
      <c r="AY9" s="4">
        <f>AX9/$AX$680*$AY$680</f>
        <v>680919.9070876271</v>
      </c>
      <c r="AZ9" s="3"/>
      <c r="BA9" s="4"/>
      <c r="BB9" s="3"/>
      <c r="BC9" s="4"/>
      <c r="BD9" s="4"/>
      <c r="BE9" s="4"/>
      <c r="BF9" s="4"/>
      <c r="BG9" s="4"/>
      <c r="BH9" s="4"/>
      <c r="BI9" s="4"/>
      <c r="BJ9" s="4">
        <v>54873729.163295</v>
      </c>
      <c r="BK9" s="4">
        <f>BJ9/BJ8*BI8</f>
        <v>260138.34143395245</v>
      </c>
      <c r="BL9" s="4">
        <f>BH9+BK9</f>
        <v>260138.34143395245</v>
      </c>
      <c r="BM9" s="4"/>
      <c r="BN9" s="4"/>
      <c r="BO9" s="4">
        <v>75733.386855</v>
      </c>
      <c r="BP9" s="4"/>
      <c r="BQ9" s="4">
        <f>AG9+AI9+AL9+AN9+AP9+AR9+AT9+AV9+AX9+AZ9+BB9+BD9+BF9+BH9+BK9+BM9+BO9</f>
        <v>29131481.136165954</v>
      </c>
      <c r="BT9" s="4">
        <f>AJ9+AM9+AQ9+AS9+AU9+AW9+AY9+BA9+BC9+BG9+BL9+BN9+BP9</f>
        <v>19864162.42869897</v>
      </c>
      <c r="BW9" s="52"/>
      <c r="BX9" s="4">
        <f t="shared" si="0"/>
        <v>54982678.405652955</v>
      </c>
      <c r="BY9" s="4">
        <f t="shared" si="1"/>
        <v>46209331.620532855</v>
      </c>
    </row>
    <row r="10" spans="1:77" ht="12.75">
      <c r="A10" s="5" t="s">
        <v>643</v>
      </c>
      <c r="B10" s="5" t="s">
        <v>9</v>
      </c>
      <c r="C10" s="5" t="s">
        <v>1341</v>
      </c>
      <c r="D10" s="6">
        <v>116952833.403323</v>
      </c>
      <c r="E10" s="6">
        <f>D10*RPI_inc</f>
        <v>119187600.92058395</v>
      </c>
      <c r="F10" s="6"/>
      <c r="G10" s="6"/>
      <c r="H10" s="6"/>
      <c r="I10" s="6"/>
      <c r="J10" s="6">
        <v>1184730.124886</v>
      </c>
      <c r="K10" s="6">
        <f>J10*RPI_inc</f>
        <v>1207368.2801385988</v>
      </c>
      <c r="L10" s="6">
        <v>8960145.953837</v>
      </c>
      <c r="M10" s="6">
        <f>L10*RPI_inc</f>
        <v>9131358.933846625</v>
      </c>
      <c r="N10" s="6"/>
      <c r="O10" s="6"/>
      <c r="P10" s="6"/>
      <c r="Q10" s="6"/>
      <c r="R10" s="6"/>
      <c r="S10" s="6"/>
      <c r="T10" s="6"/>
      <c r="U10" s="6"/>
      <c r="V10" s="6">
        <v>54494.084563</v>
      </c>
      <c r="W10" s="6">
        <f>V10*RPI_inc</f>
        <v>55535.37280305732</v>
      </c>
      <c r="X10" s="6">
        <v>6207233.416436</v>
      </c>
      <c r="Y10" s="6">
        <f>X10*RPI_inc</f>
        <v>6325842.972164076</v>
      </c>
      <c r="Z10" s="14">
        <f>D10+F10+H10+J10+L10+N10+P10+R10+T10+V10+X10</f>
        <v>133359436.98304501</v>
      </c>
      <c r="AC10" s="14">
        <f>E10+G10+I10+K10+M10+O10+Q10+S10+U10+W10+Y10</f>
        <v>135907706.4795363</v>
      </c>
      <c r="AF10" s="51"/>
      <c r="AG10" s="6">
        <v>3249076</v>
      </c>
      <c r="AH10" s="6">
        <f>AG10/$AG$680*$AH$680</f>
        <v>2446328.3989312984</v>
      </c>
      <c r="AI10" s="6">
        <v>139742451.199473</v>
      </c>
      <c r="AJ10" s="6">
        <f>AI10/$AI$680*$AJ$680</f>
        <v>95786552.45947276</v>
      </c>
      <c r="AK10" s="6">
        <f>AJ10-AH10</f>
        <v>93340224.06054147</v>
      </c>
      <c r="AL10" s="6"/>
      <c r="AM10" s="6"/>
      <c r="AN10" s="6"/>
      <c r="AO10" s="6"/>
      <c r="AP10" s="6"/>
      <c r="AQ10" s="6"/>
      <c r="AR10" s="6">
        <v>1711147.984384</v>
      </c>
      <c r="AS10" s="6">
        <f>AR10/$AR$680*$AS$680</f>
        <v>1677478.9630639632</v>
      </c>
      <c r="AT10" s="6">
        <v>11333848.274626</v>
      </c>
      <c r="AU10" s="6">
        <f>AT10/$AT$680*$AU$680</f>
        <v>9353865.295375645</v>
      </c>
      <c r="AV10" s="6"/>
      <c r="AW10" s="6"/>
      <c r="AX10" s="6"/>
      <c r="AY10" s="6"/>
      <c r="AZ10" s="6">
        <v>77304.205171</v>
      </c>
      <c r="BA10" s="6">
        <f>AZ10/$AZ$680*$BA$680</f>
        <v>75755.52751385325</v>
      </c>
      <c r="BB10" s="6">
        <v>9178480.409239</v>
      </c>
      <c r="BC10" s="6">
        <f>BB10/$BB$680*$BC$680</f>
        <v>9002076.134499615</v>
      </c>
      <c r="BD10" s="6"/>
      <c r="BE10" s="6"/>
      <c r="BF10" s="6"/>
      <c r="BG10" s="6"/>
      <c r="BH10" s="6"/>
      <c r="BI10" s="6"/>
      <c r="BJ10" s="6">
        <v>266700524.083187</v>
      </c>
      <c r="BK10" s="6">
        <f>BJ10/BJ8*BI8</f>
        <v>1264339.6585660474</v>
      </c>
      <c r="BL10" s="6">
        <f>BH10+BK10</f>
        <v>1264339.6585660474</v>
      </c>
      <c r="BM10" s="6"/>
      <c r="BN10" s="6"/>
      <c r="BO10" s="6">
        <v>390688.358707</v>
      </c>
      <c r="BP10" s="6"/>
      <c r="BQ10" s="6">
        <f>AG10+AI10+AL10+AN10+AP10+AR10+AT10+AV10+AX10+AZ10+BB10+BD10+BF10+BH10+BK10+BM10+BO10</f>
        <v>166947336.09016603</v>
      </c>
      <c r="BT10" s="6">
        <f>AJ10+AM10+AQ10+AS10+AU10+AW10+AY10+BA10+BC10+BG10+BL10+BN10+BP10</f>
        <v>117160068.03849187</v>
      </c>
      <c r="BW10" s="52"/>
      <c r="BX10" s="6">
        <f t="shared" si="0"/>
        <v>300306773.0732111</v>
      </c>
      <c r="BY10" s="6">
        <f t="shared" si="1"/>
        <v>253067774.51802817</v>
      </c>
    </row>
    <row r="11" spans="1:77" ht="12.75">
      <c r="A11" t="s">
        <v>644</v>
      </c>
      <c r="B11" t="s">
        <v>10</v>
      </c>
      <c r="J11"/>
      <c r="K11"/>
      <c r="L11"/>
      <c r="M11"/>
      <c r="V11"/>
      <c r="X11"/>
      <c r="Z11" s="12">
        <f>Z12+Z13</f>
        <v>57704085.71926001</v>
      </c>
      <c r="AC11" s="12">
        <f>AC12+AC13</f>
        <v>58806711.56102929</v>
      </c>
      <c r="AF11" s="51"/>
      <c r="AG11"/>
      <c r="AI11"/>
      <c r="AR11"/>
      <c r="AT11"/>
      <c r="AZ11"/>
      <c r="BB11"/>
      <c r="BD11"/>
      <c r="BE11"/>
      <c r="BF11"/>
      <c r="BH11"/>
      <c r="BI11">
        <v>866269</v>
      </c>
      <c r="BJ11" s="1">
        <v>111045681.222424</v>
      </c>
      <c r="BL11"/>
      <c r="BO11"/>
      <c r="BP11"/>
      <c r="BQ11" s="1">
        <f>BQ12+BQ13</f>
        <v>71422868.69388801</v>
      </c>
      <c r="BT11" s="1">
        <f>BT12+BT13</f>
        <v>50400642.08672391</v>
      </c>
      <c r="BW11" s="52"/>
      <c r="BX11" s="1">
        <f t="shared" si="0"/>
        <v>129126954.41314802</v>
      </c>
      <c r="BY11" s="1">
        <f t="shared" si="1"/>
        <v>109207353.64775321</v>
      </c>
    </row>
    <row r="12" spans="1:77" ht="12.75">
      <c r="A12" s="3" t="s">
        <v>645</v>
      </c>
      <c r="B12" s="3" t="s">
        <v>11</v>
      </c>
      <c r="C12" s="3" t="s">
        <v>1341</v>
      </c>
      <c r="D12" s="3"/>
      <c r="E12" s="4"/>
      <c r="F12" s="4">
        <v>8334351.010154</v>
      </c>
      <c r="G12" s="4">
        <f>F12*RPI_inc</f>
        <v>8493606.124997707</v>
      </c>
      <c r="H12" s="4"/>
      <c r="I12" s="4"/>
      <c r="J12" s="4">
        <v>134249.762796</v>
      </c>
      <c r="K12" s="4">
        <f>J12*RPI_inc</f>
        <v>136815.0448876433</v>
      </c>
      <c r="L12" s="3"/>
      <c r="M12" s="4"/>
      <c r="N12" s="4"/>
      <c r="O12" s="4"/>
      <c r="P12" s="4"/>
      <c r="Q12" s="4"/>
      <c r="R12" s="4"/>
      <c r="S12" s="4"/>
      <c r="T12" s="4">
        <v>33358.280988</v>
      </c>
      <c r="U12" s="4">
        <f>T12*RPI_inc</f>
        <v>33995.700369936305</v>
      </c>
      <c r="V12" s="3"/>
      <c r="W12" s="4"/>
      <c r="X12" s="3"/>
      <c r="Y12" s="4"/>
      <c r="Z12" s="13">
        <f>D12+F12+H12+J12+L12+N12+P12+R12+T12+V12+X12</f>
        <v>8501959.053938</v>
      </c>
      <c r="AC12" s="13">
        <f>E12+G12+I12+K12+M12+O12+Q12+S12+U12+W12+Y12</f>
        <v>8664416.870255286</v>
      </c>
      <c r="AF12" s="51"/>
      <c r="AG12" s="3"/>
      <c r="AH12" s="4"/>
      <c r="AI12" s="3"/>
      <c r="AJ12" s="4"/>
      <c r="AK12" s="4"/>
      <c r="AL12" s="4">
        <v>9207614.408138</v>
      </c>
      <c r="AM12" s="4">
        <f>AL12/$AL$680*$AM$680</f>
        <v>6164882.360604472</v>
      </c>
      <c r="AN12" s="4"/>
      <c r="AO12" s="4"/>
      <c r="AP12" s="4"/>
      <c r="AQ12" s="4"/>
      <c r="AR12" s="4">
        <v>193901.72174</v>
      </c>
      <c r="AS12" s="4">
        <f>AR12/$AR$680*$AS$680</f>
        <v>190086.45779857875</v>
      </c>
      <c r="AT12" s="3"/>
      <c r="AU12" s="4"/>
      <c r="AV12" s="4"/>
      <c r="AW12" s="4"/>
      <c r="AX12" s="4">
        <v>47321.381996</v>
      </c>
      <c r="AY12" s="4">
        <f>AX12/$AX$680*$AY$680</f>
        <v>46373.36754924492</v>
      </c>
      <c r="AZ12" s="3"/>
      <c r="BA12" s="4"/>
      <c r="BB12" s="3"/>
      <c r="BC12" s="4"/>
      <c r="BD12" s="4"/>
      <c r="BE12" s="4"/>
      <c r="BF12" s="4"/>
      <c r="BG12" s="4"/>
      <c r="BH12" s="4"/>
      <c r="BI12" s="4"/>
      <c r="BJ12" s="4">
        <v>17388584.475726</v>
      </c>
      <c r="BK12" s="4">
        <f>BJ12/BJ11*BI11</f>
        <v>135648.60442461676</v>
      </c>
      <c r="BL12" s="4">
        <f>BH12+BK12</f>
        <v>135648.60442461676</v>
      </c>
      <c r="BM12" s="4"/>
      <c r="BN12" s="4"/>
      <c r="BO12" s="4">
        <v>24907.246939</v>
      </c>
      <c r="BP12" s="4"/>
      <c r="BQ12" s="4">
        <f>AG12+AI12+AL12+AN12+AP12+AR12+AT12+AV12+AX12+AZ12+BB12+BD12+BF12+BH12+BK12+BM12+BO12</f>
        <v>9609393.363237616</v>
      </c>
      <c r="BT12" s="4">
        <f>AJ12+AM12+AQ12+AS12+AU12+AW12+AY12+BA12+BC12+BG12+BL12+BN12+BP12</f>
        <v>6536990.790376913</v>
      </c>
      <c r="BW12" s="52"/>
      <c r="BX12" s="4">
        <f t="shared" si="0"/>
        <v>18111352.417175613</v>
      </c>
      <c r="BY12" s="4">
        <f t="shared" si="1"/>
        <v>15201407.660632199</v>
      </c>
    </row>
    <row r="13" spans="1:77" ht="12.75">
      <c r="A13" s="5" t="s">
        <v>646</v>
      </c>
      <c r="B13" s="5" t="s">
        <v>12</v>
      </c>
      <c r="C13" s="5" t="s">
        <v>1341</v>
      </c>
      <c r="D13" s="6">
        <v>41911098.258091</v>
      </c>
      <c r="E13" s="6">
        <f>D13*RPI_inc</f>
        <v>42711947.2693921</v>
      </c>
      <c r="F13" s="6"/>
      <c r="G13" s="6"/>
      <c r="H13" s="6"/>
      <c r="I13" s="6"/>
      <c r="J13" s="6">
        <v>729149.951485</v>
      </c>
      <c r="K13" s="6">
        <f>J13*RPI_inc</f>
        <v>743082.7531057325</v>
      </c>
      <c r="L13" s="6">
        <v>4279434.044554</v>
      </c>
      <c r="M13" s="6">
        <f>L13*RPI_inc</f>
        <v>4361206.669609171</v>
      </c>
      <c r="N13" s="6"/>
      <c r="O13" s="6"/>
      <c r="P13" s="6"/>
      <c r="Q13" s="6"/>
      <c r="R13" s="6"/>
      <c r="S13" s="6"/>
      <c r="T13" s="6"/>
      <c r="U13" s="6"/>
      <c r="V13" s="6">
        <v>49280.898596</v>
      </c>
      <c r="W13" s="6">
        <f>V13*RPI_inc</f>
        <v>50222.571817579614</v>
      </c>
      <c r="X13" s="6">
        <v>2233163.512596</v>
      </c>
      <c r="Y13" s="6">
        <f>X13*RPI_inc</f>
        <v>2275835.4268494267</v>
      </c>
      <c r="Z13" s="14">
        <f>D13+F13+H13+J13+L13+N13+P13+R13+T13+V13+X13</f>
        <v>49202126.665322006</v>
      </c>
      <c r="AC13" s="14">
        <f>E13+G13+I13+K13+M13+O13+Q13+S13+U13+W13+Y13</f>
        <v>50142294.69077401</v>
      </c>
      <c r="AF13" s="51"/>
      <c r="AG13" s="6">
        <v>1022449</v>
      </c>
      <c r="AH13" s="6">
        <f>AG13/$AG$680*$AH$680</f>
        <v>769833.0310398734</v>
      </c>
      <c r="AI13" s="6">
        <v>50077962.479542</v>
      </c>
      <c r="AJ13" s="6">
        <f>AI13/$AI$680*$AJ$680</f>
        <v>34325971.3776099</v>
      </c>
      <c r="AK13" s="6">
        <f>AJ13-AH13</f>
        <v>33556138.34657003</v>
      </c>
      <c r="AL13" s="6"/>
      <c r="AM13" s="6"/>
      <c r="AN13" s="6"/>
      <c r="AO13" s="6"/>
      <c r="AP13" s="6"/>
      <c r="AQ13" s="6"/>
      <c r="AR13" s="6">
        <v>1053137.287209</v>
      </c>
      <c r="AS13" s="6">
        <f>AR13/$AR$680*$AS$680</f>
        <v>1032415.4664783807</v>
      </c>
      <c r="AT13" s="6">
        <v>5413132.376652</v>
      </c>
      <c r="AU13" s="6">
        <f>AT13/$AT$680*$AU$680</f>
        <v>4467477.404880847</v>
      </c>
      <c r="AV13" s="6"/>
      <c r="AW13" s="6"/>
      <c r="AX13" s="6"/>
      <c r="AY13" s="6"/>
      <c r="AZ13" s="6">
        <v>69908.885095</v>
      </c>
      <c r="BA13" s="6">
        <f>AZ13/$AZ$680*$BA$680</f>
        <v>68508.36195213634</v>
      </c>
      <c r="BB13" s="6">
        <v>3302122.890484</v>
      </c>
      <c r="BC13" s="6">
        <f>BB13/$BB$680*$BC$680</f>
        <v>3238658.2898503486</v>
      </c>
      <c r="BD13" s="6"/>
      <c r="BE13" s="6"/>
      <c r="BF13" s="6"/>
      <c r="BG13" s="6"/>
      <c r="BH13" s="6"/>
      <c r="BI13" s="6"/>
      <c r="BJ13" s="6">
        <v>93657096.746699</v>
      </c>
      <c r="BK13" s="6">
        <f>BJ13/BJ11*BI11</f>
        <v>730620.3955753911</v>
      </c>
      <c r="BL13" s="6">
        <f>BH13+BK13</f>
        <v>730620.3955753911</v>
      </c>
      <c r="BM13" s="6"/>
      <c r="BN13" s="6"/>
      <c r="BO13" s="6">
        <v>144142.016093</v>
      </c>
      <c r="BP13" s="6"/>
      <c r="BQ13" s="6">
        <f>AG13+AI13+AL13+AN13+AP13+AR13+AT13+AV13+AX13+AZ13+BB13+BD13+BF13+BH13+BK13+BM13+BO13</f>
        <v>61813475.33065039</v>
      </c>
      <c r="BT13" s="6">
        <f>AJ13+AM13+AQ13+AS13+AU13+AW13+AY13+BA13+BC13+BG13+BL13+BN13+BP13</f>
        <v>43863651.29634699</v>
      </c>
      <c r="BW13" s="52"/>
      <c r="BX13" s="6">
        <f t="shared" si="0"/>
        <v>111015601.9959724</v>
      </c>
      <c r="BY13" s="6">
        <f t="shared" si="1"/>
        <v>94005945.987121</v>
      </c>
    </row>
    <row r="14" spans="1:77" ht="12.75">
      <c r="A14" t="s">
        <v>647</v>
      </c>
      <c r="B14" t="s">
        <v>13</v>
      </c>
      <c r="J14"/>
      <c r="K14"/>
      <c r="L14"/>
      <c r="M14"/>
      <c r="V14"/>
      <c r="X14"/>
      <c r="Z14" s="12">
        <f>Z15+Z16</f>
        <v>54645193.457593</v>
      </c>
      <c r="AC14" s="12">
        <f>AC15+AC16</f>
        <v>55689369.1287572</v>
      </c>
      <c r="AF14" s="51"/>
      <c r="AG14"/>
      <c r="AI14"/>
      <c r="AR14"/>
      <c r="AT14"/>
      <c r="AZ14"/>
      <c r="BB14"/>
      <c r="BD14"/>
      <c r="BE14"/>
      <c r="BF14"/>
      <c r="BH14"/>
      <c r="BI14">
        <v>813548</v>
      </c>
      <c r="BJ14" s="1">
        <v>102970139.461796</v>
      </c>
      <c r="BL14"/>
      <c r="BO14"/>
      <c r="BP14"/>
      <c r="BQ14" s="1">
        <f>BQ15+BQ16</f>
        <v>68026802.607807</v>
      </c>
      <c r="BT14" s="1">
        <f>BT15+BT16</f>
        <v>48454744.58257029</v>
      </c>
      <c r="BW14" s="52"/>
      <c r="BX14" s="1">
        <f t="shared" si="0"/>
        <v>122671996.0654</v>
      </c>
      <c r="BY14" s="1">
        <f t="shared" si="1"/>
        <v>104144113.7113275</v>
      </c>
    </row>
    <row r="15" spans="1:77" ht="12.75">
      <c r="A15" s="3" t="s">
        <v>648</v>
      </c>
      <c r="B15" s="3" t="s">
        <v>14</v>
      </c>
      <c r="C15" s="3" t="s">
        <v>1341</v>
      </c>
      <c r="D15" s="3"/>
      <c r="E15" s="4"/>
      <c r="F15" s="4">
        <v>7394715.807346</v>
      </c>
      <c r="G15" s="4">
        <f>F15*RPI_inc</f>
        <v>7536016.109397198</v>
      </c>
      <c r="H15" s="4"/>
      <c r="I15" s="4"/>
      <c r="J15" s="4">
        <v>122418.872573</v>
      </c>
      <c r="K15" s="4">
        <f>J15*RPI_inc</f>
        <v>124758.08669859872</v>
      </c>
      <c r="L15" s="3"/>
      <c r="M15" s="4"/>
      <c r="N15" s="4"/>
      <c r="O15" s="4"/>
      <c r="P15" s="4"/>
      <c r="Q15" s="4"/>
      <c r="R15" s="4"/>
      <c r="S15" s="4"/>
      <c r="T15" s="4">
        <v>55024.770603</v>
      </c>
      <c r="U15" s="4">
        <f>T15*RPI_inc</f>
        <v>56076.19934063694</v>
      </c>
      <c r="V15" s="3"/>
      <c r="W15" s="4"/>
      <c r="X15" s="3"/>
      <c r="Y15" s="4"/>
      <c r="Z15" s="13">
        <f>D15+F15+H15+J15+L15+N15+P15+R15+T15+V15+X15</f>
        <v>7572159.450522001</v>
      </c>
      <c r="AC15" s="13">
        <f>E15+G15+I15+K15+M15+O15+Q15+S15+U15+W15+Y15</f>
        <v>7716850.395436434</v>
      </c>
      <c r="AF15" s="51"/>
      <c r="AG15" s="3"/>
      <c r="AH15" s="4"/>
      <c r="AI15" s="3"/>
      <c r="AJ15" s="4"/>
      <c r="AK15" s="4"/>
      <c r="AL15" s="4">
        <v>8169525.345027</v>
      </c>
      <c r="AM15" s="4">
        <f>AL15/$AL$680*$AM$680</f>
        <v>5469838.381758751</v>
      </c>
      <c r="AN15" s="4"/>
      <c r="AO15" s="4"/>
      <c r="AP15" s="4"/>
      <c r="AQ15" s="4"/>
      <c r="AR15" s="4">
        <v>176813.944927</v>
      </c>
      <c r="AS15" s="4">
        <f>AR15/$AR$680*$AS$680</f>
        <v>173334.90481138424</v>
      </c>
      <c r="AT15" s="3"/>
      <c r="AU15" s="4"/>
      <c r="AV15" s="4"/>
      <c r="AW15" s="4"/>
      <c r="AX15" s="4">
        <v>78057.025479</v>
      </c>
      <c r="AY15" s="4">
        <f>AX15/$AX$680*$AY$680</f>
        <v>76493.26751793546</v>
      </c>
      <c r="AZ15" s="3"/>
      <c r="BA15" s="4"/>
      <c r="BB15" s="3"/>
      <c r="BC15" s="4"/>
      <c r="BD15" s="4"/>
      <c r="BE15" s="4"/>
      <c r="BF15" s="4"/>
      <c r="BG15" s="4"/>
      <c r="BH15" s="4"/>
      <c r="BI15" s="4"/>
      <c r="BJ15" s="4">
        <v>15479859.013317</v>
      </c>
      <c r="BK15" s="4">
        <f>BJ15/BJ14*BI14</f>
        <v>122303.49892104886</v>
      </c>
      <c r="BL15" s="4">
        <f>BH15+BK15</f>
        <v>122303.49892104886</v>
      </c>
      <c r="BM15" s="4"/>
      <c r="BN15" s="4"/>
      <c r="BO15" s="4">
        <v>22183.316116</v>
      </c>
      <c r="BP15" s="4"/>
      <c r="BQ15" s="4">
        <f>AG15+AI15+AL15+AN15+AP15+AR15+AT15+AV15+AX15+AZ15+BB15+BD15+BF15+BH15+BK15+BM15+BO15</f>
        <v>8568883.130470049</v>
      </c>
      <c r="BT15" s="4">
        <f>AJ15+AM15+AQ15+AS15+AU15+AW15+AY15+BA15+BC15+BG15+BL15+BN15+BP15</f>
        <v>5841970.05300912</v>
      </c>
      <c r="BW15" s="52"/>
      <c r="BX15" s="4">
        <f t="shared" si="0"/>
        <v>16141042.58099205</v>
      </c>
      <c r="BY15" s="4">
        <f t="shared" si="1"/>
        <v>13558820.448445555</v>
      </c>
    </row>
    <row r="16" spans="1:77" ht="12.75">
      <c r="A16" s="5" t="s">
        <v>649</v>
      </c>
      <c r="B16" s="5" t="s">
        <v>15</v>
      </c>
      <c r="C16" s="5" t="s">
        <v>1341</v>
      </c>
      <c r="D16" s="6">
        <v>39043517.567774</v>
      </c>
      <c r="E16" s="6">
        <f>D16*RPI_inc</f>
        <v>39789572.043591335</v>
      </c>
      <c r="F16" s="6"/>
      <c r="G16" s="6"/>
      <c r="H16" s="6"/>
      <c r="I16" s="6"/>
      <c r="J16" s="6">
        <v>680645.1379</v>
      </c>
      <c r="K16" s="6">
        <f>J16*RPI_inc</f>
        <v>693651.0959490446</v>
      </c>
      <c r="L16" s="6">
        <v>3891051.800042</v>
      </c>
      <c r="M16" s="6">
        <f>L16*RPI_inc</f>
        <v>3965403.1083230576</v>
      </c>
      <c r="N16" s="6"/>
      <c r="O16" s="6"/>
      <c r="P16" s="6"/>
      <c r="Q16" s="6"/>
      <c r="R16" s="6"/>
      <c r="S16" s="6"/>
      <c r="T16" s="6"/>
      <c r="U16" s="6"/>
      <c r="V16" s="6">
        <v>50584.195088</v>
      </c>
      <c r="W16" s="6">
        <f>V16*RPI_inc</f>
        <v>51550.77206420382</v>
      </c>
      <c r="X16" s="6">
        <v>3407235.306267</v>
      </c>
      <c r="Y16" s="6">
        <f>X16*RPI_inc</f>
        <v>3472341.713393121</v>
      </c>
      <c r="Z16" s="14">
        <f>D16+F16+H16+J16+L16+N16+P16+R16+T16+V16+X16</f>
        <v>47073034.007071</v>
      </c>
      <c r="AC16" s="14">
        <f>E16+G16+I16+K16+M16+O16+Q16+S16+U16+W16+Y16</f>
        <v>47972518.733320765</v>
      </c>
      <c r="AF16" s="51"/>
      <c r="AG16" s="6">
        <v>962278</v>
      </c>
      <c r="AH16" s="6">
        <f>AG16/$AG$680*$AH$680</f>
        <v>724528.4502630325</v>
      </c>
      <c r="AI16" s="6">
        <v>46651600.389661</v>
      </c>
      <c r="AJ16" s="6">
        <f>AI16/$AI$680*$AJ$680</f>
        <v>31977369.29391629</v>
      </c>
      <c r="AK16" s="6">
        <f>AJ16-AH16</f>
        <v>31252840.843653258</v>
      </c>
      <c r="AL16" s="6"/>
      <c r="AM16" s="6"/>
      <c r="AN16" s="6"/>
      <c r="AO16" s="6"/>
      <c r="AP16" s="6"/>
      <c r="AQ16" s="6"/>
      <c r="AR16" s="6">
        <v>983080.054549</v>
      </c>
      <c r="AS16" s="6">
        <f>AR16/$AR$680*$AS$680</f>
        <v>963736.6993173197</v>
      </c>
      <c r="AT16" s="6">
        <v>4921860.755125</v>
      </c>
      <c r="AU16" s="6">
        <f>AT16/$AT$680*$AU$680</f>
        <v>4062029.1881888905</v>
      </c>
      <c r="AV16" s="6"/>
      <c r="AW16" s="6"/>
      <c r="AX16" s="6"/>
      <c r="AY16" s="6"/>
      <c r="AZ16" s="6">
        <v>71757.715114</v>
      </c>
      <c r="BA16" s="6">
        <f>AZ16/$AZ$680*$BA$680</f>
        <v>70320.15334256558</v>
      </c>
      <c r="BB16" s="6">
        <v>5038193.412452</v>
      </c>
      <c r="BC16" s="6">
        <f>BB16/$BB$680*$BC$680</f>
        <v>4941362.693717152</v>
      </c>
      <c r="BD16" s="6"/>
      <c r="BE16" s="6"/>
      <c r="BF16" s="6"/>
      <c r="BG16" s="6"/>
      <c r="BH16" s="6"/>
      <c r="BI16" s="6"/>
      <c r="BJ16" s="6">
        <v>87490280.448479</v>
      </c>
      <c r="BK16" s="6">
        <f>BJ16/BJ14*BI14</f>
        <v>691244.501078951</v>
      </c>
      <c r="BL16" s="6">
        <f>BH16+BK16</f>
        <v>691244.501078951</v>
      </c>
      <c r="BM16" s="6"/>
      <c r="BN16" s="6"/>
      <c r="BO16" s="6">
        <v>137904.649357</v>
      </c>
      <c r="BP16" s="6">
        <v>-93288</v>
      </c>
      <c r="BQ16" s="6">
        <f>AG16+AI16+AL16+AN16+AP16+AR16+AT16+AV16+AX16+AZ16+BB16+BD16+BF16+BH16+BK16+BM16+BO16</f>
        <v>59457919.47733694</v>
      </c>
      <c r="BT16" s="6">
        <f>AJ16+AM16+AQ16+AS16+AU16+AW16+AY16+BA16+BC16+BG16+BL16+BN16+BP16</f>
        <v>42612774.52956117</v>
      </c>
      <c r="BW16" s="52"/>
      <c r="BX16" s="6">
        <f t="shared" si="0"/>
        <v>106530953.48440795</v>
      </c>
      <c r="BY16" s="6">
        <f t="shared" si="1"/>
        <v>90585293.26288193</v>
      </c>
    </row>
    <row r="17" spans="1:77" ht="12.75">
      <c r="A17" t="s">
        <v>650</v>
      </c>
      <c r="B17" t="s">
        <v>16</v>
      </c>
      <c r="J17"/>
      <c r="K17"/>
      <c r="L17"/>
      <c r="M17"/>
      <c r="V17"/>
      <c r="X17"/>
      <c r="Z17" s="12">
        <f>Z18+Z19</f>
        <v>64686672.75062</v>
      </c>
      <c r="AC17" s="12">
        <f>AC18+AC19</f>
        <v>65922723.822287895</v>
      </c>
      <c r="AF17" s="51"/>
      <c r="AG17"/>
      <c r="AI17"/>
      <c r="AR17"/>
      <c r="AT17"/>
      <c r="AZ17"/>
      <c r="BB17"/>
      <c r="BD17"/>
      <c r="BE17"/>
      <c r="BF17"/>
      <c r="BH17"/>
      <c r="BI17">
        <v>947176</v>
      </c>
      <c r="BJ17" s="1">
        <v>121343051.553818</v>
      </c>
      <c r="BL17"/>
      <c r="BO17"/>
      <c r="BP17"/>
      <c r="BQ17" s="1">
        <f>BQ18+BQ19</f>
        <v>81377249.52711698</v>
      </c>
      <c r="BT17" s="1">
        <f>BT18+BT19</f>
        <v>57576675.33010686</v>
      </c>
      <c r="BW17" s="52"/>
      <c r="BX17" s="1">
        <f t="shared" si="0"/>
        <v>146063922.277737</v>
      </c>
      <c r="BY17" s="1">
        <f t="shared" si="1"/>
        <v>123499399.15239476</v>
      </c>
    </row>
    <row r="18" spans="1:77" ht="12.75">
      <c r="A18" s="3" t="s">
        <v>651</v>
      </c>
      <c r="B18" s="3" t="s">
        <v>17</v>
      </c>
      <c r="C18" s="3" t="s">
        <v>1341</v>
      </c>
      <c r="D18" s="3"/>
      <c r="E18" s="4"/>
      <c r="F18" s="4">
        <v>8884075.821443</v>
      </c>
      <c r="G18" s="4">
        <f>F18*RPI_inc</f>
        <v>9053835.232043823</v>
      </c>
      <c r="H18" s="4"/>
      <c r="I18" s="4"/>
      <c r="J18" s="4">
        <v>140296.09932</v>
      </c>
      <c r="K18" s="4">
        <f>J18*RPI_inc</f>
        <v>142976.9165044586</v>
      </c>
      <c r="L18" s="3"/>
      <c r="M18" s="4"/>
      <c r="N18" s="4"/>
      <c r="O18" s="4"/>
      <c r="P18" s="4"/>
      <c r="Q18" s="4"/>
      <c r="R18" s="4"/>
      <c r="S18" s="4"/>
      <c r="T18" s="4">
        <v>29186.917654</v>
      </c>
      <c r="U18" s="4">
        <f>T18*RPI_inc</f>
        <v>29744.629456305734</v>
      </c>
      <c r="V18" s="3"/>
      <c r="W18" s="4"/>
      <c r="X18" s="3"/>
      <c r="Y18" s="4"/>
      <c r="Z18" s="13">
        <f>D18+F18+H18+J18+L18+N18+P18+R18+T18+V18+X18</f>
        <v>9053558.838417001</v>
      </c>
      <c r="AC18" s="13">
        <f>E18+G18+I18+K18+M18+O18+Q18+S18+U18+W18+Y18</f>
        <v>9226556.778004589</v>
      </c>
      <c r="AF18" s="51"/>
      <c r="AG18" s="3"/>
      <c r="AH18" s="4"/>
      <c r="AI18" s="3"/>
      <c r="AJ18" s="4"/>
      <c r="AK18" s="4"/>
      <c r="AL18" s="4">
        <v>9814938.732104</v>
      </c>
      <c r="AM18" s="4">
        <f>AL18/$AL$680*$AM$680</f>
        <v>6571511.357652272</v>
      </c>
      <c r="AN18" s="4"/>
      <c r="AO18" s="4"/>
      <c r="AP18" s="4"/>
      <c r="AQ18" s="4"/>
      <c r="AR18" s="4">
        <v>202634.661283</v>
      </c>
      <c r="AS18" s="4">
        <f>AR18/$AR$680*$AS$680</f>
        <v>198647.56560619222</v>
      </c>
      <c r="AT18" s="3"/>
      <c r="AU18" s="4"/>
      <c r="AV18" s="4"/>
      <c r="AW18" s="4"/>
      <c r="AX18" s="4">
        <v>41403.970429</v>
      </c>
      <c r="AY18" s="4">
        <f>AX18/$AX$680*$AY$680</f>
        <v>40574.502639512575</v>
      </c>
      <c r="AZ18" s="3"/>
      <c r="BA18" s="4"/>
      <c r="BB18" s="3"/>
      <c r="BC18" s="4"/>
      <c r="BD18" s="4"/>
      <c r="BE18" s="4"/>
      <c r="BF18" s="4"/>
      <c r="BG18" s="4"/>
      <c r="BH18" s="4">
        <v>140394.425672</v>
      </c>
      <c r="BI18" s="4"/>
      <c r="BJ18" s="4">
        <v>18056897.229071</v>
      </c>
      <c r="BK18" s="4">
        <f>BJ18/BJ17*BI17</f>
        <v>140947.99389693126</v>
      </c>
      <c r="BL18" s="4">
        <f>BH18+BK18</f>
        <v>281342.4195689313</v>
      </c>
      <c r="BM18" s="4"/>
      <c r="BN18" s="4"/>
      <c r="BO18" s="4">
        <v>26523.207679</v>
      </c>
      <c r="BP18" s="4"/>
      <c r="BQ18" s="4">
        <f>AG18+AI18+AL18+AN18+AP18+AR18+AT18+AV18+AX18+AZ18+BB18+BD18+BF18+BH18+BK18+BM18+BO18</f>
        <v>10366842.99106393</v>
      </c>
      <c r="BT18" s="4">
        <f>AJ18+AM18+AQ18+AS18+AU18+AW18+AY18+BA18+BC18+BG18+BL18+BN18+BP18</f>
        <v>7092075.845466909</v>
      </c>
      <c r="BW18" s="52"/>
      <c r="BX18" s="4">
        <f t="shared" si="0"/>
        <v>19420401.82948093</v>
      </c>
      <c r="BY18" s="4">
        <f t="shared" si="1"/>
        <v>16318632.623471498</v>
      </c>
    </row>
    <row r="19" spans="1:77" ht="12.75">
      <c r="A19" s="5" t="s">
        <v>652</v>
      </c>
      <c r="B19" s="5" t="s">
        <v>18</v>
      </c>
      <c r="C19" s="5" t="s">
        <v>1341</v>
      </c>
      <c r="D19" s="6">
        <v>47807950.659702</v>
      </c>
      <c r="E19" s="6">
        <f>D19*RPI_inc</f>
        <v>48721478.37931414</v>
      </c>
      <c r="F19" s="6"/>
      <c r="G19" s="6"/>
      <c r="H19" s="6"/>
      <c r="I19" s="6"/>
      <c r="J19" s="6">
        <v>805896.339162</v>
      </c>
      <c r="K19" s="6">
        <f>J19*RPI_inc</f>
        <v>821295.6322670063</v>
      </c>
      <c r="L19" s="6">
        <v>3933183.004817</v>
      </c>
      <c r="M19" s="6">
        <f>L19*RPI_inc</f>
        <v>4008339.3679663697</v>
      </c>
      <c r="N19" s="6"/>
      <c r="O19" s="6"/>
      <c r="P19" s="6"/>
      <c r="Q19" s="6"/>
      <c r="R19" s="6"/>
      <c r="S19" s="6"/>
      <c r="T19" s="6"/>
      <c r="U19" s="6"/>
      <c r="V19" s="6">
        <v>49891.818826</v>
      </c>
      <c r="W19" s="6">
        <f>V19*RPI_inc</f>
        <v>50845.16568254777</v>
      </c>
      <c r="X19" s="6">
        <v>3036192.089696</v>
      </c>
      <c r="Y19" s="6">
        <f>X19*RPI_inc</f>
        <v>3094208.499053248</v>
      </c>
      <c r="Z19" s="14">
        <f>D19+F19+H19+J19+L19+N19+P19+R19+T19+V19+X19</f>
        <v>55633113.912203</v>
      </c>
      <c r="AC19" s="14">
        <f>E19+G19+I19+K19+M19+O19+Q19+S19+U19+W19+Y19</f>
        <v>56696167.04428331</v>
      </c>
      <c r="AF19" s="51"/>
      <c r="AG19" s="6">
        <v>1414795</v>
      </c>
      <c r="AH19" s="6">
        <f>AG19/$AG$680*$AH$680</f>
        <v>1065242.298784641</v>
      </c>
      <c r="AI19" s="6">
        <v>57123885.053481</v>
      </c>
      <c r="AJ19" s="6">
        <f>AI19/$AI$680*$AJ$680</f>
        <v>39155603.50772482</v>
      </c>
      <c r="AK19" s="6">
        <f>AJ19-AH19</f>
        <v>38090361.20894018</v>
      </c>
      <c r="AL19" s="6"/>
      <c r="AM19" s="6"/>
      <c r="AN19" s="6"/>
      <c r="AO19" s="6"/>
      <c r="AP19" s="6"/>
      <c r="AQ19" s="6"/>
      <c r="AR19" s="6">
        <v>1163984.832844</v>
      </c>
      <c r="AS19" s="6">
        <f>AR19/$AR$680*$AS$680</f>
        <v>1141081.9451271717</v>
      </c>
      <c r="AT19" s="6">
        <v>4975153.266766</v>
      </c>
      <c r="AU19" s="6">
        <f>AT19/$AT$680*$AU$680</f>
        <v>4106011.6876068646</v>
      </c>
      <c r="AV19" s="6"/>
      <c r="AW19" s="6"/>
      <c r="AX19" s="6"/>
      <c r="AY19" s="6"/>
      <c r="AZ19" s="6">
        <v>70775.524167</v>
      </c>
      <c r="BA19" s="6">
        <f>AZ19/$AZ$680*$BA$680</f>
        <v>69357.6391669819</v>
      </c>
      <c r="BB19" s="6">
        <v>4489541.111853</v>
      </c>
      <c r="BC19" s="6">
        <f>BB19/$BB$680*$BC$680</f>
        <v>4403255.124583051</v>
      </c>
      <c r="BD19" s="6"/>
      <c r="BE19" s="6"/>
      <c r="BF19" s="6"/>
      <c r="BG19" s="6"/>
      <c r="BH19" s="6">
        <v>803061.574328</v>
      </c>
      <c r="BI19" s="6"/>
      <c r="BJ19" s="6">
        <v>103286154.324746</v>
      </c>
      <c r="BK19" s="6">
        <f>BJ19/BJ17*BI17</f>
        <v>806228.0061030609</v>
      </c>
      <c r="BL19" s="6">
        <f>BH19+BK19</f>
        <v>1609289.5804310609</v>
      </c>
      <c r="BM19" s="6"/>
      <c r="BN19" s="6"/>
      <c r="BO19" s="6">
        <v>162982.166511</v>
      </c>
      <c r="BP19" s="6"/>
      <c r="BQ19" s="6">
        <f>AG19+AI19+AL19+AN19+AP19+AR19+AT19+AV19+AX19+AZ19+BB19+BD19+BF19+BH19+BK19+BM19+BO19</f>
        <v>71010406.53605305</v>
      </c>
      <c r="BT19" s="6">
        <f>AJ19+AM19+AQ19+AS19+AU19+AW19+AY19+BA19+BC19+BG19+BL19+BN19+BP19</f>
        <v>50484599.48463995</v>
      </c>
      <c r="BW19" s="52"/>
      <c r="BX19" s="6">
        <f t="shared" si="0"/>
        <v>126643520.44825605</v>
      </c>
      <c r="BY19" s="6">
        <f t="shared" si="1"/>
        <v>107180766.52892326</v>
      </c>
    </row>
    <row r="20" spans="1:77" ht="12.75">
      <c r="A20" t="s">
        <v>653</v>
      </c>
      <c r="B20" t="s">
        <v>19</v>
      </c>
      <c r="J20"/>
      <c r="K20"/>
      <c r="L20"/>
      <c r="M20"/>
      <c r="V20"/>
      <c r="X20"/>
      <c r="Z20" s="12">
        <f>Z21+Z22</f>
        <v>42673743.439633</v>
      </c>
      <c r="AC20" s="12">
        <f>AC21+AC22</f>
        <v>43489165.28879796</v>
      </c>
      <c r="AF20" s="51"/>
      <c r="AG20"/>
      <c r="AI20"/>
      <c r="AR20"/>
      <c r="AT20"/>
      <c r="AZ20"/>
      <c r="BB20"/>
      <c r="BD20"/>
      <c r="BE20"/>
      <c r="BF20"/>
      <c r="BH20"/>
      <c r="BI20">
        <v>1392844</v>
      </c>
      <c r="BJ20" s="1">
        <v>77740183.523525</v>
      </c>
      <c r="BL20"/>
      <c r="BO20"/>
      <c r="BP20"/>
      <c r="BQ20" s="1">
        <f>BQ21+BQ22</f>
        <v>54094030.221416004</v>
      </c>
      <c r="BT20" s="1">
        <f>BT21+BT22</f>
        <v>38850517.89702907</v>
      </c>
      <c r="BW20" s="52"/>
      <c r="BX20" s="1">
        <f t="shared" si="0"/>
        <v>96767773.66104901</v>
      </c>
      <c r="BY20" s="1">
        <f t="shared" si="1"/>
        <v>82339683.18582703</v>
      </c>
    </row>
    <row r="21" spans="1:77" ht="12.75">
      <c r="A21" s="3" t="s">
        <v>654</v>
      </c>
      <c r="B21" s="3" t="s">
        <v>20</v>
      </c>
      <c r="C21" s="3" t="s">
        <v>1341</v>
      </c>
      <c r="D21" s="3"/>
      <c r="E21" s="4"/>
      <c r="F21" s="4">
        <v>6333144.545301</v>
      </c>
      <c r="G21" s="4">
        <f>F21*RPI_inc</f>
        <v>6454160.046166624</v>
      </c>
      <c r="H21" s="4"/>
      <c r="I21" s="4"/>
      <c r="J21" s="4">
        <v>254164.066773</v>
      </c>
      <c r="K21" s="4">
        <f>J21*RPI_inc</f>
        <v>259020.70499159236</v>
      </c>
      <c r="L21" s="3"/>
      <c r="M21" s="4"/>
      <c r="N21" s="4"/>
      <c r="O21" s="4"/>
      <c r="P21" s="4"/>
      <c r="Q21" s="4"/>
      <c r="R21" s="4"/>
      <c r="S21" s="4"/>
      <c r="T21" s="4">
        <v>44940.921278</v>
      </c>
      <c r="U21" s="4">
        <f>T21*RPI_inc</f>
        <v>45799.6649966879</v>
      </c>
      <c r="V21" s="3"/>
      <c r="W21" s="4"/>
      <c r="X21" s="3"/>
      <c r="Y21" s="4"/>
      <c r="Z21" s="13">
        <f>D21+F21+H21+J21+L21+N21+P21+R21+T21+V21+X21</f>
        <v>6632249.533352</v>
      </c>
      <c r="AC21" s="13">
        <f>E21+G21+I21+K21+M21+O21+Q21+S21+U21+W21+Y21</f>
        <v>6758980.416154904</v>
      </c>
      <c r="AF21" s="51"/>
      <c r="AG21" s="3"/>
      <c r="AH21" s="4"/>
      <c r="AI21" s="3"/>
      <c r="AJ21" s="4"/>
      <c r="AK21" s="4"/>
      <c r="AL21" s="4">
        <v>6996723.907247</v>
      </c>
      <c r="AM21" s="4">
        <f>AL21/$AL$680*$AM$680</f>
        <v>4684598.8424193105</v>
      </c>
      <c r="AN21" s="4"/>
      <c r="AO21" s="4"/>
      <c r="AP21" s="4"/>
      <c r="AQ21" s="4"/>
      <c r="AR21" s="4">
        <v>367098.228893</v>
      </c>
      <c r="AS21" s="4">
        <f>AR21/$AR$680*$AS$680</f>
        <v>359875.10254277044</v>
      </c>
      <c r="AT21" s="3"/>
      <c r="AU21" s="4"/>
      <c r="AV21" s="4"/>
      <c r="AW21" s="4"/>
      <c r="AX21" s="4">
        <v>63752.280996</v>
      </c>
      <c r="AY21" s="4">
        <f>AX21/$AX$680*$AY$680</f>
        <v>62475.09759922375</v>
      </c>
      <c r="AZ21" s="3"/>
      <c r="BA21" s="4"/>
      <c r="BB21" s="3"/>
      <c r="BC21" s="4"/>
      <c r="BD21" s="4"/>
      <c r="BE21" s="4"/>
      <c r="BF21" s="4"/>
      <c r="BG21" s="4"/>
      <c r="BH21" s="4"/>
      <c r="BI21" s="4"/>
      <c r="BJ21" s="4">
        <v>12861877.61279</v>
      </c>
      <c r="BK21" s="4">
        <f>BJ21/BJ20*BI20</f>
        <v>230441.8159276371</v>
      </c>
      <c r="BL21" s="4">
        <f>BH21+BK21</f>
        <v>230441.8159276371</v>
      </c>
      <c r="BM21" s="4"/>
      <c r="BN21" s="4"/>
      <c r="BO21" s="4">
        <v>19429.766227</v>
      </c>
      <c r="BP21" s="4"/>
      <c r="BQ21" s="4">
        <f>AG21+AI21+AL21+AN21+AP21+AR21+AT21+AV21+AX21+AZ21+BB21+BD21+BF21+BH21+BK21+BM21+BO21</f>
        <v>7677445.999290638</v>
      </c>
      <c r="BT21" s="4">
        <f>AJ21+AM21+AQ21+AS21+AU21+AW21+AY21+BA21+BC21+BG21+BL21+BN21+BP21</f>
        <v>5337390.858488942</v>
      </c>
      <c r="BW21" s="52"/>
      <c r="BX21" s="4">
        <f t="shared" si="0"/>
        <v>14309695.532642636</v>
      </c>
      <c r="BY21" s="4">
        <f t="shared" si="1"/>
        <v>12096371.274643846</v>
      </c>
    </row>
    <row r="22" spans="1:77" ht="12.75">
      <c r="A22" s="5" t="s">
        <v>655</v>
      </c>
      <c r="B22" s="5" t="s">
        <v>21</v>
      </c>
      <c r="C22" s="5" t="s">
        <v>1341</v>
      </c>
      <c r="D22" s="6">
        <v>29272301.152781</v>
      </c>
      <c r="E22" s="6">
        <f>D22*RPI_inc</f>
        <v>29831644.48691057</v>
      </c>
      <c r="F22" s="6"/>
      <c r="G22" s="6"/>
      <c r="H22" s="6"/>
      <c r="I22" s="6"/>
      <c r="J22" s="6">
        <v>1128630.660059</v>
      </c>
      <c r="K22" s="6">
        <f>J22*RPI_inc</f>
        <v>1150196.8510155412</v>
      </c>
      <c r="L22" s="6">
        <v>3186489.825486</v>
      </c>
      <c r="M22" s="6">
        <f>L22*RPI_inc</f>
        <v>3247378.1661003823</v>
      </c>
      <c r="N22" s="6"/>
      <c r="O22" s="6"/>
      <c r="P22" s="6"/>
      <c r="Q22" s="6"/>
      <c r="R22" s="6"/>
      <c r="S22" s="6"/>
      <c r="T22" s="6"/>
      <c r="U22" s="6"/>
      <c r="V22" s="6">
        <v>49606.722719</v>
      </c>
      <c r="W22" s="6">
        <f>V22*RPI_inc</f>
        <v>50554.62187923567</v>
      </c>
      <c r="X22" s="6">
        <v>2404465.545236</v>
      </c>
      <c r="Y22" s="6">
        <f>X22*RPI_inc</f>
        <v>2450410.7467373246</v>
      </c>
      <c r="Z22" s="14">
        <f>D22+F22+H22+J22+L22+N22+P22+R22+T22+V22+X22</f>
        <v>36041493.906280994</v>
      </c>
      <c r="AC22" s="14">
        <f>E22+G22+I22+K22+M22+O22+Q22+S22+U22+W22+Y22</f>
        <v>36730184.87264305</v>
      </c>
      <c r="AF22" s="51"/>
      <c r="AG22" s="6">
        <v>885683</v>
      </c>
      <c r="AH22" s="6">
        <f>AG22/$AG$680*$AH$680</f>
        <v>666857.7390466303</v>
      </c>
      <c r="AI22" s="6">
        <v>34976348.980208</v>
      </c>
      <c r="AJ22" s="6">
        <f>AI22/$AI$680*$AJ$680</f>
        <v>23974560.755709395</v>
      </c>
      <c r="AK22" s="6">
        <f>AJ22-AH22</f>
        <v>23307703.016662765</v>
      </c>
      <c r="AL22" s="6"/>
      <c r="AM22" s="6"/>
      <c r="AN22" s="6"/>
      <c r="AO22" s="6"/>
      <c r="AP22" s="6"/>
      <c r="AQ22" s="6"/>
      <c r="AR22" s="6">
        <v>1630121.525998</v>
      </c>
      <c r="AS22" s="6">
        <f>AR22/$AR$680*$AS$680</f>
        <v>1598046.8036981423</v>
      </c>
      <c r="AT22" s="6">
        <v>4030647.759174</v>
      </c>
      <c r="AU22" s="6">
        <f>AT22/$AT$680*$AU$680</f>
        <v>3326507.9325993895</v>
      </c>
      <c r="AV22" s="6"/>
      <c r="AW22" s="6"/>
      <c r="AX22" s="6"/>
      <c r="AY22" s="6"/>
      <c r="AZ22" s="6">
        <v>70371.0926</v>
      </c>
      <c r="BA22" s="6">
        <f>AZ22/$AZ$680*$BA$680</f>
        <v>68961.30979998864</v>
      </c>
      <c r="BB22" s="6">
        <v>3555422.910826</v>
      </c>
      <c r="BC22" s="6">
        <f>BB22/$BB$680*$BC$680</f>
        <v>3487090.0526608597</v>
      </c>
      <c r="BD22" s="6"/>
      <c r="BE22" s="6"/>
      <c r="BF22" s="6"/>
      <c r="BG22" s="6"/>
      <c r="BH22" s="6"/>
      <c r="BI22" s="6"/>
      <c r="BJ22" s="6">
        <v>64878305.910735</v>
      </c>
      <c r="BK22" s="6">
        <f>BJ22/BJ20*BI20</f>
        <v>1162402.184072363</v>
      </c>
      <c r="BL22" s="6">
        <f>BH22+BK22</f>
        <v>1162402.184072363</v>
      </c>
      <c r="BM22" s="6"/>
      <c r="BN22" s="6"/>
      <c r="BO22" s="6">
        <v>105586.769247</v>
      </c>
      <c r="BP22" s="6">
        <v>-104442</v>
      </c>
      <c r="BQ22" s="6">
        <f>AG22+AI22+AL22+AN22+AP22+AR22+AT22+AV22+AX22+AZ22+BB22+BD22+BF22+BH22+BK22+BM22+BO22</f>
        <v>46416584.22212537</v>
      </c>
      <c r="BT22" s="6">
        <f>AJ22+AM22+AQ22+AS22+AU22+AW22+AY22+BA22+BC22+BG22+BL22+BN22+BP22</f>
        <v>33513127.038540132</v>
      </c>
      <c r="BW22" s="52"/>
      <c r="BX22" s="6">
        <f t="shared" si="0"/>
        <v>82458078.12840636</v>
      </c>
      <c r="BY22" s="6">
        <f t="shared" si="1"/>
        <v>70243311.91118318</v>
      </c>
    </row>
    <row r="23" spans="1:77" ht="12.75">
      <c r="A23" t="s">
        <v>656</v>
      </c>
      <c r="B23" t="s">
        <v>22</v>
      </c>
      <c r="J23"/>
      <c r="K23"/>
      <c r="L23"/>
      <c r="M23"/>
      <c r="V23"/>
      <c r="X23"/>
      <c r="Z23" s="12">
        <f>Z24+Z25</f>
        <v>50139247.129061</v>
      </c>
      <c r="AC23" s="12">
        <f>AC24+AC25</f>
        <v>51097321.91496663</v>
      </c>
      <c r="AF23" s="51"/>
      <c r="AG23"/>
      <c r="AI23"/>
      <c r="AR23"/>
      <c r="AT23"/>
      <c r="AZ23"/>
      <c r="BB23"/>
      <c r="BD23"/>
      <c r="BE23"/>
      <c r="BF23"/>
      <c r="BH23"/>
      <c r="BI23">
        <v>802827</v>
      </c>
      <c r="BJ23" s="1">
        <v>100213045.042411</v>
      </c>
      <c r="BL23"/>
      <c r="BO23"/>
      <c r="BP23"/>
      <c r="BQ23" s="1">
        <f>BQ24+BQ25</f>
        <v>62411817.213506</v>
      </c>
      <c r="BT23" s="1">
        <f>BT24+BT25</f>
        <v>43962010.19292067</v>
      </c>
      <c r="BW23" s="52"/>
      <c r="BX23" s="1">
        <f t="shared" si="0"/>
        <v>112551064.342567</v>
      </c>
      <c r="BY23" s="1">
        <f t="shared" si="1"/>
        <v>95059332.1078873</v>
      </c>
    </row>
    <row r="24" spans="1:77" ht="12.75">
      <c r="A24" s="3" t="s">
        <v>657</v>
      </c>
      <c r="B24" s="3" t="s">
        <v>23</v>
      </c>
      <c r="C24" s="3" t="s">
        <v>1341</v>
      </c>
      <c r="D24" s="3"/>
      <c r="E24" s="4"/>
      <c r="F24" s="4">
        <v>7158668.205048</v>
      </c>
      <c r="G24" s="4">
        <f>F24*RPI_inc</f>
        <v>7295458.043361019</v>
      </c>
      <c r="H24" s="4"/>
      <c r="I24" s="4"/>
      <c r="J24" s="4">
        <v>125951.053503</v>
      </c>
      <c r="K24" s="4">
        <f>J24*RPI_inc</f>
        <v>128357.76153171975</v>
      </c>
      <c r="L24" s="3"/>
      <c r="M24" s="4"/>
      <c r="N24" s="4"/>
      <c r="O24" s="4"/>
      <c r="P24" s="4"/>
      <c r="Q24" s="4"/>
      <c r="R24" s="4"/>
      <c r="S24" s="4"/>
      <c r="T24" s="4">
        <v>35747.793649</v>
      </c>
      <c r="U24" s="4">
        <f>T24*RPI_inc</f>
        <v>36430.87250853503</v>
      </c>
      <c r="V24" s="3"/>
      <c r="W24" s="4"/>
      <c r="X24" s="3"/>
      <c r="Y24" s="4"/>
      <c r="Z24" s="13">
        <f>D24+F24+H24+J24+L24+N24+P24+R24+T24+V24+X24</f>
        <v>7320367.052200001</v>
      </c>
      <c r="AC24" s="13">
        <f>E24+G24+I24+K24+M24+O24+Q24+S24+U24+W24+Y24</f>
        <v>7460246.677401274</v>
      </c>
      <c r="AF24" s="51"/>
      <c r="AG24" s="3"/>
      <c r="AH24" s="4"/>
      <c r="AI24" s="3"/>
      <c r="AJ24" s="4"/>
      <c r="AK24" s="4"/>
      <c r="AL24" s="4">
        <v>7908744.955375</v>
      </c>
      <c r="AM24" s="4">
        <f>AL24/$AL$680*$AM$680</f>
        <v>5295235.020573659</v>
      </c>
      <c r="AN24" s="4"/>
      <c r="AO24" s="4"/>
      <c r="AP24" s="4"/>
      <c r="AQ24" s="4"/>
      <c r="AR24" s="4">
        <v>181915.599853</v>
      </c>
      <c r="AS24" s="4">
        <f>AR24/$AR$680*$AS$680</f>
        <v>178336.17816312032</v>
      </c>
      <c r="AT24" s="3"/>
      <c r="AU24" s="4"/>
      <c r="AV24" s="4"/>
      <c r="AW24" s="4"/>
      <c r="AX24" s="4">
        <v>50711.096277</v>
      </c>
      <c r="AY24" s="4">
        <f>AX24/$AX$680*$AY$680</f>
        <v>49695.173878845024</v>
      </c>
      <c r="AZ24" s="3"/>
      <c r="BA24" s="4"/>
      <c r="BB24" s="3"/>
      <c r="BC24" s="4"/>
      <c r="BD24" s="4"/>
      <c r="BE24" s="4"/>
      <c r="BF24" s="4"/>
      <c r="BG24" s="4"/>
      <c r="BH24" s="4"/>
      <c r="BI24" s="4"/>
      <c r="BJ24" s="4">
        <v>15568673.170519</v>
      </c>
      <c r="BK24" s="4">
        <f>BJ24/BJ23*BI23</f>
        <v>124723.7938950822</v>
      </c>
      <c r="BL24" s="4">
        <f>BH24+BK24</f>
        <v>124723.7938950822</v>
      </c>
      <c r="BM24" s="4"/>
      <c r="BN24" s="4"/>
      <c r="BO24" s="4">
        <v>21445.667839</v>
      </c>
      <c r="BP24" s="4"/>
      <c r="BQ24" s="4">
        <f>AG24+AI24+AL24+AN24+AP24+AR24+AT24+AV24+AX24+AZ24+BB24+BD24+BF24+BH24+BK24+BM24+BO24</f>
        <v>8287541.1132390825</v>
      </c>
      <c r="BT24" s="4">
        <f>AJ24+AM24+AQ24+AS24+AU24+AW24+AY24+BA24+BC24+BG24+BL24+BN24+BP24</f>
        <v>5647990.166510707</v>
      </c>
      <c r="BW24" s="52"/>
      <c r="BX24" s="4">
        <f t="shared" si="0"/>
        <v>15607908.165439084</v>
      </c>
      <c r="BY24" s="4">
        <f t="shared" si="1"/>
        <v>13108236.843911981</v>
      </c>
    </row>
    <row r="25" spans="1:77" ht="12.75">
      <c r="A25" s="5" t="s">
        <v>658</v>
      </c>
      <c r="B25" s="5" t="s">
        <v>24</v>
      </c>
      <c r="C25" s="5" t="s">
        <v>1341</v>
      </c>
      <c r="D25" s="6">
        <v>36266518.173557</v>
      </c>
      <c r="E25" s="6">
        <f>D25*RPI_inc</f>
        <v>36959508.96668229</v>
      </c>
      <c r="F25" s="6"/>
      <c r="G25" s="6"/>
      <c r="H25" s="6"/>
      <c r="I25" s="6"/>
      <c r="J25" s="6">
        <v>661785.782947</v>
      </c>
      <c r="K25" s="6">
        <f>J25*RPI_inc</f>
        <v>674431.3711561783</v>
      </c>
      <c r="L25" s="6">
        <v>3512656.688258</v>
      </c>
      <c r="M25" s="6">
        <f>L25*RPI_inc</f>
        <v>3579777.516696051</v>
      </c>
      <c r="N25" s="6"/>
      <c r="O25" s="6"/>
      <c r="P25" s="6"/>
      <c r="Q25" s="6"/>
      <c r="R25" s="6"/>
      <c r="S25" s="6"/>
      <c r="T25" s="6"/>
      <c r="U25" s="6"/>
      <c r="V25" s="6">
        <v>48588.522335</v>
      </c>
      <c r="W25" s="6">
        <f>V25*RPI_inc</f>
        <v>49516.96543694268</v>
      </c>
      <c r="X25" s="6">
        <v>2329330.909764</v>
      </c>
      <c r="Y25" s="6">
        <f>X25*RPI_inc</f>
        <v>2373840.4175938857</v>
      </c>
      <c r="Z25" s="14">
        <f>D25+F25+H25+J25+L25+N25+P25+R25+T25+V25+X25</f>
        <v>42818880.076860994</v>
      </c>
      <c r="AC25" s="14">
        <f>E25+G25+I25+K25+M25+O25+Q25+S25+U25+W25+Y25</f>
        <v>43637075.23756535</v>
      </c>
      <c r="AF25" s="51"/>
      <c r="AG25" s="6">
        <v>1074948</v>
      </c>
      <c r="AH25" s="6">
        <f>AG25/$AG$680*$AH$680</f>
        <v>809361.1290638945</v>
      </c>
      <c r="AI25" s="6">
        <v>43333470.413373</v>
      </c>
      <c r="AJ25" s="6">
        <f>AI25/$AI$680*$AJ$680</f>
        <v>29702954.981637087</v>
      </c>
      <c r="AK25" s="6">
        <f>AJ25-AH25</f>
        <v>28893593.852573194</v>
      </c>
      <c r="AL25" s="6"/>
      <c r="AM25" s="6"/>
      <c r="AN25" s="6"/>
      <c r="AO25" s="6"/>
      <c r="AP25" s="6"/>
      <c r="AQ25" s="6"/>
      <c r="AR25" s="6">
        <v>955840.815386</v>
      </c>
      <c r="AS25" s="6">
        <f>AR25/$AR$680*$AS$680</f>
        <v>937033.4269628543</v>
      </c>
      <c r="AT25" s="6">
        <v>4443222.035744</v>
      </c>
      <c r="AU25" s="6">
        <f>AT25/$AT$680*$AU$680</f>
        <v>3667006.950573069</v>
      </c>
      <c r="AV25" s="6"/>
      <c r="AW25" s="6"/>
      <c r="AX25" s="6"/>
      <c r="AY25" s="6"/>
      <c r="AZ25" s="6">
        <v>68926.694148</v>
      </c>
      <c r="BA25" s="6">
        <f>AZ25/$AZ$680*$BA$680</f>
        <v>67545.84777655266</v>
      </c>
      <c r="BB25" s="6">
        <v>3444323.209321</v>
      </c>
      <c r="BC25" s="6">
        <f>BB25/$BB$680*$BC$680</f>
        <v>3378125.6133554745</v>
      </c>
      <c r="BD25" s="6"/>
      <c r="BE25" s="6"/>
      <c r="BF25" s="6"/>
      <c r="BG25" s="6"/>
      <c r="BH25" s="6"/>
      <c r="BI25" s="6"/>
      <c r="BJ25" s="6">
        <v>84644371.871892</v>
      </c>
      <c r="BK25" s="6">
        <f>BJ25/BJ23*BI23</f>
        <v>678103.2061049178</v>
      </c>
      <c r="BL25" s="6">
        <f>BH25+BK25</f>
        <v>678103.2061049178</v>
      </c>
      <c r="BM25" s="6"/>
      <c r="BN25" s="6"/>
      <c r="BO25" s="6">
        <v>125441.72619</v>
      </c>
      <c r="BP25" s="6">
        <v>-116750</v>
      </c>
      <c r="BQ25" s="6">
        <f>AG25+AI25+AL25+AN25+AP25+AR25+AT25+AV25+AX25+AZ25+BB25+BD25+BF25+BH25+BK25+BM25+BO25</f>
        <v>54124276.10026692</v>
      </c>
      <c r="BT25" s="6">
        <f>AJ25+AM25+AQ25+AS25+AU25+AW25+AY25+BA25+BC25+BG25+BL25+BN25+BP25</f>
        <v>38314020.02640996</v>
      </c>
      <c r="BW25" s="52"/>
      <c r="BX25" s="6">
        <f t="shared" si="0"/>
        <v>96943156.17712791</v>
      </c>
      <c r="BY25" s="6">
        <f t="shared" si="1"/>
        <v>81951095.26397532</v>
      </c>
    </row>
    <row r="26" spans="1:77" ht="12.75">
      <c r="A26" t="s">
        <v>659</v>
      </c>
      <c r="B26" t="s">
        <v>25</v>
      </c>
      <c r="J26"/>
      <c r="K26"/>
      <c r="L26"/>
      <c r="M26"/>
      <c r="V26"/>
      <c r="X26"/>
      <c r="Z26" s="12">
        <f>Z27+Z28</f>
        <v>32434060.596286997</v>
      </c>
      <c r="AC26" s="12">
        <f>AC27+AC28</f>
        <v>33053819.71596127</v>
      </c>
      <c r="AF26" s="51"/>
      <c r="AG26"/>
      <c r="AI26"/>
      <c r="AR26"/>
      <c r="AT26"/>
      <c r="AZ26"/>
      <c r="BB26"/>
      <c r="BD26"/>
      <c r="BE26"/>
      <c r="BF26"/>
      <c r="BH26"/>
      <c r="BI26">
        <v>898651</v>
      </c>
      <c r="BJ26" s="1">
        <v>60447969.323697</v>
      </c>
      <c r="BL26"/>
      <c r="BO26"/>
      <c r="BP26"/>
      <c r="BQ26" s="1">
        <f>BQ27+BQ28</f>
        <v>41753305.65878099</v>
      </c>
      <c r="BT26" s="1">
        <f>BT27+BT28</f>
        <v>30404444.73328558</v>
      </c>
      <c r="BW26" s="52"/>
      <c r="BX26" s="1">
        <f t="shared" si="0"/>
        <v>74187366.25506799</v>
      </c>
      <c r="BY26" s="1">
        <f t="shared" si="1"/>
        <v>63458264.44924685</v>
      </c>
    </row>
    <row r="27" spans="1:77" ht="12.75">
      <c r="A27" s="3" t="s">
        <v>660</v>
      </c>
      <c r="B27" s="3" t="s">
        <v>26</v>
      </c>
      <c r="C27" s="3" t="s">
        <v>1341</v>
      </c>
      <c r="D27" s="3"/>
      <c r="E27" s="4"/>
      <c r="F27" s="4">
        <v>5351211.978784</v>
      </c>
      <c r="G27" s="4">
        <f>F27*RPI_inc</f>
        <v>5453464.436977324</v>
      </c>
      <c r="H27" s="4"/>
      <c r="I27" s="4"/>
      <c r="J27" s="4">
        <v>169374.326574</v>
      </c>
      <c r="K27" s="4">
        <f>J27*RPI_inc</f>
        <v>172610.77867414014</v>
      </c>
      <c r="L27" s="3"/>
      <c r="M27" s="4"/>
      <c r="N27" s="4"/>
      <c r="O27" s="4"/>
      <c r="P27" s="4"/>
      <c r="Q27" s="4"/>
      <c r="R27" s="4"/>
      <c r="S27" s="4"/>
      <c r="T27" s="4">
        <v>38461.094033</v>
      </c>
      <c r="U27" s="4">
        <f>T27*RPI_inc</f>
        <v>39196.0193966879</v>
      </c>
      <c r="V27" s="3"/>
      <c r="W27" s="4"/>
      <c r="X27" s="3"/>
      <c r="Y27" s="4"/>
      <c r="Z27" s="13">
        <f>D27+F27+H27+J27+L27+N27+P27+R27+T27+V27+X27</f>
        <v>5559047.399390999</v>
      </c>
      <c r="AC27" s="13">
        <f>E27+G27+I27+K27+M27+O27+Q27+S27+U27+W27+Y27</f>
        <v>5665271.2350481525</v>
      </c>
      <c r="AF27" s="51"/>
      <c r="AG27" s="3"/>
      <c r="AH27" s="4"/>
      <c r="AI27" s="3"/>
      <c r="AJ27" s="4"/>
      <c r="AK27" s="4"/>
      <c r="AL27" s="4">
        <v>5911905.612905</v>
      </c>
      <c r="AM27" s="4">
        <f>AL27/$AL$680*$AM$680</f>
        <v>3958267.6918295175</v>
      </c>
      <c r="AN27" s="4"/>
      <c r="AO27" s="4"/>
      <c r="AP27" s="4"/>
      <c r="AQ27" s="4"/>
      <c r="AR27" s="4">
        <v>244633.382266</v>
      </c>
      <c r="AS27" s="4">
        <f>AR27/$AR$680*$AS$680</f>
        <v>239819.90813151607</v>
      </c>
      <c r="AT27" s="3"/>
      <c r="AU27" s="4"/>
      <c r="AV27" s="4"/>
      <c r="AW27" s="4"/>
      <c r="AX27" s="4">
        <v>54560.129265</v>
      </c>
      <c r="AY27" s="4">
        <f>AX27/$AX$680*$AY$680</f>
        <v>53467.09713917542</v>
      </c>
      <c r="AZ27" s="3"/>
      <c r="BA27" s="4"/>
      <c r="BB27" s="3"/>
      <c r="BC27" s="4"/>
      <c r="BD27" s="4"/>
      <c r="BE27" s="4"/>
      <c r="BF27" s="4"/>
      <c r="BG27" s="4"/>
      <c r="BH27" s="4">
        <v>166948.894933</v>
      </c>
      <c r="BI27" s="4"/>
      <c r="BJ27" s="4">
        <v>11293610.271882</v>
      </c>
      <c r="BK27" s="4">
        <f>BJ27/BJ26*BI26</f>
        <v>167896.69327168583</v>
      </c>
      <c r="BL27" s="4">
        <f>BH27+BK27</f>
        <v>334845.58820468583</v>
      </c>
      <c r="BM27" s="4"/>
      <c r="BN27" s="4"/>
      <c r="BO27" s="4">
        <v>16285.724907</v>
      </c>
      <c r="BP27" s="4"/>
      <c r="BQ27" s="4">
        <f>AG27+AI27+AL27+AN27+AP27+AR27+AT27+AV27+AX27+AZ27+BB27+BD27+BF27+BH27+BK27+BM27+BO27</f>
        <v>6562230.437547686</v>
      </c>
      <c r="BT27" s="4">
        <f>AJ27+AM27+AQ27+AS27+AU27+AW27+AY27+BA27+BC27+BG27+BL27+BN27+BP27</f>
        <v>4586400.285304894</v>
      </c>
      <c r="BW27" s="52"/>
      <c r="BX27" s="4">
        <f t="shared" si="0"/>
        <v>12121277.836938685</v>
      </c>
      <c r="BY27" s="4">
        <f t="shared" si="1"/>
        <v>10251671.520353045</v>
      </c>
    </row>
    <row r="28" spans="1:77" ht="12.75">
      <c r="A28" s="5" t="s">
        <v>661</v>
      </c>
      <c r="B28" s="5" t="s">
        <v>27</v>
      </c>
      <c r="C28" s="5" t="s">
        <v>1341</v>
      </c>
      <c r="D28" s="6">
        <v>21216541.915483</v>
      </c>
      <c r="E28" s="6">
        <f>D28*RPI_inc</f>
        <v>21621953.544441275</v>
      </c>
      <c r="F28" s="6"/>
      <c r="G28" s="6"/>
      <c r="H28" s="6"/>
      <c r="I28" s="6"/>
      <c r="J28" s="6">
        <v>726918.554759</v>
      </c>
      <c r="K28" s="6">
        <f>J28*RPI_inc</f>
        <v>740808.7182257324</v>
      </c>
      <c r="L28" s="6">
        <v>2756056.011019</v>
      </c>
      <c r="M28" s="6">
        <f>L28*RPI_inc</f>
        <v>2808719.501675414</v>
      </c>
      <c r="N28" s="6"/>
      <c r="O28" s="6"/>
      <c r="P28" s="6"/>
      <c r="Q28" s="6"/>
      <c r="R28" s="6"/>
      <c r="S28" s="6"/>
      <c r="T28" s="6"/>
      <c r="U28" s="6"/>
      <c r="V28" s="6">
        <v>47651.777981</v>
      </c>
      <c r="W28" s="6">
        <f>V28*RPI_inc</f>
        <v>48562.32150929936</v>
      </c>
      <c r="X28" s="6">
        <v>2127844.937654</v>
      </c>
      <c r="Y28" s="6">
        <f>X28*RPI_inc</f>
        <v>2168504.395061401</v>
      </c>
      <c r="Z28" s="14">
        <f>D28+F28+H28+J28+L28+N28+P28+R28+T28+V28+X28</f>
        <v>26875013.196895998</v>
      </c>
      <c r="AC28" s="14">
        <f>E28+G28+I28+K28+M28+O28+Q28+S28+U28+W28+Y28</f>
        <v>27388548.480913118</v>
      </c>
      <c r="AF28" s="51"/>
      <c r="AG28" s="6">
        <v>554040</v>
      </c>
      <c r="AH28" s="6">
        <f>AG28/$AG$680*$AH$680</f>
        <v>417153.6111017092</v>
      </c>
      <c r="AI28" s="6">
        <v>25350831.501631</v>
      </c>
      <c r="AJ28" s="6">
        <f>AI28/$AI$680*$AJ$680</f>
        <v>17376743.650045477</v>
      </c>
      <c r="AK28" s="6">
        <f>AJ28-AH28</f>
        <v>16959590.038943768</v>
      </c>
      <c r="AL28" s="6"/>
      <c r="AM28" s="6"/>
      <c r="AN28" s="6"/>
      <c r="AO28" s="6"/>
      <c r="AP28" s="6"/>
      <c r="AQ28" s="6"/>
      <c r="AR28" s="6">
        <v>1049914.401313</v>
      </c>
      <c r="AS28" s="6">
        <f>AR28/$AR$680*$AS$680</f>
        <v>1029255.99497724</v>
      </c>
      <c r="AT28" s="6">
        <v>3486184.357508</v>
      </c>
      <c r="AU28" s="6">
        <f>AT28/$AT$680*$AU$680</f>
        <v>2877160.3505563587</v>
      </c>
      <c r="AV28" s="6"/>
      <c r="AW28" s="6"/>
      <c r="AX28" s="6"/>
      <c r="AY28" s="6"/>
      <c r="AZ28" s="6">
        <v>67597.847571</v>
      </c>
      <c r="BA28" s="6">
        <f>AZ28/$AZ$680*$BA$680</f>
        <v>66243.62271385481</v>
      </c>
      <c r="BB28" s="6">
        <v>3146390.954534</v>
      </c>
      <c r="BC28" s="6">
        <f>BB28/$BB$680*$BC$680</f>
        <v>3085919.417892441</v>
      </c>
      <c r="BD28" s="6"/>
      <c r="BE28" s="6"/>
      <c r="BF28" s="6"/>
      <c r="BG28" s="6"/>
      <c r="BH28" s="6">
        <v>726629.105067</v>
      </c>
      <c r="BI28" s="6"/>
      <c r="BJ28" s="6">
        <v>49154359.051815</v>
      </c>
      <c r="BK28" s="6">
        <f>BJ28/BJ26*BI26</f>
        <v>730754.3067283141</v>
      </c>
      <c r="BL28" s="6">
        <f>BH28+BK28</f>
        <v>1457383.4117953142</v>
      </c>
      <c r="BM28" s="6"/>
      <c r="BN28" s="6"/>
      <c r="BO28" s="6">
        <v>78732.746881</v>
      </c>
      <c r="BP28" s="6">
        <v>-74662</v>
      </c>
      <c r="BQ28" s="6">
        <f>AG28+AI28+AL28+AN28+AP28+AR28+AT28+AV28+AX28+AZ28+BB28+BD28+BF28+BH28+BK28+BM28+BO28</f>
        <v>35191075.22123331</v>
      </c>
      <c r="BT28" s="6">
        <f>AJ28+AM28+AQ28+AS28+AU28+AW28+AY28+BA28+BC28+BG28+BL28+BN28+BP28</f>
        <v>25818044.447980687</v>
      </c>
      <c r="BW28" s="52"/>
      <c r="BX28" s="6">
        <f t="shared" si="0"/>
        <v>62066088.41812931</v>
      </c>
      <c r="BY28" s="6">
        <f t="shared" si="1"/>
        <v>53206592.928893805</v>
      </c>
    </row>
    <row r="29" spans="1:77" ht="12.75">
      <c r="A29" t="s">
        <v>662</v>
      </c>
      <c r="B29" t="s">
        <v>28</v>
      </c>
      <c r="J29"/>
      <c r="K29"/>
      <c r="L29"/>
      <c r="M29"/>
      <c r="V29"/>
      <c r="X29"/>
      <c r="Z29" s="12">
        <f>Z30+Z31</f>
        <v>62870568.501699</v>
      </c>
      <c r="AC29" s="12">
        <f>AC30+AC31</f>
        <v>64071916.94440661</v>
      </c>
      <c r="AF29" s="51"/>
      <c r="AG29"/>
      <c r="AI29"/>
      <c r="AR29"/>
      <c r="AT29"/>
      <c r="AZ29"/>
      <c r="BB29"/>
      <c r="BD29"/>
      <c r="BE29"/>
      <c r="BF29"/>
      <c r="BH29"/>
      <c r="BI29">
        <v>1198800</v>
      </c>
      <c r="BJ29" s="1">
        <v>122980274.314386</v>
      </c>
      <c r="BL29"/>
      <c r="BO29"/>
      <c r="BP29"/>
      <c r="BQ29" s="1">
        <f>BQ30+BQ31</f>
        <v>78268429.351982</v>
      </c>
      <c r="BT29" s="1">
        <f>BT30+BT31</f>
        <v>55465064.312184736</v>
      </c>
      <c r="BW29" s="52"/>
      <c r="BX29" s="1">
        <f t="shared" si="0"/>
        <v>141138997.853681</v>
      </c>
      <c r="BY29" s="1">
        <f t="shared" si="1"/>
        <v>119536981.25659135</v>
      </c>
    </row>
    <row r="30" spans="1:77" ht="12.75">
      <c r="A30" s="3" t="s">
        <v>663</v>
      </c>
      <c r="B30" s="3" t="s">
        <v>29</v>
      </c>
      <c r="C30" s="3" t="s">
        <v>1341</v>
      </c>
      <c r="D30" s="3"/>
      <c r="E30" s="4"/>
      <c r="F30" s="4">
        <v>9410303.128849</v>
      </c>
      <c r="G30" s="4">
        <f>F30*RPI_inc</f>
        <v>9590117.838317452</v>
      </c>
      <c r="H30" s="4"/>
      <c r="I30" s="4"/>
      <c r="J30" s="4">
        <v>186146.601225</v>
      </c>
      <c r="K30" s="4">
        <f>J30*RPI_inc</f>
        <v>189703.5426496815</v>
      </c>
      <c r="L30" s="3"/>
      <c r="M30" s="4"/>
      <c r="N30" s="4"/>
      <c r="O30" s="4"/>
      <c r="P30" s="4"/>
      <c r="Q30" s="4"/>
      <c r="R30" s="4"/>
      <c r="S30" s="4"/>
      <c r="T30" s="4">
        <v>36638.922626</v>
      </c>
      <c r="U30" s="4">
        <f>T30*RPI_inc</f>
        <v>37339.0294277707</v>
      </c>
      <c r="V30" s="3"/>
      <c r="W30" s="4"/>
      <c r="X30" s="3"/>
      <c r="Y30" s="4"/>
      <c r="Z30" s="13">
        <f>D30+F30+H30+J30+L30+N30+P30+R30+T30+V30+X30</f>
        <v>9633088.6527</v>
      </c>
      <c r="AC30" s="13">
        <f>E30+G30+I30+K30+M30+O30+Q30+S30+U30+W30+Y30</f>
        <v>9817160.410394903</v>
      </c>
      <c r="AF30" s="51"/>
      <c r="AG30" s="3"/>
      <c r="AH30" s="4"/>
      <c r="AI30" s="3"/>
      <c r="AJ30" s="4"/>
      <c r="AK30" s="4"/>
      <c r="AL30" s="4">
        <v>10396303.511645</v>
      </c>
      <c r="AM30" s="4">
        <f>AL30/$AL$680*$AM$680</f>
        <v>6960759.355624617</v>
      </c>
      <c r="AN30" s="4"/>
      <c r="AO30" s="4"/>
      <c r="AP30" s="4"/>
      <c r="AQ30" s="4"/>
      <c r="AR30" s="4">
        <v>268858.176892</v>
      </c>
      <c r="AS30" s="4">
        <f>AR30/$AR$680*$AS$680</f>
        <v>263568.0489939727</v>
      </c>
      <c r="AT30" s="3"/>
      <c r="AU30" s="4"/>
      <c r="AV30" s="4"/>
      <c r="AW30" s="4"/>
      <c r="AX30" s="4">
        <v>51975.2338</v>
      </c>
      <c r="AY30" s="4">
        <f>AX30/$AX$680*$AY$680</f>
        <v>50933.98626162426</v>
      </c>
      <c r="AZ30" s="3"/>
      <c r="BA30" s="4"/>
      <c r="BB30" s="3"/>
      <c r="BC30" s="4"/>
      <c r="BD30" s="4"/>
      <c r="BE30" s="4"/>
      <c r="BF30" s="4"/>
      <c r="BG30" s="4"/>
      <c r="BH30" s="4"/>
      <c r="BI30" s="4"/>
      <c r="BJ30" s="4">
        <v>20045727.037786</v>
      </c>
      <c r="BK30" s="4">
        <f>BJ30/BJ29*BI29</f>
        <v>195403.83778512012</v>
      </c>
      <c r="BL30" s="4">
        <f>BH30+BK30</f>
        <v>195403.83778512012</v>
      </c>
      <c r="BM30" s="4"/>
      <c r="BN30" s="4"/>
      <c r="BO30" s="4">
        <v>28220.991931</v>
      </c>
      <c r="BP30" s="4"/>
      <c r="BQ30" s="4">
        <f>AG30+AI30+AL30+AN30+AP30+AR30+AT30+AV30+AX30+AZ30+BB30+BD30+BF30+BH30+BK30+BM30+BO30</f>
        <v>10940761.752053121</v>
      </c>
      <c r="BT30" s="4">
        <f>AJ30+AM30+AQ30+AS30+AU30+AW30+AY30+BA30+BC30+BG30+BL30+BN30+BP30</f>
        <v>7470665.228665334</v>
      </c>
      <c r="BW30" s="52"/>
      <c r="BX30" s="4">
        <f t="shared" si="0"/>
        <v>20573850.40475312</v>
      </c>
      <c r="BY30" s="4">
        <f t="shared" si="1"/>
        <v>17287825.639060237</v>
      </c>
    </row>
    <row r="31" spans="1:77" ht="12.75">
      <c r="A31" s="5" t="s">
        <v>664</v>
      </c>
      <c r="B31" s="5" t="s">
        <v>30</v>
      </c>
      <c r="C31" s="5" t="s">
        <v>1341</v>
      </c>
      <c r="D31" s="6">
        <v>45120505.495792</v>
      </c>
      <c r="E31" s="6">
        <f>D31*RPI_inc</f>
        <v>45982680.7600428</v>
      </c>
      <c r="F31" s="6"/>
      <c r="G31" s="6"/>
      <c r="H31" s="6"/>
      <c r="I31" s="6"/>
      <c r="J31" s="6">
        <v>966396.363523</v>
      </c>
      <c r="K31" s="6">
        <f>J31*RPI_inc</f>
        <v>984862.536074395</v>
      </c>
      <c r="L31" s="6">
        <v>4181233.606173</v>
      </c>
      <c r="M31" s="6">
        <f>L31*RPI_inc</f>
        <v>4261129.7897304455</v>
      </c>
      <c r="N31" s="6"/>
      <c r="O31" s="6"/>
      <c r="P31" s="6"/>
      <c r="Q31" s="6"/>
      <c r="R31" s="6"/>
      <c r="S31" s="6"/>
      <c r="T31" s="6"/>
      <c r="U31" s="6"/>
      <c r="V31" s="6">
        <v>52254.043718</v>
      </c>
      <c r="W31" s="6">
        <f>V31*RPI_inc</f>
        <v>53252.52862980892</v>
      </c>
      <c r="X31" s="6">
        <v>2917090.339793</v>
      </c>
      <c r="Y31" s="6">
        <f>X31*RPI_inc</f>
        <v>2972830.9195342674</v>
      </c>
      <c r="Z31" s="14">
        <f>D31+F31+H31+J31+L31+N31+P31+R31+T31+V31+X31</f>
        <v>53237479.848999</v>
      </c>
      <c r="AC31" s="14">
        <f>E31+G31+I31+K31+M31+O31+Q31+S31+U31+W31+Y31</f>
        <v>54254756.534011714</v>
      </c>
      <c r="AF31" s="51"/>
      <c r="AG31" s="6">
        <v>1183275</v>
      </c>
      <c r="AH31" s="6">
        <f>AG31/$AG$680*$AH$680</f>
        <v>890923.8307277</v>
      </c>
      <c r="AI31" s="6">
        <v>53912759.989294</v>
      </c>
      <c r="AJ31" s="6">
        <f>AI31/$AI$680*$AJ$680</f>
        <v>36954535.78081325</v>
      </c>
      <c r="AK31" s="6">
        <f>AJ31-AH31</f>
        <v>36063611.95008555</v>
      </c>
      <c r="AL31" s="6"/>
      <c r="AM31" s="6"/>
      <c r="AN31" s="6"/>
      <c r="AO31" s="6"/>
      <c r="AP31" s="6"/>
      <c r="AQ31" s="6"/>
      <c r="AR31" s="6">
        <v>1395800.743834</v>
      </c>
      <c r="AS31" s="6">
        <f>AR31/$AR$680*$AS$680</f>
        <v>1368336.5820948924</v>
      </c>
      <c r="AT31" s="6">
        <v>5288916.892346</v>
      </c>
      <c r="AU31" s="6">
        <f>AT31/$AT$680*$AU$680</f>
        <v>4364961.9238505075</v>
      </c>
      <c r="AV31" s="6"/>
      <c r="AW31" s="6"/>
      <c r="AX31" s="6"/>
      <c r="AY31" s="6"/>
      <c r="AZ31" s="6">
        <v>74126.528576</v>
      </c>
      <c r="BA31" s="6">
        <f>AZ31/$AZ$680*$BA$680</f>
        <v>72641.51106170613</v>
      </c>
      <c r="BB31" s="6">
        <v>4313428.340696</v>
      </c>
      <c r="BC31" s="6">
        <f>BB31/$BB$680*$BC$680</f>
        <v>4230527.123484177</v>
      </c>
      <c r="BD31" s="6"/>
      <c r="BE31" s="6"/>
      <c r="BF31" s="6"/>
      <c r="BG31" s="6"/>
      <c r="BH31" s="6"/>
      <c r="BI31" s="6"/>
      <c r="BJ31" s="6">
        <v>102934547.276599</v>
      </c>
      <c r="BK31" s="6">
        <f>BJ31/BJ29*BI29</f>
        <v>1003396.1622148702</v>
      </c>
      <c r="BL31" s="6">
        <f>BH31+BK31</f>
        <v>1003396.1622148702</v>
      </c>
      <c r="BM31" s="6"/>
      <c r="BN31" s="6"/>
      <c r="BO31" s="6">
        <v>155963.942968</v>
      </c>
      <c r="BP31" s="6"/>
      <c r="BQ31" s="6">
        <f>AG31+AI31+AL31+AN31+AP31+AR31+AT31+AV31+AX31+AZ31+BB31+BD31+BF31+BH31+BK31+BM31+BO31</f>
        <v>67327667.59992887</v>
      </c>
      <c r="BT31" s="6">
        <f>AJ31+AM31+AQ31+AS31+AU31+AW31+AY31+BA31+BC31+BG31+BL31+BN31+BP31</f>
        <v>47994399.0835194</v>
      </c>
      <c r="BW31" s="52"/>
      <c r="BX31" s="6">
        <f t="shared" si="0"/>
        <v>120565147.44892788</v>
      </c>
      <c r="BY31" s="6">
        <f t="shared" si="1"/>
        <v>102249155.61753112</v>
      </c>
    </row>
    <row r="32" spans="1:77" ht="12.75">
      <c r="A32" t="s">
        <v>665</v>
      </c>
      <c r="B32" t="s">
        <v>31</v>
      </c>
      <c r="J32"/>
      <c r="K32"/>
      <c r="L32"/>
      <c r="M32"/>
      <c r="V32"/>
      <c r="X32"/>
      <c r="Z32" s="12">
        <f>Z33+Z34</f>
        <v>55562446.320902005</v>
      </c>
      <c r="AC32" s="12">
        <f>AC33+AC34</f>
        <v>56624149.11684281</v>
      </c>
      <c r="AF32" s="51"/>
      <c r="AG32"/>
      <c r="AI32"/>
      <c r="AR32"/>
      <c r="AT32"/>
      <c r="AZ32"/>
      <c r="BB32"/>
      <c r="BD32"/>
      <c r="BE32"/>
      <c r="BF32"/>
      <c r="BH32"/>
      <c r="BI32">
        <v>523815</v>
      </c>
      <c r="BJ32" s="1">
        <v>98197452.454224</v>
      </c>
      <c r="BL32"/>
      <c r="BO32"/>
      <c r="BP32"/>
      <c r="BQ32" s="1">
        <f>BQ33+BQ34</f>
        <v>69452712.088037</v>
      </c>
      <c r="BT32" s="1">
        <f>BT33+BT34</f>
        <v>48962535.252408005</v>
      </c>
      <c r="BW32" s="52"/>
      <c r="BX32" s="1">
        <f t="shared" si="0"/>
        <v>125015158.408939</v>
      </c>
      <c r="BY32" s="1">
        <f t="shared" si="1"/>
        <v>105586684.3692508</v>
      </c>
    </row>
    <row r="33" spans="1:77" ht="12.75">
      <c r="A33" s="3" t="s">
        <v>666</v>
      </c>
      <c r="B33" s="3" t="s">
        <v>32</v>
      </c>
      <c r="C33" s="3" t="s">
        <v>1341</v>
      </c>
      <c r="D33" s="3"/>
      <c r="E33" s="4"/>
      <c r="F33" s="4">
        <v>6593303.121248</v>
      </c>
      <c r="G33" s="4">
        <f>F33*RPI_inc</f>
        <v>6719289.805093504</v>
      </c>
      <c r="H33" s="4"/>
      <c r="I33" s="4"/>
      <c r="J33" s="4">
        <v>71406.644425</v>
      </c>
      <c r="K33" s="4">
        <f>J33*RPI_inc</f>
        <v>72771.10259872612</v>
      </c>
      <c r="L33" s="3"/>
      <c r="M33" s="4"/>
      <c r="N33" s="4"/>
      <c r="O33" s="4"/>
      <c r="P33" s="4"/>
      <c r="Q33" s="4"/>
      <c r="R33" s="4"/>
      <c r="S33" s="4"/>
      <c r="T33" s="4">
        <v>23274.431663</v>
      </c>
      <c r="U33" s="4">
        <f>T33*RPI_inc</f>
        <v>23719.16602598726</v>
      </c>
      <c r="V33" s="3"/>
      <c r="W33" s="4"/>
      <c r="X33" s="3"/>
      <c r="Y33" s="4"/>
      <c r="Z33" s="13">
        <f>D33+F33+H33+J33+L33+N33+P33+R33+T33+V33+X33</f>
        <v>6687984.197336</v>
      </c>
      <c r="AC33" s="13">
        <f>E33+G33+I33+K33+M33+O33+Q33+S33+U33+W33+Y33</f>
        <v>6815780.073718216</v>
      </c>
      <c r="AF33" s="51"/>
      <c r="AG33" s="3"/>
      <c r="AH33" s="4"/>
      <c r="AI33" s="3"/>
      <c r="AJ33" s="4"/>
      <c r="AK33" s="4"/>
      <c r="AL33" s="4">
        <v>7284141.589725</v>
      </c>
      <c r="AM33" s="4">
        <f>AL33/$AL$680*$AM$680</f>
        <v>4877036.983537424</v>
      </c>
      <c r="AN33" s="4"/>
      <c r="AO33" s="4"/>
      <c r="AP33" s="4"/>
      <c r="AQ33" s="4"/>
      <c r="AR33" s="4">
        <v>103135.163962</v>
      </c>
      <c r="AS33" s="4">
        <f>AR33/$AR$680*$AS$680</f>
        <v>101105.8479320763</v>
      </c>
      <c r="AT33" s="3"/>
      <c r="AU33" s="4"/>
      <c r="AV33" s="4"/>
      <c r="AW33" s="4"/>
      <c r="AX33" s="4">
        <v>33016.637514</v>
      </c>
      <c r="AY33" s="4">
        <f>AX33/$AX$680*$AY$680</f>
        <v>32355.197631513187</v>
      </c>
      <c r="AZ33" s="3"/>
      <c r="BA33" s="4"/>
      <c r="BB33" s="3"/>
      <c r="BC33" s="4"/>
      <c r="BD33" s="4"/>
      <c r="BE33" s="4"/>
      <c r="BF33" s="4"/>
      <c r="BG33" s="4"/>
      <c r="BH33" s="4">
        <v>67363.007246</v>
      </c>
      <c r="BI33" s="4"/>
      <c r="BJ33" s="4">
        <v>12668559.551375</v>
      </c>
      <c r="BK33" s="4">
        <f>BJ33/BJ32*BI32</f>
        <v>67577.93970772249</v>
      </c>
      <c r="BL33" s="4">
        <f>BH33+BK33</f>
        <v>134940.94695372248</v>
      </c>
      <c r="BM33" s="4"/>
      <c r="BN33" s="4"/>
      <c r="BO33" s="4">
        <v>19593.045893</v>
      </c>
      <c r="BP33" s="4"/>
      <c r="BQ33" s="4">
        <f>AG33+AI33+AL33+AN33+AP33+AR33+AT33+AV33+AX33+AZ33+BB33+BD33+BF33+BH33+BK33+BM33+BO33</f>
        <v>7574827.384047722</v>
      </c>
      <c r="BT33" s="4">
        <f>AJ33+AM33+AQ33+AS33+AU33+AW33+AY33+BA33+BC33+BG33+BL33+BN33+BP33</f>
        <v>5145438.9760547355</v>
      </c>
      <c r="BW33" s="52"/>
      <c r="BX33" s="4">
        <f t="shared" si="0"/>
        <v>14262811.581383724</v>
      </c>
      <c r="BY33" s="4">
        <f t="shared" si="1"/>
        <v>11961219.049772952</v>
      </c>
    </row>
    <row r="34" spans="1:77" ht="12.75">
      <c r="A34" s="5" t="s">
        <v>667</v>
      </c>
      <c r="B34" s="5" t="s">
        <v>33</v>
      </c>
      <c r="C34" s="5" t="s">
        <v>1341</v>
      </c>
      <c r="D34" s="6">
        <v>42152636.97771</v>
      </c>
      <c r="E34" s="6">
        <f>D34*RPI_inc</f>
        <v>42958101.378557965</v>
      </c>
      <c r="F34" s="6"/>
      <c r="G34" s="6"/>
      <c r="H34" s="6"/>
      <c r="I34" s="6"/>
      <c r="J34" s="6">
        <v>463172.179536</v>
      </c>
      <c r="K34" s="6">
        <f>J34*RPI_inc</f>
        <v>472022.6033487898</v>
      </c>
      <c r="L34" s="6">
        <v>3316085.216513</v>
      </c>
      <c r="M34" s="6">
        <f>L34*RPI_inc</f>
        <v>3379449.9021788533</v>
      </c>
      <c r="N34" s="6"/>
      <c r="O34" s="6"/>
      <c r="P34" s="6"/>
      <c r="Q34" s="6"/>
      <c r="R34" s="6"/>
      <c r="S34" s="6"/>
      <c r="T34" s="6"/>
      <c r="U34" s="6"/>
      <c r="V34" s="6">
        <v>46755.761643</v>
      </c>
      <c r="W34" s="6">
        <f>V34*RPI_inc</f>
        <v>47649.18384</v>
      </c>
      <c r="X34" s="6">
        <v>2895811.988164</v>
      </c>
      <c r="Y34" s="6">
        <f>X34*RPI_inc</f>
        <v>2951145.975198981</v>
      </c>
      <c r="Z34" s="14">
        <f>D34+F34+H34+J34+L34+N34+P34+R34+T34+V34+X34</f>
        <v>48874462.123566</v>
      </c>
      <c r="AC34" s="14">
        <f>E34+G34+I34+K34+M34+O34+Q34+S34+U34+W34+Y34</f>
        <v>49808369.043124594</v>
      </c>
      <c r="AF34" s="51"/>
      <c r="AG34" s="6">
        <v>1245269</v>
      </c>
      <c r="AH34" s="6">
        <f>AG34/$AG$680*$AH$680</f>
        <v>937601.0037957806</v>
      </c>
      <c r="AI34" s="6">
        <v>50366567.823738</v>
      </c>
      <c r="AJ34" s="6">
        <f>AI34/$AI$680*$AJ$680</f>
        <v>34523796.095185906</v>
      </c>
      <c r="AK34" s="6">
        <f>AJ34-AH34</f>
        <v>33586195.091390125</v>
      </c>
      <c r="AL34" s="6"/>
      <c r="AM34" s="6"/>
      <c r="AN34" s="6"/>
      <c r="AO34" s="6"/>
      <c r="AP34" s="6"/>
      <c r="AQ34" s="6"/>
      <c r="AR34" s="6">
        <v>668976.102479</v>
      </c>
      <c r="AS34" s="6">
        <f>AR34/$AR$680*$AS$680</f>
        <v>655813.1435400225</v>
      </c>
      <c r="AT34" s="6">
        <v>4194575.278497</v>
      </c>
      <c r="AU34" s="6">
        <f>AT34/$AT$680*$AU$680</f>
        <v>3461797.8973843674</v>
      </c>
      <c r="AV34" s="6"/>
      <c r="AW34" s="6"/>
      <c r="AX34" s="6"/>
      <c r="AY34" s="6"/>
      <c r="AZ34" s="6">
        <v>66326.776933</v>
      </c>
      <c r="BA34" s="6">
        <f>AZ34/$AZ$680*$BA$680</f>
        <v>64998.01613299597</v>
      </c>
      <c r="BB34" s="6">
        <v>4281964.575687</v>
      </c>
      <c r="BC34" s="6">
        <f>BB34/$BB$680*$BC$680</f>
        <v>4199668.0710637</v>
      </c>
      <c r="BD34" s="6"/>
      <c r="BE34" s="6"/>
      <c r="BF34" s="6"/>
      <c r="BG34" s="6"/>
      <c r="BH34" s="6">
        <v>454785.992754</v>
      </c>
      <c r="BI34" s="6"/>
      <c r="BJ34" s="6">
        <v>85528892.902849</v>
      </c>
      <c r="BK34" s="6">
        <f>BJ34/BJ32*BI32</f>
        <v>456237.0602922775</v>
      </c>
      <c r="BL34" s="6">
        <f>BH34+BK34</f>
        <v>911023.0530462775</v>
      </c>
      <c r="BM34" s="6"/>
      <c r="BN34" s="6"/>
      <c r="BO34" s="6">
        <v>143182.093609</v>
      </c>
      <c r="BP34" s="6"/>
      <c r="BQ34" s="6">
        <f>AG34+AI34+AL34+AN34+AP34+AR34+AT34+AV34+AX34+AZ34+BB34+BD34+BF34+BH34+BK34+BM34+BO34</f>
        <v>61877884.703989275</v>
      </c>
      <c r="BT34" s="6">
        <f>AJ34+AM34+AQ34+AS34+AU34+AW34+AY34+BA34+BC34+BG34+BL34+BN34+BP34</f>
        <v>43817096.27635327</v>
      </c>
      <c r="BW34" s="52"/>
      <c r="BX34" s="6">
        <f t="shared" si="0"/>
        <v>110752346.82755527</v>
      </c>
      <c r="BY34" s="6">
        <f t="shared" si="1"/>
        <v>93625465.31947786</v>
      </c>
    </row>
    <row r="35" spans="1:77" ht="12.75">
      <c r="A35" t="s">
        <v>668</v>
      </c>
      <c r="B35" t="s">
        <v>34</v>
      </c>
      <c r="J35"/>
      <c r="K35"/>
      <c r="L35"/>
      <c r="M35"/>
      <c r="V35"/>
      <c r="X35"/>
      <c r="Z35" s="12">
        <f>Z36+Z37</f>
        <v>157375411.247969</v>
      </c>
      <c r="AC35" s="12">
        <f>AC36+AC37</f>
        <v>160382584.711306</v>
      </c>
      <c r="AF35" s="51"/>
      <c r="AG35"/>
      <c r="AI35"/>
      <c r="AR35"/>
      <c r="AT35"/>
      <c r="AZ35"/>
      <c r="BB35"/>
      <c r="BD35"/>
      <c r="BE35"/>
      <c r="BF35"/>
      <c r="BH35"/>
      <c r="BI35"/>
      <c r="BJ35" s="1">
        <v>288812133.131409</v>
      </c>
      <c r="BL35"/>
      <c r="BO35"/>
      <c r="BP35"/>
      <c r="BQ35" s="1">
        <f>BQ36+BQ37</f>
        <v>193451361.86178398</v>
      </c>
      <c r="BT35" s="1">
        <f>BT36+BT37</f>
        <v>134051528.23642883</v>
      </c>
      <c r="BW35" s="52"/>
      <c r="BX35" s="1">
        <f t="shared" si="0"/>
        <v>350826773.109753</v>
      </c>
      <c r="BY35" s="1">
        <f t="shared" si="1"/>
        <v>294434112.94773483</v>
      </c>
    </row>
    <row r="36" spans="1:77" ht="12.75">
      <c r="A36" s="3" t="s">
        <v>669</v>
      </c>
      <c r="B36" s="3" t="s">
        <v>35</v>
      </c>
      <c r="C36" s="3" t="s">
        <v>1341</v>
      </c>
      <c r="D36" s="3"/>
      <c r="E36" s="4"/>
      <c r="F36" s="4">
        <v>23824289.322422</v>
      </c>
      <c r="G36" s="4">
        <f>F36*RPI_inc</f>
        <v>24279530.519665733</v>
      </c>
      <c r="H36" s="4"/>
      <c r="I36" s="4"/>
      <c r="J36" s="4">
        <v>259418.840347</v>
      </c>
      <c r="K36" s="4">
        <f>J36*RPI_inc</f>
        <v>264375.8882517197</v>
      </c>
      <c r="L36" s="3"/>
      <c r="M36" s="4"/>
      <c r="N36" s="4"/>
      <c r="O36" s="4"/>
      <c r="P36" s="4"/>
      <c r="Q36" s="4"/>
      <c r="R36" s="4"/>
      <c r="S36" s="4"/>
      <c r="T36" s="4">
        <v>212615.71687</v>
      </c>
      <c r="U36" s="4">
        <f>T36*RPI_inc</f>
        <v>216678.4375745223</v>
      </c>
      <c r="V36" s="3"/>
      <c r="W36" s="4"/>
      <c r="X36" s="3"/>
      <c r="Y36" s="4"/>
      <c r="Z36" s="13">
        <f>D36+F36+H36+J36+L36+N36+P36+R36+T36+V36+X36</f>
        <v>24296323.879639</v>
      </c>
      <c r="AC36" s="13">
        <f>E36+G36+I36+K36+M36+O36+Q36+S36+U36+W36+Y36</f>
        <v>24760584.84549197</v>
      </c>
      <c r="AF36" s="51"/>
      <c r="AG36" s="3"/>
      <c r="AH36" s="4"/>
      <c r="AI36" s="3"/>
      <c r="AJ36" s="4"/>
      <c r="AK36" s="4"/>
      <c r="AL36" s="4">
        <v>26320570.055369</v>
      </c>
      <c r="AM36" s="4">
        <f>AL36/$AL$680*$AM$680</f>
        <v>17622720.811590996</v>
      </c>
      <c r="AN36" s="4"/>
      <c r="AO36" s="4"/>
      <c r="AP36" s="4"/>
      <c r="AQ36" s="4"/>
      <c r="AR36" s="4">
        <v>374687.885829</v>
      </c>
      <c r="AS36" s="4">
        <f>AR36/$AR$680*$AS$680</f>
        <v>367315.4232883755</v>
      </c>
      <c r="AT36" s="3"/>
      <c r="AU36" s="4"/>
      <c r="AV36" s="4"/>
      <c r="AW36" s="4"/>
      <c r="AX36" s="4">
        <v>301612.351072</v>
      </c>
      <c r="AY36" s="4">
        <f>AX36/$AX$680*$AY$680</f>
        <v>295569.99021786876</v>
      </c>
      <c r="AZ36" s="3"/>
      <c r="BA36" s="4"/>
      <c r="BB36" s="3"/>
      <c r="BC36" s="4"/>
      <c r="BD36" s="4"/>
      <c r="BE36" s="4"/>
      <c r="BF36" s="4"/>
      <c r="BG36" s="4"/>
      <c r="BH36" s="4"/>
      <c r="BI36" s="4"/>
      <c r="BJ36" s="4">
        <v>47045895.02284</v>
      </c>
      <c r="BK36" s="4"/>
      <c r="BL36" s="4"/>
      <c r="BM36" s="4"/>
      <c r="BN36" s="4"/>
      <c r="BO36" s="4">
        <v>71178.246654</v>
      </c>
      <c r="BP36" s="4"/>
      <c r="BQ36" s="4">
        <f>AG36+AI36+AL36+AN36+AP36+AR36+AT36+AV36+AX36+AZ36+BB36+BD36+BF36+BH36+BK36+BM36+BO36</f>
        <v>27068048.538924</v>
      </c>
      <c r="BT36" s="4">
        <f>AJ36+AM36+AQ36+AS36+AU36+AW36+AY36+BA36+BC36+BG36+BL36+BN36+BP36</f>
        <v>18285606.22509724</v>
      </c>
      <c r="BW36" s="52"/>
      <c r="BX36" s="4">
        <f t="shared" si="0"/>
        <v>51364372.418563</v>
      </c>
      <c r="BY36" s="4">
        <f t="shared" si="1"/>
        <v>43046191.070589215</v>
      </c>
    </row>
    <row r="37" spans="1:77" ht="12.75">
      <c r="A37" s="5" t="s">
        <v>670</v>
      </c>
      <c r="B37" s="5" t="s">
        <v>36</v>
      </c>
      <c r="C37" s="5" t="s">
        <v>1341</v>
      </c>
      <c r="D37" s="6">
        <v>117038600.545894</v>
      </c>
      <c r="E37" s="6">
        <f>D37*RPI_inc</f>
        <v>119275006.92575185</v>
      </c>
      <c r="F37" s="6"/>
      <c r="G37" s="6"/>
      <c r="H37" s="6"/>
      <c r="I37" s="6"/>
      <c r="J37" s="6">
        <v>1397469.320713</v>
      </c>
      <c r="K37" s="6">
        <f>J37*RPI_inc</f>
        <v>1424172.5561406368</v>
      </c>
      <c r="L37" s="6">
        <v>8128027.317236</v>
      </c>
      <c r="M37" s="6">
        <f>L37*RPI_inc</f>
        <v>8283339.941132229</v>
      </c>
      <c r="N37" s="6"/>
      <c r="O37" s="6"/>
      <c r="P37" s="6"/>
      <c r="Q37" s="6"/>
      <c r="R37" s="6"/>
      <c r="S37" s="6"/>
      <c r="T37" s="6"/>
      <c r="U37" s="6"/>
      <c r="V37" s="6">
        <v>52579.867841</v>
      </c>
      <c r="W37" s="6">
        <f>V37*RPI_inc</f>
        <v>53584.578691464965</v>
      </c>
      <c r="X37" s="6">
        <v>6462410.316646</v>
      </c>
      <c r="Y37" s="6">
        <f>X37*RPI_inc</f>
        <v>6585895.864097835</v>
      </c>
      <c r="Z37" s="14">
        <f>D37+F37+H37+J37+L37+N37+P37+R37+T37+V37+X37</f>
        <v>133079087.36833</v>
      </c>
      <c r="AC37" s="14">
        <f>E37+G37+I37+K37+M37+O37+Q37+S37+U37+W37+Y37</f>
        <v>135621999.86581403</v>
      </c>
      <c r="AF37" s="51"/>
      <c r="AG37" s="6">
        <v>4218421</v>
      </c>
      <c r="AH37" s="6">
        <f>AG37/$AG$680*$AH$680</f>
        <v>3176177.808998056</v>
      </c>
      <c r="AI37" s="6">
        <v>139844931.065814</v>
      </c>
      <c r="AJ37" s="6">
        <f>AI37/$AI$680*$AJ$680</f>
        <v>95856797.34933303</v>
      </c>
      <c r="AK37" s="6">
        <f>AJ37-AH37</f>
        <v>92680619.54033497</v>
      </c>
      <c r="AL37" s="6"/>
      <c r="AM37" s="6"/>
      <c r="AN37" s="6"/>
      <c r="AO37" s="6"/>
      <c r="AP37" s="6"/>
      <c r="AQ37" s="6"/>
      <c r="AR37" s="6">
        <v>2018414.794347</v>
      </c>
      <c r="AS37" s="6">
        <f>AR37/$AR$680*$AS$680</f>
        <v>1978699.906234613</v>
      </c>
      <c r="AT37" s="6">
        <v>10281286.583967</v>
      </c>
      <c r="AU37" s="6">
        <f>AT37/$AT$680*$AU$680</f>
        <v>8485182.388128767</v>
      </c>
      <c r="AV37" s="6"/>
      <c r="AW37" s="6"/>
      <c r="AX37" s="6"/>
      <c r="AY37" s="6"/>
      <c r="AZ37" s="6">
        <v>74588.736081</v>
      </c>
      <c r="BA37" s="6">
        <f>AZ37/$AZ$680*$BA$680</f>
        <v>73094.45890955842</v>
      </c>
      <c r="BB37" s="6">
        <v>9555804.093131</v>
      </c>
      <c r="BC37" s="6">
        <f>BB37/$BB$680*$BC$680</f>
        <v>9372147.908725616</v>
      </c>
      <c r="BD37" s="6"/>
      <c r="BE37" s="6"/>
      <c r="BF37" s="6"/>
      <c r="BG37" s="6"/>
      <c r="BH37" s="6"/>
      <c r="BI37" s="6"/>
      <c r="BJ37" s="6">
        <v>241766238.108569</v>
      </c>
      <c r="BK37" s="6"/>
      <c r="BL37" s="6"/>
      <c r="BM37" s="6"/>
      <c r="BN37" s="6"/>
      <c r="BO37" s="6">
        <v>389867.04952</v>
      </c>
      <c r="BP37" s="6"/>
      <c r="BQ37" s="6">
        <f>AG37+AI37+AL37+AN37+AP37+AR37+AT37+AV37+AX37+AZ37+BB37+BD37+BF37+BH37+BK37+BM37+BO37</f>
        <v>166383313.32285997</v>
      </c>
      <c r="BT37" s="6">
        <f>AJ37+AM37+AQ37+AS37+AU37+AW37+AY37+BA37+BC37+BG37+BL37+BN37+BP37</f>
        <v>115765922.01133159</v>
      </c>
      <c r="BW37" s="52"/>
      <c r="BX37" s="6">
        <f t="shared" si="0"/>
        <v>299462400.69119</v>
      </c>
      <c r="BY37" s="6">
        <f t="shared" si="1"/>
        <v>251387921.87714562</v>
      </c>
    </row>
    <row r="38" spans="1:77" ht="12.75">
      <c r="A38" t="s">
        <v>671</v>
      </c>
      <c r="B38" t="s">
        <v>37</v>
      </c>
      <c r="J38"/>
      <c r="K38"/>
      <c r="L38"/>
      <c r="M38"/>
      <c r="V38"/>
      <c r="X38"/>
      <c r="Z38" s="12">
        <f>Z39+Z40</f>
        <v>41164086.474796005</v>
      </c>
      <c r="AC38" s="12">
        <f>AC39+AC40</f>
        <v>41950661.37558828</v>
      </c>
      <c r="AF38" s="51"/>
      <c r="AG38"/>
      <c r="AI38"/>
      <c r="AR38"/>
      <c r="AT38"/>
      <c r="AZ38"/>
      <c r="BB38"/>
      <c r="BD38"/>
      <c r="BE38"/>
      <c r="BF38"/>
      <c r="BH38"/>
      <c r="BI38"/>
      <c r="BJ38" s="1">
        <v>81146040.672519</v>
      </c>
      <c r="BL38"/>
      <c r="BO38"/>
      <c r="BP38"/>
      <c r="BQ38" s="1">
        <f>BQ39+BQ40</f>
        <v>50968100.406993985</v>
      </c>
      <c r="BT38" s="1">
        <f>BT39+BT40</f>
        <v>35736020.29314752</v>
      </c>
      <c r="BW38" s="52"/>
      <c r="BX38" s="1">
        <f t="shared" si="0"/>
        <v>92132186.88178998</v>
      </c>
      <c r="BY38" s="1">
        <f t="shared" si="1"/>
        <v>77686681.6687358</v>
      </c>
    </row>
    <row r="39" spans="1:77" ht="12.75">
      <c r="A39" s="3" t="s">
        <v>672</v>
      </c>
      <c r="B39" s="3" t="s">
        <v>38</v>
      </c>
      <c r="C39" s="3" t="s">
        <v>1341</v>
      </c>
      <c r="D39" s="3"/>
      <c r="E39" s="4"/>
      <c r="F39" s="4">
        <v>5542065.416476</v>
      </c>
      <c r="G39" s="4">
        <f>F39*RPI_inc</f>
        <v>5647964.755644332</v>
      </c>
      <c r="H39" s="4"/>
      <c r="I39" s="4"/>
      <c r="J39" s="4">
        <v>101784.995687</v>
      </c>
      <c r="K39" s="4">
        <f>J39*RPI_inc</f>
        <v>103729.93191031847</v>
      </c>
      <c r="L39" s="3"/>
      <c r="M39" s="4"/>
      <c r="N39" s="4"/>
      <c r="O39" s="4"/>
      <c r="P39" s="4"/>
      <c r="Q39" s="4"/>
      <c r="R39" s="4"/>
      <c r="S39" s="4"/>
      <c r="T39" s="4">
        <v>20439.354513</v>
      </c>
      <c r="U39" s="4">
        <f>T39*RPI_inc</f>
        <v>20829.915427261145</v>
      </c>
      <c r="V39" s="3"/>
      <c r="W39" s="4"/>
      <c r="X39" s="3"/>
      <c r="Y39" s="4"/>
      <c r="Z39" s="13">
        <f>D39+F39+H39+J39+L39+N39+P39+R39+T39+V39+X39</f>
        <v>5664289.766676</v>
      </c>
      <c r="AC39" s="13">
        <f>E39+G39+I39+K39+M39+O39+Q39+S39+U39+W39+Y39</f>
        <v>5772524.602981911</v>
      </c>
      <c r="AF39" s="51"/>
      <c r="AG39" s="3"/>
      <c r="AH39" s="4"/>
      <c r="AI39" s="3"/>
      <c r="AJ39" s="4"/>
      <c r="AK39" s="4"/>
      <c r="AL39" s="4">
        <v>6122756.447073</v>
      </c>
      <c r="AM39" s="4">
        <f>AL39/$AL$680*$AM$680</f>
        <v>4099441.130536091</v>
      </c>
      <c r="AN39" s="4"/>
      <c r="AO39" s="4"/>
      <c r="AP39" s="4"/>
      <c r="AQ39" s="4"/>
      <c r="AR39" s="4">
        <v>147011.700431</v>
      </c>
      <c r="AS39" s="4">
        <f>AR39/$AR$680*$AS$680</f>
        <v>144119.05752619123</v>
      </c>
      <c r="AT39" s="3"/>
      <c r="AU39" s="4"/>
      <c r="AV39" s="4"/>
      <c r="AW39" s="4"/>
      <c r="AX39" s="4">
        <v>28994.854471</v>
      </c>
      <c r="AY39" s="4">
        <f>AX39/$AX$680*$AY$680</f>
        <v>28413.985110033478</v>
      </c>
      <c r="AZ39" s="3"/>
      <c r="BA39" s="4"/>
      <c r="BB39" s="3"/>
      <c r="BC39" s="4"/>
      <c r="BD39" s="4"/>
      <c r="BE39" s="4"/>
      <c r="BF39" s="4"/>
      <c r="BG39" s="4"/>
      <c r="BH39" s="4">
        <v>94814.868087</v>
      </c>
      <c r="BI39" s="4"/>
      <c r="BJ39" s="4">
        <v>11723910.050118</v>
      </c>
      <c r="BK39" s="4"/>
      <c r="BL39" s="4">
        <f>BH39+BK39</f>
        <v>94814.868087</v>
      </c>
      <c r="BM39" s="4"/>
      <c r="BN39" s="4"/>
      <c r="BO39" s="4">
        <v>16594.041803</v>
      </c>
      <c r="BP39" s="4"/>
      <c r="BQ39" s="4">
        <f>AG39+AI39+AL39+AN39+AP39+AR39+AT39+AV39+AX39+AZ39+BB39+BD39+BF39+BH39+BK39+BM39+BO39</f>
        <v>6410171.911865</v>
      </c>
      <c r="BT39" s="4">
        <f>AJ39+AM39+AQ39+AS39+AU39+AW39+AY39+BA39+BC39+BG39+BL39+BN39+BP39</f>
        <v>4366789.041259316</v>
      </c>
      <c r="BW39" s="52"/>
      <c r="BX39" s="4">
        <f t="shared" si="0"/>
        <v>12074461.678541001</v>
      </c>
      <c r="BY39" s="4">
        <f t="shared" si="1"/>
        <v>10139313.644241227</v>
      </c>
    </row>
    <row r="40" spans="1:77" ht="12.75">
      <c r="A40" s="5" t="s">
        <v>673</v>
      </c>
      <c r="B40" s="5" t="s">
        <v>39</v>
      </c>
      <c r="C40" s="5" t="s">
        <v>1341</v>
      </c>
      <c r="D40" s="6">
        <v>30630086.065949</v>
      </c>
      <c r="E40" s="6">
        <f>D40*RPI_inc</f>
        <v>31215374.334725097</v>
      </c>
      <c r="F40" s="6"/>
      <c r="G40" s="6"/>
      <c r="H40" s="6"/>
      <c r="I40" s="6"/>
      <c r="J40" s="6">
        <v>555087.025461</v>
      </c>
      <c r="K40" s="6">
        <f>J40*RPI_inc</f>
        <v>565693.7839092994</v>
      </c>
      <c r="L40" s="6">
        <v>2994255.162714</v>
      </c>
      <c r="M40" s="6">
        <f>L40*RPI_inc</f>
        <v>3051470.229517452</v>
      </c>
      <c r="N40" s="6"/>
      <c r="O40" s="6"/>
      <c r="P40" s="6"/>
      <c r="Q40" s="6"/>
      <c r="R40" s="6"/>
      <c r="S40" s="6"/>
      <c r="T40" s="6"/>
      <c r="U40" s="6"/>
      <c r="V40" s="6">
        <v>48588.522335</v>
      </c>
      <c r="W40" s="6">
        <f>V40*RPI_inc</f>
        <v>49516.96543694268</v>
      </c>
      <c r="X40" s="6">
        <v>1271779.931661</v>
      </c>
      <c r="Y40" s="6">
        <f>X40*RPI_inc</f>
        <v>1296081.4590175797</v>
      </c>
      <c r="Z40" s="14">
        <f>D40+F40+H40+J40+L40+N40+P40+R40+T40+V40+X40</f>
        <v>35499796.70812</v>
      </c>
      <c r="AC40" s="14">
        <f>E40+G40+I40+K40+M40+O40+Q40+S40+U40+W40+Y40</f>
        <v>36178136.77260637</v>
      </c>
      <c r="AF40" s="51"/>
      <c r="AG40" s="6">
        <v>755082</v>
      </c>
      <c r="AH40" s="6">
        <f>AG40/$AG$680*$AH$680</f>
        <v>568524.263551189</v>
      </c>
      <c r="AI40" s="6">
        <v>36598714.052061</v>
      </c>
      <c r="AJ40" s="6">
        <f>AI40/$AI$680*$AJ$680</f>
        <v>25086611.930778876</v>
      </c>
      <c r="AK40" s="6">
        <f>AJ40-AH40</f>
        <v>24518087.667227685</v>
      </c>
      <c r="AL40" s="6"/>
      <c r="AM40" s="6"/>
      <c r="AN40" s="6"/>
      <c r="AO40" s="6"/>
      <c r="AP40" s="6"/>
      <c r="AQ40" s="6"/>
      <c r="AR40" s="6">
        <v>801731.993493</v>
      </c>
      <c r="AS40" s="6">
        <f>AR40/$AR$680*$AS$680</f>
        <v>785956.892900757</v>
      </c>
      <c r="AT40" s="6">
        <v>3787486.708872</v>
      </c>
      <c r="AU40" s="6">
        <f>AT40/$AT$680*$AU$680</f>
        <v>3125826.2528649727</v>
      </c>
      <c r="AV40" s="6"/>
      <c r="AW40" s="6"/>
      <c r="AX40" s="6"/>
      <c r="AY40" s="6"/>
      <c r="AZ40" s="6">
        <v>68926.694148</v>
      </c>
      <c r="BA40" s="6">
        <f>AZ40/$AZ$680*$BA$680</f>
        <v>67545.84777655266</v>
      </c>
      <c r="BB40" s="6">
        <v>1880549.095626</v>
      </c>
      <c r="BC40" s="6">
        <f>BB40/$BB$680*$BC$680</f>
        <v>1844406.1956540414</v>
      </c>
      <c r="BD40" s="6"/>
      <c r="BE40" s="6"/>
      <c r="BF40" s="6"/>
      <c r="BG40" s="6"/>
      <c r="BH40" s="6">
        <v>561438.131913</v>
      </c>
      <c r="BI40" s="6"/>
      <c r="BJ40" s="6">
        <v>69422130.622401</v>
      </c>
      <c r="BK40" s="6"/>
      <c r="BL40" s="6">
        <f>BH40+BK40</f>
        <v>561438.131913</v>
      </c>
      <c r="BM40" s="6"/>
      <c r="BN40" s="6"/>
      <c r="BO40" s="6">
        <v>103999.819016</v>
      </c>
      <c r="BP40" s="6">
        <v>-102554</v>
      </c>
      <c r="BQ40" s="6">
        <f>AG40+AI40+AL40+AN40+AP40+AR40+AT40+AV40+AX40+AZ40+BB40+BD40+BF40+BH40+BK40+BM40+BO40</f>
        <v>44557928.49512899</v>
      </c>
      <c r="BT40" s="6">
        <f>AJ40+AM40+AQ40+AS40+AU40+AW40+AY40+BA40+BC40+BG40+BL40+BN40+BP40</f>
        <v>31369231.2518882</v>
      </c>
      <c r="BW40" s="52"/>
      <c r="BX40" s="6">
        <f t="shared" si="0"/>
        <v>80057725.203249</v>
      </c>
      <c r="BY40" s="6">
        <f t="shared" si="1"/>
        <v>67547368.02449457</v>
      </c>
    </row>
    <row r="41" spans="1:77" ht="12.75">
      <c r="A41" t="s">
        <v>674</v>
      </c>
      <c r="B41" t="s">
        <v>40</v>
      </c>
      <c r="J41"/>
      <c r="K41"/>
      <c r="L41"/>
      <c r="M41"/>
      <c r="V41"/>
      <c r="X41"/>
      <c r="Z41" s="12">
        <f>Z42+Z43</f>
        <v>57835349.007970996</v>
      </c>
      <c r="AC41" s="12">
        <f>AC42+AC43</f>
        <v>58940483.065448165</v>
      </c>
      <c r="AF41" s="51"/>
      <c r="AG41"/>
      <c r="AI41"/>
      <c r="AR41"/>
      <c r="AT41"/>
      <c r="AZ41"/>
      <c r="BB41"/>
      <c r="BD41"/>
      <c r="BE41"/>
      <c r="BF41"/>
      <c r="BH41"/>
      <c r="BI41"/>
      <c r="BJ41" s="1">
        <v>109967850.850079</v>
      </c>
      <c r="BL41"/>
      <c r="BO41"/>
      <c r="BP41"/>
      <c r="BQ41" s="1">
        <f>BQ42+BQ43</f>
        <v>71871177.430644</v>
      </c>
      <c r="BT41" s="1">
        <f>BT42+BT43</f>
        <v>50521588.11295632</v>
      </c>
      <c r="BW41" s="52"/>
      <c r="BX41" s="1">
        <f t="shared" si="0"/>
        <v>129706526.438615</v>
      </c>
      <c r="BY41" s="1">
        <f t="shared" si="1"/>
        <v>109462071.17840448</v>
      </c>
    </row>
    <row r="42" spans="1:77" ht="12.75">
      <c r="A42" s="3" t="s">
        <v>675</v>
      </c>
      <c r="B42" s="3" t="s">
        <v>41</v>
      </c>
      <c r="C42" s="3" t="s">
        <v>1341</v>
      </c>
      <c r="D42" s="3"/>
      <c r="E42" s="4"/>
      <c r="F42" s="4">
        <v>8749892.557932</v>
      </c>
      <c r="G42" s="4">
        <f>F42*RPI_inc</f>
        <v>8917087.957128154</v>
      </c>
      <c r="H42" s="4"/>
      <c r="I42" s="4"/>
      <c r="J42" s="4">
        <v>204010.228557</v>
      </c>
      <c r="K42" s="4">
        <f>J42*RPI_inc</f>
        <v>207908.51317910827</v>
      </c>
      <c r="L42" s="3"/>
      <c r="M42" s="4"/>
      <c r="N42" s="4"/>
      <c r="O42" s="4"/>
      <c r="P42" s="4"/>
      <c r="Q42" s="4"/>
      <c r="R42" s="4"/>
      <c r="S42" s="4"/>
      <c r="T42" s="4">
        <v>35747.793649</v>
      </c>
      <c r="U42" s="4">
        <f>T42*RPI_inc</f>
        <v>36430.87250853503</v>
      </c>
      <c r="V42" s="3"/>
      <c r="W42" s="4"/>
      <c r="X42" s="3"/>
      <c r="Y42" s="4"/>
      <c r="Z42" s="13">
        <f>D42+F42+H42+J42+L42+N42+P42+R42+T42+V42+X42</f>
        <v>8989650.580138</v>
      </c>
      <c r="AC42" s="13">
        <f>E42+G42+I42+K42+M42+O42+Q42+S42+U42+W42+Y42</f>
        <v>9161427.342815798</v>
      </c>
      <c r="AF42" s="51"/>
      <c r="AG42" s="3"/>
      <c r="AH42" s="4"/>
      <c r="AI42" s="3"/>
      <c r="AJ42" s="4"/>
      <c r="AK42" s="4"/>
      <c r="AL42" s="4">
        <v>9666695.905647</v>
      </c>
      <c r="AM42" s="4">
        <f>AL42/$AL$680*$AM$680</f>
        <v>6472256.594648386</v>
      </c>
      <c r="AN42" s="4"/>
      <c r="AO42" s="4"/>
      <c r="AP42" s="4"/>
      <c r="AQ42" s="4"/>
      <c r="AR42" s="4">
        <v>294659.251129</v>
      </c>
      <c r="AS42" s="4">
        <f>AR42/$AR$680*$AS$680</f>
        <v>288861.45415355026</v>
      </c>
      <c r="AT42" s="3"/>
      <c r="AU42" s="4"/>
      <c r="AV42" s="4"/>
      <c r="AW42" s="4"/>
      <c r="AX42" s="4">
        <v>50711.096277</v>
      </c>
      <c r="AY42" s="4">
        <f>AX42/$AX$680*$AY$680</f>
        <v>49695.173878845024</v>
      </c>
      <c r="AZ42" s="3"/>
      <c r="BA42" s="4"/>
      <c r="BB42" s="3"/>
      <c r="BC42" s="4"/>
      <c r="BD42" s="4"/>
      <c r="BE42" s="4"/>
      <c r="BF42" s="4"/>
      <c r="BG42" s="4"/>
      <c r="BH42" s="4">
        <v>188614.311758</v>
      </c>
      <c r="BI42" s="4"/>
      <c r="BJ42" s="4">
        <v>17685628.449437</v>
      </c>
      <c r="BK42" s="4"/>
      <c r="BL42" s="4">
        <f>BH42+BK42</f>
        <v>188614.311758</v>
      </c>
      <c r="BM42" s="4"/>
      <c r="BN42" s="4"/>
      <c r="BO42" s="4">
        <v>26335.982739</v>
      </c>
      <c r="BP42" s="4"/>
      <c r="BQ42" s="4">
        <f>AG42+AI42+AL42+AN42+AP42+AR42+AT42+AV42+AX42+AZ42+BB42+BD42+BF42+BH42+BK42+BM42+BO42</f>
        <v>10227016.54755</v>
      </c>
      <c r="BT42" s="4">
        <f>AJ42+AM42+AQ42+AS42+AU42+AW42+AY42+BA42+BC42+BG42+BL42+BN42+BP42</f>
        <v>6999427.534438781</v>
      </c>
      <c r="BW42" s="52"/>
      <c r="BX42" s="4">
        <f t="shared" si="0"/>
        <v>19216667.127687998</v>
      </c>
      <c r="BY42" s="4">
        <f t="shared" si="1"/>
        <v>16160854.87725458</v>
      </c>
    </row>
    <row r="43" spans="1:77" ht="12.75">
      <c r="A43" s="5" t="s">
        <v>676</v>
      </c>
      <c r="B43" s="5" t="s">
        <v>42</v>
      </c>
      <c r="C43" s="5" t="s">
        <v>1341</v>
      </c>
      <c r="D43" s="6">
        <v>42586480.892613</v>
      </c>
      <c r="E43" s="6">
        <f>D43*RPI_inc</f>
        <v>43400235.30457376</v>
      </c>
      <c r="F43" s="6"/>
      <c r="G43" s="6"/>
      <c r="H43" s="6"/>
      <c r="I43" s="6"/>
      <c r="J43" s="6">
        <v>996421.551222</v>
      </c>
      <c r="K43" s="6">
        <f>J43*RPI_inc</f>
        <v>1015461.4534746497</v>
      </c>
      <c r="L43" s="6">
        <v>3399914.074087</v>
      </c>
      <c r="M43" s="6">
        <f>L43*RPI_inc</f>
        <v>3464880.5850568153</v>
      </c>
      <c r="N43" s="6"/>
      <c r="O43" s="6"/>
      <c r="P43" s="6"/>
      <c r="Q43" s="6"/>
      <c r="R43" s="6"/>
      <c r="S43" s="6"/>
      <c r="T43" s="6"/>
      <c r="U43" s="6"/>
      <c r="V43" s="6">
        <v>49117.986534</v>
      </c>
      <c r="W43" s="6">
        <f>V43*RPI_inc</f>
        <v>50056.54678624204</v>
      </c>
      <c r="X43" s="6">
        <v>1813763.923377</v>
      </c>
      <c r="Y43" s="6">
        <f>X43*RPI_inc</f>
        <v>1848421.8327408917</v>
      </c>
      <c r="Z43" s="14">
        <f>D43+F43+H43+J43+L43+N43+P43+R43+T43+V43+X43</f>
        <v>48845698.427833</v>
      </c>
      <c r="AC43" s="14">
        <f>E43+G43+I43+K43+M43+O43+Q43+S43+U43+W43+Y43</f>
        <v>49779055.72263236</v>
      </c>
      <c r="AF43" s="51"/>
      <c r="AG43" s="6">
        <v>1140513</v>
      </c>
      <c r="AH43" s="6">
        <f>AG43/$AG$680*$AH$680</f>
        <v>858727.0169273764</v>
      </c>
      <c r="AI43" s="6">
        <v>50884951.263816</v>
      </c>
      <c r="AJ43" s="6">
        <f>AI43/$AI$680*$AJ$680</f>
        <v>34879122.35539495</v>
      </c>
      <c r="AK43" s="6">
        <f>AJ43-AH43</f>
        <v>34020395.338467576</v>
      </c>
      <c r="AL43" s="6"/>
      <c r="AM43" s="6"/>
      <c r="AN43" s="6"/>
      <c r="AO43" s="6"/>
      <c r="AP43" s="6"/>
      <c r="AQ43" s="6"/>
      <c r="AR43" s="6">
        <v>1439167.19357</v>
      </c>
      <c r="AS43" s="6">
        <f>AR43/$AR$680*$AS$680</f>
        <v>1410849.7415637379</v>
      </c>
      <c r="AT43" s="6">
        <v>4300611.894159</v>
      </c>
      <c r="AU43" s="6">
        <f>AT43/$AT$680*$AU$680</f>
        <v>3549310.2934608534</v>
      </c>
      <c r="AV43" s="6"/>
      <c r="AW43" s="6"/>
      <c r="AX43" s="6"/>
      <c r="AY43" s="6"/>
      <c r="AZ43" s="6">
        <v>69677.781343</v>
      </c>
      <c r="BA43" s="6">
        <f>AZ43/$AZ$680*$BA$680</f>
        <v>68281.88802870017</v>
      </c>
      <c r="BB43" s="6">
        <v>2681967.234166</v>
      </c>
      <c r="BC43" s="6">
        <f>BB43/$BB$680*$BC$680</f>
        <v>2630421.6118272943</v>
      </c>
      <c r="BD43" s="6"/>
      <c r="BE43" s="6"/>
      <c r="BF43" s="6"/>
      <c r="BG43" s="6"/>
      <c r="BH43" s="6">
        <v>984174.688242</v>
      </c>
      <c r="BI43" s="6"/>
      <c r="BJ43" s="6">
        <v>92282222.400642</v>
      </c>
      <c r="BK43" s="6"/>
      <c r="BL43" s="6">
        <f>BH43+BK43</f>
        <v>984174.688242</v>
      </c>
      <c r="BM43" s="6"/>
      <c r="BN43" s="6"/>
      <c r="BO43" s="6">
        <v>143097.827798</v>
      </c>
      <c r="BP43" s="6"/>
      <c r="BQ43" s="6">
        <f>AG43+AI43+AL43+AN43+AP43+AR43+AT43+AV43+AX43+AZ43+BB43+BD43+BF43+BH43+BK43+BM43+BO43</f>
        <v>61644160.883094005</v>
      </c>
      <c r="BT43" s="6">
        <f>AJ43+AM43+AQ43+AS43+AU43+AW43+AY43+BA43+BC43+BG43+BL43+BN43+BP43</f>
        <v>43522160.57851754</v>
      </c>
      <c r="BW43" s="52"/>
      <c r="BX43" s="6">
        <f t="shared" si="0"/>
        <v>110489859.310927</v>
      </c>
      <c r="BY43" s="6">
        <f t="shared" si="1"/>
        <v>93301216.3011499</v>
      </c>
    </row>
    <row r="44" spans="1:77" ht="12.75">
      <c r="A44" t="s">
        <v>677</v>
      </c>
      <c r="B44" t="s">
        <v>43</v>
      </c>
      <c r="J44"/>
      <c r="K44"/>
      <c r="L44"/>
      <c r="M44"/>
      <c r="V44"/>
      <c r="X44"/>
      <c r="Z44" s="12">
        <f>Z45+Z46</f>
        <v>72548554.60151601</v>
      </c>
      <c r="AC44" s="12">
        <f>AC45+AC46</f>
        <v>73934832.71492076</v>
      </c>
      <c r="AF44" s="51"/>
      <c r="AG44"/>
      <c r="AI44"/>
      <c r="AR44"/>
      <c r="AT44"/>
      <c r="AZ44"/>
      <c r="BB44"/>
      <c r="BD44"/>
      <c r="BE44"/>
      <c r="BF44"/>
      <c r="BH44"/>
      <c r="BI44">
        <v>1353712</v>
      </c>
      <c r="BJ44" s="1">
        <v>139468646.655781</v>
      </c>
      <c r="BL44"/>
      <c r="BO44"/>
      <c r="BP44"/>
      <c r="BQ44" s="1">
        <f>BQ45+BQ46</f>
        <v>90452835.164294</v>
      </c>
      <c r="BT44" s="1">
        <f>BT45+BT46</f>
        <v>63666731.447503775</v>
      </c>
      <c r="BW44" s="52"/>
      <c r="BX44" s="1">
        <f t="shared" si="0"/>
        <v>163001389.76581</v>
      </c>
      <c r="BY44" s="1">
        <f t="shared" si="1"/>
        <v>137601564.16242453</v>
      </c>
    </row>
    <row r="45" spans="1:77" ht="12.75">
      <c r="A45" s="3" t="s">
        <v>678</v>
      </c>
      <c r="B45" s="3" t="s">
        <v>44</v>
      </c>
      <c r="C45" s="3" t="s">
        <v>1341</v>
      </c>
      <c r="D45" s="3"/>
      <c r="E45" s="4"/>
      <c r="F45" s="4">
        <v>9893969.898784</v>
      </c>
      <c r="G45" s="4">
        <f>F45*RPI_inc</f>
        <v>10083026.648442293</v>
      </c>
      <c r="H45" s="4"/>
      <c r="I45" s="4"/>
      <c r="J45" s="4">
        <v>200662.310639</v>
      </c>
      <c r="K45" s="4">
        <f>J45*RPI_inc</f>
        <v>204496.62230726116</v>
      </c>
      <c r="L45" s="3"/>
      <c r="M45" s="4"/>
      <c r="N45" s="4"/>
      <c r="O45" s="4"/>
      <c r="P45" s="4"/>
      <c r="Q45" s="4"/>
      <c r="R45" s="4"/>
      <c r="S45" s="4"/>
      <c r="T45" s="4">
        <v>26919.181758</v>
      </c>
      <c r="U45" s="4">
        <f>T45*RPI_inc</f>
        <v>27433.561027261145</v>
      </c>
      <c r="V45" s="3"/>
      <c r="W45" s="4"/>
      <c r="X45" s="3"/>
      <c r="Y45" s="4"/>
      <c r="Z45" s="13">
        <f>D45+F45+H45+J45+L45+N45+P45+R45+T45+V45+X45</f>
        <v>10121551.391181</v>
      </c>
      <c r="AC45" s="13">
        <f>E45+G45+I45+K45+M45+O45+Q45+S45+U45+W45+Y45</f>
        <v>10314956.831776815</v>
      </c>
      <c r="AF45" s="51"/>
      <c r="AG45" s="3"/>
      <c r="AH45" s="4"/>
      <c r="AI45" s="3"/>
      <c r="AJ45" s="4"/>
      <c r="AK45" s="4"/>
      <c r="AL45" s="4">
        <v>10930648.311158</v>
      </c>
      <c r="AM45" s="4">
        <f>AL45/$AL$680*$AM$680</f>
        <v>7318525.513391489</v>
      </c>
      <c r="AN45" s="4"/>
      <c r="AO45" s="4"/>
      <c r="AP45" s="4"/>
      <c r="AQ45" s="4"/>
      <c r="AR45" s="4">
        <v>289823.733844</v>
      </c>
      <c r="AS45" s="4">
        <f>AR45/$AR$680*$AS$680</f>
        <v>284121.0818449333</v>
      </c>
      <c r="AT45" s="3"/>
      <c r="AU45" s="4"/>
      <c r="AV45" s="4"/>
      <c r="AW45" s="4"/>
      <c r="AX45" s="4">
        <v>38187.006203</v>
      </c>
      <c r="AY45" s="4">
        <f>AX45/$AX$680*$AY$680</f>
        <v>37421.98557106178</v>
      </c>
      <c r="AZ45" s="3"/>
      <c r="BA45" s="4"/>
      <c r="BB45" s="3"/>
      <c r="BC45" s="4"/>
      <c r="BD45" s="4"/>
      <c r="BE45" s="4"/>
      <c r="BF45" s="4"/>
      <c r="BG45" s="4"/>
      <c r="BH45" s="4"/>
      <c r="BI45" s="4"/>
      <c r="BJ45" s="4">
        <v>20296818.429002</v>
      </c>
      <c r="BK45" s="4">
        <f>BJ45/BJ44*BI44</f>
        <v>197005.18595390173</v>
      </c>
      <c r="BL45" s="4">
        <f>BH45+BK45</f>
        <v>197005.18595390173</v>
      </c>
      <c r="BM45" s="4"/>
      <c r="BN45" s="4"/>
      <c r="BO45" s="4">
        <v>29651.987066</v>
      </c>
      <c r="BP45" s="4"/>
      <c r="BQ45" s="4">
        <f>AG45+AI45+AL45+AN45+AP45+AR45+AT45+AV45+AX45+AZ45+BB45+BD45+BF45+BH45+BK45+BM45+BO45</f>
        <v>11485316.224224903</v>
      </c>
      <c r="BT45" s="4">
        <f>AJ45+AM45+AQ45+AS45+AU45+AW45+AY45+BA45+BC45+BG45+BL45+BN45+BP45</f>
        <v>7837073.766761387</v>
      </c>
      <c r="BW45" s="52"/>
      <c r="BX45" s="4">
        <f t="shared" si="0"/>
        <v>21606867.615405902</v>
      </c>
      <c r="BY45" s="4">
        <f t="shared" si="1"/>
        <v>18152030.5985382</v>
      </c>
    </row>
    <row r="46" spans="1:77" ht="12.75">
      <c r="A46" s="5" t="s">
        <v>679</v>
      </c>
      <c r="B46" s="5" t="s">
        <v>45</v>
      </c>
      <c r="C46" s="5" t="s">
        <v>1341</v>
      </c>
      <c r="D46" s="6">
        <v>53832724.931793</v>
      </c>
      <c r="E46" s="6">
        <f>D46*RPI_inc</f>
        <v>54861375.72666802</v>
      </c>
      <c r="F46" s="6"/>
      <c r="G46" s="6"/>
      <c r="H46" s="6"/>
      <c r="I46" s="6"/>
      <c r="J46" s="6">
        <v>1137599.182349</v>
      </c>
      <c r="K46" s="6">
        <f>J46*RPI_inc</f>
        <v>1159336.7463429298</v>
      </c>
      <c r="L46" s="6">
        <v>4525771.369906</v>
      </c>
      <c r="M46" s="6">
        <f>L46*RPI_inc</f>
        <v>4612251.07761121</v>
      </c>
      <c r="N46" s="6"/>
      <c r="O46" s="6"/>
      <c r="P46" s="6"/>
      <c r="Q46" s="6"/>
      <c r="R46" s="6"/>
      <c r="S46" s="6"/>
      <c r="T46" s="6"/>
      <c r="U46" s="6"/>
      <c r="V46" s="6">
        <v>50014.002873</v>
      </c>
      <c r="W46" s="6">
        <f>V46*RPI_inc</f>
        <v>50969.684456560506</v>
      </c>
      <c r="X46" s="6">
        <v>2880893.723414</v>
      </c>
      <c r="Y46" s="6">
        <f>X46*RPI_inc</f>
        <v>2935942.648065223</v>
      </c>
      <c r="Z46" s="14">
        <f>D46+F46+H46+J46+L46+N46+P46+R46+T46+V46+X46</f>
        <v>62427003.210335</v>
      </c>
      <c r="AC46" s="14">
        <f>E46+G46+I46+K46+M46+O46+Q46+S46+U46+W46+Y46</f>
        <v>63619875.88314394</v>
      </c>
      <c r="AF46" s="51"/>
      <c r="AG46" s="6">
        <v>1606612</v>
      </c>
      <c r="AH46" s="6">
        <f>AG46/$AG$680*$AH$680</f>
        <v>1209667.167423542</v>
      </c>
      <c r="AI46" s="6">
        <v>64322656.559957</v>
      </c>
      <c r="AJ46" s="6">
        <f>AI46/$AI$680*$AJ$680</f>
        <v>44090006.036306076</v>
      </c>
      <c r="AK46" s="6">
        <f>AJ46-AH46</f>
        <v>42880338.86888254</v>
      </c>
      <c r="AL46" s="6"/>
      <c r="AM46" s="6"/>
      <c r="AN46" s="6"/>
      <c r="AO46" s="6"/>
      <c r="AP46" s="6"/>
      <c r="AQ46" s="6"/>
      <c r="AR46" s="6">
        <v>1643075.082691</v>
      </c>
      <c r="AS46" s="6">
        <f>AR46/$AR$680*$AS$680</f>
        <v>1610745.4826246097</v>
      </c>
      <c r="AT46" s="6">
        <v>5724728.848886</v>
      </c>
      <c r="AU46" s="6">
        <f>AT46/$AT$680*$AU$680</f>
        <v>4724639.081759504</v>
      </c>
      <c r="AV46" s="6"/>
      <c r="AW46" s="6"/>
      <c r="AX46" s="6"/>
      <c r="AY46" s="6"/>
      <c r="AZ46" s="6">
        <v>70948.851981</v>
      </c>
      <c r="BA46" s="6">
        <f>AZ46/$AZ$680*$BA$680</f>
        <v>69527.49460955901</v>
      </c>
      <c r="BB46" s="6">
        <v>4259905.311671</v>
      </c>
      <c r="BC46" s="6">
        <f>BB46/$BB$680*$BC$680</f>
        <v>4178032.7713965387</v>
      </c>
      <c r="BD46" s="6"/>
      <c r="BE46" s="6"/>
      <c r="BF46" s="6"/>
      <c r="BG46" s="6"/>
      <c r="BH46" s="6"/>
      <c r="BI46" s="6"/>
      <c r="BJ46" s="6">
        <v>119171828.226779</v>
      </c>
      <c r="BK46" s="6">
        <f>BJ46/BJ44*BI44</f>
        <v>1156706.8140460982</v>
      </c>
      <c r="BL46" s="6">
        <f>BH46+BK46</f>
        <v>1156706.8140460982</v>
      </c>
      <c r="BM46" s="6"/>
      <c r="BN46" s="6"/>
      <c r="BO46" s="6">
        <v>182885.470837</v>
      </c>
      <c r="BP46" s="6"/>
      <c r="BQ46" s="6">
        <f>AG46+AI46+AL46+AN46+AP46+AR46+AT46+AV46+AX46+AZ46+BB46+BD46+BF46+BH46+BK46+BM46+BO46</f>
        <v>78967518.9400691</v>
      </c>
      <c r="BT46" s="6">
        <f>AJ46+AM46+AQ46+AS46+AU46+AW46+AY46+BA46+BC46+BG46+BL46+BN46+BP46</f>
        <v>55829657.68074239</v>
      </c>
      <c r="BW46" s="52"/>
      <c r="BX46" s="6">
        <f t="shared" si="0"/>
        <v>141394522.1504041</v>
      </c>
      <c r="BY46" s="6">
        <f t="shared" si="1"/>
        <v>119449533.56388633</v>
      </c>
    </row>
    <row r="47" spans="1:77" ht="12.75">
      <c r="A47" t="s">
        <v>680</v>
      </c>
      <c r="B47" t="s">
        <v>46</v>
      </c>
      <c r="J47"/>
      <c r="K47"/>
      <c r="L47"/>
      <c r="M47"/>
      <c r="V47"/>
      <c r="X47"/>
      <c r="Z47" s="12">
        <f>Z48+Z49</f>
        <v>50706102.251792006</v>
      </c>
      <c r="AC47" s="12">
        <f>AC48+AC49</f>
        <v>51675008.664246626</v>
      </c>
      <c r="AF47" s="51"/>
      <c r="AG47"/>
      <c r="AI47"/>
      <c r="AR47"/>
      <c r="AT47"/>
      <c r="AZ47"/>
      <c r="BB47"/>
      <c r="BD47"/>
      <c r="BE47"/>
      <c r="BF47"/>
      <c r="BH47"/>
      <c r="BI47"/>
      <c r="BJ47" s="1">
        <v>102093557.446491</v>
      </c>
      <c r="BL47"/>
      <c r="BO47"/>
      <c r="BP47"/>
      <c r="BQ47" s="1">
        <f>BQ48+BQ49</f>
        <v>62986840.771604</v>
      </c>
      <c r="BT47" s="1">
        <f>BT48+BT49</f>
        <v>44307487.7520112</v>
      </c>
      <c r="BW47" s="52"/>
      <c r="BX47" s="1">
        <f t="shared" si="0"/>
        <v>113692943.02339602</v>
      </c>
      <c r="BY47" s="1">
        <f t="shared" si="1"/>
        <v>95982496.41625783</v>
      </c>
    </row>
    <row r="48" spans="1:77" ht="12.75">
      <c r="A48" s="3" t="s">
        <v>681</v>
      </c>
      <c r="B48" s="3" t="s">
        <v>47</v>
      </c>
      <c r="C48" s="3" t="s">
        <v>1341</v>
      </c>
      <c r="D48" s="3"/>
      <c r="E48" s="4"/>
      <c r="F48" s="4">
        <v>6224002.073952</v>
      </c>
      <c r="G48" s="4">
        <f>F48*RPI_inc</f>
        <v>6342932.049887388</v>
      </c>
      <c r="H48" s="4"/>
      <c r="I48" s="4"/>
      <c r="J48" s="4">
        <v>114865.421814</v>
      </c>
      <c r="K48" s="4">
        <f>J48*RPI_inc</f>
        <v>117060.30248560509</v>
      </c>
      <c r="L48" s="3"/>
      <c r="M48" s="4"/>
      <c r="N48" s="4"/>
      <c r="O48" s="4"/>
      <c r="P48" s="4"/>
      <c r="Q48" s="4"/>
      <c r="R48" s="4"/>
      <c r="S48" s="4"/>
      <c r="T48" s="4">
        <v>34613.925701</v>
      </c>
      <c r="U48" s="4">
        <f>T48*RPI_inc</f>
        <v>35275.33829401274</v>
      </c>
      <c r="V48" s="3"/>
      <c r="W48" s="4"/>
      <c r="X48" s="3"/>
      <c r="Y48" s="4"/>
      <c r="Z48" s="13">
        <f>D48+F48+H48+J48+L48+N48+P48+R48+T48+V48+X48</f>
        <v>6373481.421467</v>
      </c>
      <c r="AC48" s="13">
        <f>E48+G48+I48+K48+M48+O48+Q48+S48+U48+W48+Y48</f>
        <v>6495267.690667005</v>
      </c>
      <c r="AF48" s="51"/>
      <c r="AG48" s="3"/>
      <c r="AH48" s="4"/>
      <c r="AI48" s="3"/>
      <c r="AJ48" s="4"/>
      <c r="AK48" s="4"/>
      <c r="AL48" s="4">
        <v>6876145.617407</v>
      </c>
      <c r="AM48" s="4">
        <f>AL48/$AL$680*$AM$680</f>
        <v>4603866.641964709</v>
      </c>
      <c r="AN48" s="4"/>
      <c r="AO48" s="4"/>
      <c r="AP48" s="4"/>
      <c r="AQ48" s="4"/>
      <c r="AR48" s="4">
        <v>165904.226528</v>
      </c>
      <c r="AS48" s="4">
        <f>AR48/$AR$680*$AS$680</f>
        <v>162639.84905098926</v>
      </c>
      <c r="AT48" s="3"/>
      <c r="AU48" s="4"/>
      <c r="AV48" s="4"/>
      <c r="AW48" s="4"/>
      <c r="AX48" s="4">
        <v>49102.614164</v>
      </c>
      <c r="AY48" s="4">
        <f>AX48/$AX$680*$AY$680</f>
        <v>48118.91534461963</v>
      </c>
      <c r="AZ48" s="3"/>
      <c r="BA48" s="4"/>
      <c r="BB48" s="3"/>
      <c r="BC48" s="4"/>
      <c r="BD48" s="4"/>
      <c r="BE48" s="4"/>
      <c r="BF48" s="4"/>
      <c r="BG48" s="4"/>
      <c r="BH48" s="4">
        <v>111350.042136</v>
      </c>
      <c r="BI48" s="4"/>
      <c r="BJ48" s="4">
        <v>13315344.602853</v>
      </c>
      <c r="BK48" s="4"/>
      <c r="BL48" s="4">
        <f>BH48+BK48</f>
        <v>111350.042136</v>
      </c>
      <c r="BM48" s="4"/>
      <c r="BN48" s="4"/>
      <c r="BO48" s="4">
        <v>18671.681976</v>
      </c>
      <c r="BP48" s="4"/>
      <c r="BQ48" s="4">
        <f>AG48+AI48+AL48+AN48+AP48+AR48+AT48+AV48+AX48+AZ48+BB48+BD48+BF48+BH48+BK48+BM48+BO48</f>
        <v>7221174.1822110005</v>
      </c>
      <c r="BT48" s="4">
        <f>AJ48+AM48+AQ48+AS48+AU48+AW48+AY48+BA48+BC48+BG48+BL48+BN48+BP48</f>
        <v>4925975.4484963175</v>
      </c>
      <c r="BW48" s="52"/>
      <c r="BX48" s="4">
        <f t="shared" si="0"/>
        <v>13594655.603678</v>
      </c>
      <c r="BY48" s="4">
        <f t="shared" si="1"/>
        <v>11421243.139163323</v>
      </c>
    </row>
    <row r="49" spans="1:77" ht="12.75">
      <c r="A49" s="5" t="s">
        <v>682</v>
      </c>
      <c r="B49" s="5" t="s">
        <v>48</v>
      </c>
      <c r="C49" s="5" t="s">
        <v>1341</v>
      </c>
      <c r="D49" s="6">
        <v>38401850.413168</v>
      </c>
      <c r="E49" s="6">
        <f>D49*RPI_inc</f>
        <v>39135643.73316484</v>
      </c>
      <c r="F49" s="6"/>
      <c r="G49" s="6"/>
      <c r="H49" s="6"/>
      <c r="I49" s="6"/>
      <c r="J49" s="6">
        <v>734012.718587</v>
      </c>
      <c r="K49" s="6">
        <f>J49*RPI_inc</f>
        <v>748038.4393243312</v>
      </c>
      <c r="L49" s="6">
        <v>3410604.518652</v>
      </c>
      <c r="M49" s="6">
        <f>L49*RPI_inc</f>
        <v>3475775.3056326113</v>
      </c>
      <c r="N49" s="6"/>
      <c r="O49" s="6"/>
      <c r="P49" s="6"/>
      <c r="Q49" s="6"/>
      <c r="R49" s="6"/>
      <c r="S49" s="6"/>
      <c r="T49" s="6"/>
      <c r="U49" s="6"/>
      <c r="V49" s="6">
        <v>47936.874089</v>
      </c>
      <c r="W49" s="6">
        <f>V49*RPI_inc</f>
        <v>48852.86531363057</v>
      </c>
      <c r="X49" s="6">
        <v>1738216.305829</v>
      </c>
      <c r="Y49" s="6">
        <f>X49*RPI_inc</f>
        <v>1771430.6301442038</v>
      </c>
      <c r="Z49" s="14">
        <f>D49+F49+H49+J49+L49+N49+P49+R49+T49+V49+X49</f>
        <v>44332620.83032501</v>
      </c>
      <c r="AC49" s="14">
        <f>E49+G49+I49+K49+M49+O49+Q49+S49+U49+W49+Y49</f>
        <v>45179740.97357962</v>
      </c>
      <c r="AF49" s="51"/>
      <c r="AG49" s="6">
        <v>995928</v>
      </c>
      <c r="AH49" s="6">
        <f>AG49/$AG$680*$AH$680</f>
        <v>749864.561398641</v>
      </c>
      <c r="AI49" s="6">
        <v>45884896.938112</v>
      </c>
      <c r="AJ49" s="6">
        <f>AI49/$AI$680*$AJ$680</f>
        <v>31451831.923186854</v>
      </c>
      <c r="AK49" s="6">
        <f>AJ49-AH49</f>
        <v>30701967.361788213</v>
      </c>
      <c r="AL49" s="6"/>
      <c r="AM49" s="6"/>
      <c r="AN49" s="6"/>
      <c r="AO49" s="6"/>
      <c r="AP49" s="6"/>
      <c r="AQ49" s="6"/>
      <c r="AR49" s="6">
        <v>1060160.755213</v>
      </c>
      <c r="AS49" s="6">
        <f>AR49/$AR$680*$AS$680</f>
        <v>1039300.738782111</v>
      </c>
      <c r="AT49" s="6">
        <v>4314134.427978</v>
      </c>
      <c r="AU49" s="6">
        <f>AT49/$AT$680*$AU$680</f>
        <v>3560470.4887211216</v>
      </c>
      <c r="AV49" s="6"/>
      <c r="AW49" s="6"/>
      <c r="AX49" s="6"/>
      <c r="AY49" s="6"/>
      <c r="AZ49" s="6">
        <v>68002.279138</v>
      </c>
      <c r="BA49" s="6">
        <f>AZ49/$AZ$680*$BA$680</f>
        <v>66639.95208084807</v>
      </c>
      <c r="BB49" s="6">
        <v>2570256.866421</v>
      </c>
      <c r="BC49" s="6">
        <f>BB49/$BB$680*$BC$680</f>
        <v>2520858.242879948</v>
      </c>
      <c r="BD49" s="6"/>
      <c r="BE49" s="6"/>
      <c r="BF49" s="6"/>
      <c r="BG49" s="6"/>
      <c r="BH49" s="6">
        <v>742410.957864</v>
      </c>
      <c r="BI49" s="6"/>
      <c r="BJ49" s="6">
        <v>88778212.843638</v>
      </c>
      <c r="BK49" s="6"/>
      <c r="BL49" s="6">
        <f>BH49+BK49</f>
        <v>742410.957864</v>
      </c>
      <c r="BM49" s="6"/>
      <c r="BN49" s="6"/>
      <c r="BO49" s="6">
        <v>129876.364667</v>
      </c>
      <c r="BP49" s="6"/>
      <c r="BQ49" s="6">
        <f>AG49+AI49+AL49+AN49+AP49+AR49+AT49+AV49+AX49+AZ49+BB49+BD49+BF49+BH49+BK49+BM49+BO49</f>
        <v>55765666.589393</v>
      </c>
      <c r="BT49" s="6">
        <f>AJ49+AM49+AQ49+AS49+AU49+AW49+AY49+BA49+BC49+BG49+BL49+BN49+BP49</f>
        <v>39381512.30351488</v>
      </c>
      <c r="BW49" s="52"/>
      <c r="BX49" s="6">
        <f t="shared" si="0"/>
        <v>100098287.419718</v>
      </c>
      <c r="BY49" s="6">
        <f t="shared" si="1"/>
        <v>84561253.27709451</v>
      </c>
    </row>
    <row r="50" spans="1:77" ht="12.75">
      <c r="A50" t="s">
        <v>683</v>
      </c>
      <c r="B50" t="s">
        <v>49</v>
      </c>
      <c r="J50"/>
      <c r="K50"/>
      <c r="L50"/>
      <c r="M50"/>
      <c r="V50"/>
      <c r="X50"/>
      <c r="Z50" s="12">
        <f>Z51+Z52</f>
        <v>68012255.830325</v>
      </c>
      <c r="AC50" s="12">
        <f>AC51+AC52</f>
        <v>69311853.07549044</v>
      </c>
      <c r="AF50" s="51"/>
      <c r="AG50"/>
      <c r="AI50"/>
      <c r="AR50"/>
      <c r="AT50"/>
      <c r="AZ50"/>
      <c r="BB50"/>
      <c r="BD50"/>
      <c r="BE50"/>
      <c r="BF50"/>
      <c r="BH50"/>
      <c r="BI50"/>
      <c r="BJ50" s="1">
        <v>132257870.252609</v>
      </c>
      <c r="BL50"/>
      <c r="BO50"/>
      <c r="BP50"/>
      <c r="BQ50" s="1">
        <f>BQ51+BQ52</f>
        <v>84541109.28577301</v>
      </c>
      <c r="BT50" s="1">
        <f>BT51+BT52</f>
        <v>60384162.13104659</v>
      </c>
      <c r="BW50" s="52"/>
      <c r="BX50" s="1">
        <f t="shared" si="0"/>
        <v>152553365.11609802</v>
      </c>
      <c r="BY50" s="1">
        <f t="shared" si="1"/>
        <v>129696015.20653704</v>
      </c>
    </row>
    <row r="51" spans="1:77" ht="12.75">
      <c r="A51" s="3" t="s">
        <v>684</v>
      </c>
      <c r="B51" s="3" t="s">
        <v>50</v>
      </c>
      <c r="C51" s="3" t="s">
        <v>1341</v>
      </c>
      <c r="D51" s="3"/>
      <c r="E51" s="4"/>
      <c r="F51" s="4">
        <v>9026175.976258</v>
      </c>
      <c r="G51" s="4">
        <f>F51*RPI_inc</f>
        <v>9198650.676441275</v>
      </c>
      <c r="H51" s="4"/>
      <c r="I51" s="4"/>
      <c r="J51" s="4">
        <v>138880.760878</v>
      </c>
      <c r="K51" s="4">
        <f>J51*RPI_inc</f>
        <v>141534.5333788535</v>
      </c>
      <c r="L51" s="3"/>
      <c r="M51" s="4"/>
      <c r="N51" s="4"/>
      <c r="O51" s="4"/>
      <c r="P51" s="4"/>
      <c r="Q51" s="4"/>
      <c r="R51" s="4"/>
      <c r="S51" s="4"/>
      <c r="T51" s="4">
        <v>55267.916855</v>
      </c>
      <c r="U51" s="4">
        <f>T51*RPI_inc</f>
        <v>56323.99169936306</v>
      </c>
      <c r="V51" s="3"/>
      <c r="W51" s="4"/>
      <c r="X51" s="3"/>
      <c r="Y51" s="4"/>
      <c r="Z51" s="13">
        <f>D51+F51+H51+J51+L51+N51+P51+R51+T51+V51+X51</f>
        <v>9220324.653991</v>
      </c>
      <c r="AC51" s="13">
        <f>E51+G51+I51+K51+M51+O51+Q51+S51+U51+W51+Y51</f>
        <v>9396509.201519491</v>
      </c>
      <c r="AF51" s="51"/>
      <c r="AG51" s="3"/>
      <c r="AH51" s="4"/>
      <c r="AI51" s="3"/>
      <c r="AJ51" s="4"/>
      <c r="AK51" s="4"/>
      <c r="AL51" s="4">
        <v>9971927.972332</v>
      </c>
      <c r="AM51" s="4">
        <f>AL51/$AL$680*$AM$680</f>
        <v>6676622.209930243</v>
      </c>
      <c r="AN51" s="4"/>
      <c r="AO51" s="4"/>
      <c r="AP51" s="4"/>
      <c r="AQ51" s="4"/>
      <c r="AR51" s="4">
        <v>200590.437479</v>
      </c>
      <c r="AS51" s="4">
        <f>AR51/$AR$680*$AS$680</f>
        <v>196643.56451552146</v>
      </c>
      <c r="AT51" s="3"/>
      <c r="AU51" s="4"/>
      <c r="AV51" s="4"/>
      <c r="AW51" s="4"/>
      <c r="AX51" s="4">
        <v>78401.947829</v>
      </c>
      <c r="AY51" s="4">
        <f>AX51/$AX$680*$AY$680</f>
        <v>76831.27985480784</v>
      </c>
      <c r="AZ51" s="3"/>
      <c r="BA51" s="4"/>
      <c r="BB51" s="3"/>
      <c r="BC51" s="4"/>
      <c r="BD51" s="4"/>
      <c r="BE51" s="4"/>
      <c r="BF51" s="4"/>
      <c r="BG51" s="4"/>
      <c r="BH51" s="4">
        <v>142005.352291</v>
      </c>
      <c r="BI51" s="4"/>
      <c r="BJ51" s="4">
        <v>19380212.794227</v>
      </c>
      <c r="BK51" s="4"/>
      <c r="BL51" s="4">
        <f>BH51+BK51</f>
        <v>142005.352291</v>
      </c>
      <c r="BM51" s="4"/>
      <c r="BN51" s="4"/>
      <c r="BO51" s="4">
        <v>27011.763002</v>
      </c>
      <c r="BP51" s="4"/>
      <c r="BQ51" s="4">
        <f>AG51+AI51+AL51+AN51+AP51+AR51+AT51+AV51+AX51+AZ51+BB51+BD51+BF51+BH51+BK51+BM51+BO51</f>
        <v>10419937.472933002</v>
      </c>
      <c r="BT51" s="4">
        <f>AJ51+AM51+AQ51+AS51+AU51+AW51+AY51+BA51+BC51+BG51+BL51+BN51+BP51</f>
        <v>7092102.406591573</v>
      </c>
      <c r="BW51" s="52"/>
      <c r="BX51" s="4">
        <f t="shared" si="0"/>
        <v>19640262.126924</v>
      </c>
      <c r="BY51" s="4">
        <f t="shared" si="1"/>
        <v>16488611.608111065</v>
      </c>
    </row>
    <row r="52" spans="1:77" ht="12.75">
      <c r="A52" s="5" t="s">
        <v>685</v>
      </c>
      <c r="B52" s="5" t="s">
        <v>51</v>
      </c>
      <c r="C52" s="5" t="s">
        <v>1341</v>
      </c>
      <c r="D52" s="6">
        <v>49014342.827154</v>
      </c>
      <c r="E52" s="6">
        <f>D52*RPI_inc</f>
        <v>49950922.62639898</v>
      </c>
      <c r="F52" s="6"/>
      <c r="G52" s="6"/>
      <c r="H52" s="6"/>
      <c r="I52" s="6"/>
      <c r="J52" s="6">
        <v>819372.872076</v>
      </c>
      <c r="K52" s="6">
        <f>J52*RPI_inc</f>
        <v>835029.6785487898</v>
      </c>
      <c r="L52" s="6">
        <v>4496805.545207</v>
      </c>
      <c r="M52" s="6">
        <f>L52*RPI_inc</f>
        <v>4582731.7658160515</v>
      </c>
      <c r="N52" s="6"/>
      <c r="O52" s="6"/>
      <c r="P52" s="6"/>
      <c r="Q52" s="6"/>
      <c r="R52" s="6"/>
      <c r="S52" s="6"/>
      <c r="T52" s="6"/>
      <c r="U52" s="6"/>
      <c r="V52" s="6">
        <v>57304.317624</v>
      </c>
      <c r="W52" s="6">
        <f>V52*RPI_inc</f>
        <v>58399.30458496816</v>
      </c>
      <c r="X52" s="6">
        <v>4404105.614273</v>
      </c>
      <c r="Y52" s="6">
        <f>X52*RPI_inc</f>
        <v>4488260.498622165</v>
      </c>
      <c r="Z52" s="14">
        <f>D52+F52+H52+J52+L52+N52+P52+R52+T52+V52+X52</f>
        <v>58791931.176334</v>
      </c>
      <c r="AC52" s="14">
        <f>E52+G52+I52+K52+M52+O52+Q52+S52+U52+W52+Y52</f>
        <v>59915343.873970956</v>
      </c>
      <c r="AF52" s="51"/>
      <c r="AG52" s="6">
        <v>1091416</v>
      </c>
      <c r="AH52" s="6">
        <f>AG52/$AG$680*$AH$680</f>
        <v>821760.388445208</v>
      </c>
      <c r="AI52" s="6">
        <v>58565356.744946</v>
      </c>
      <c r="AJ52" s="6">
        <f>AI52/$AI$680*$AJ$680</f>
        <v>40143661.199630246</v>
      </c>
      <c r="AK52" s="6">
        <f>AJ52-AH52</f>
        <v>39321900.81118504</v>
      </c>
      <c r="AL52" s="6"/>
      <c r="AM52" s="6"/>
      <c r="AN52" s="6"/>
      <c r="AO52" s="6"/>
      <c r="AP52" s="6"/>
      <c r="AQ52" s="6"/>
      <c r="AR52" s="6">
        <v>1183449.470104</v>
      </c>
      <c r="AS52" s="6">
        <f>AR52/$AR$680*$AS$680</f>
        <v>1160163.5907973882</v>
      </c>
      <c r="AT52" s="6">
        <v>5688089.461093</v>
      </c>
      <c r="AU52" s="6">
        <f>AT52/$AT$680*$AU$680</f>
        <v>4694400.464688194</v>
      </c>
      <c r="AV52" s="6"/>
      <c r="AW52" s="6"/>
      <c r="AX52" s="6"/>
      <c r="AY52" s="6"/>
      <c r="AZ52" s="6">
        <v>81290.7449</v>
      </c>
      <c r="BA52" s="6">
        <f>AZ52/$AZ$680*$BA$680</f>
        <v>79662.20269998688</v>
      </c>
      <c r="BB52" s="6">
        <v>6512240.540816</v>
      </c>
      <c r="BC52" s="6">
        <f>BB52/$BB$680*$BC$680</f>
        <v>6387079.618930205</v>
      </c>
      <c r="BD52" s="6"/>
      <c r="BE52" s="6"/>
      <c r="BF52" s="6"/>
      <c r="BG52" s="6"/>
      <c r="BH52" s="6">
        <v>827092.647709</v>
      </c>
      <c r="BI52" s="6"/>
      <c r="BJ52" s="6">
        <v>112877657.458381</v>
      </c>
      <c r="BK52" s="6"/>
      <c r="BL52" s="6">
        <f>BH52+BK52</f>
        <v>827092.647709</v>
      </c>
      <c r="BM52" s="6"/>
      <c r="BN52" s="6"/>
      <c r="BO52" s="6">
        <v>172236.203272</v>
      </c>
      <c r="BP52" s="6"/>
      <c r="BQ52" s="6">
        <f>AG52+AI52+AL52+AN52+AP52+AR52+AT52+AV52+AX52+AZ52+BB52+BD52+BF52+BH52+BK52+BM52+BO52</f>
        <v>74121171.81284</v>
      </c>
      <c r="BT52" s="6">
        <f>AJ52+AM52+AQ52+AS52+AU52+AW52+AY52+BA52+BC52+BG52+BL52+BN52+BP52</f>
        <v>53292059.72445502</v>
      </c>
      <c r="BW52" s="52"/>
      <c r="BX52" s="6">
        <f t="shared" si="0"/>
        <v>132913102.98917401</v>
      </c>
      <c r="BY52" s="6">
        <f t="shared" si="1"/>
        <v>113207403.59842598</v>
      </c>
    </row>
    <row r="53" spans="1:77" ht="12.75">
      <c r="A53" t="s">
        <v>686</v>
      </c>
      <c r="B53" t="s">
        <v>52</v>
      </c>
      <c r="J53"/>
      <c r="K53"/>
      <c r="L53"/>
      <c r="M53"/>
      <c r="V53"/>
      <c r="X53"/>
      <c r="Z53" s="12">
        <f>Z54+Z55</f>
        <v>57176472.582463</v>
      </c>
      <c r="AC53" s="12">
        <f>AC54+AC55</f>
        <v>58269016.64454828</v>
      </c>
      <c r="AF53" s="51"/>
      <c r="AG53"/>
      <c r="AI53"/>
      <c r="AR53"/>
      <c r="AT53"/>
      <c r="AZ53"/>
      <c r="BB53"/>
      <c r="BD53"/>
      <c r="BE53"/>
      <c r="BF53"/>
      <c r="BH53"/>
      <c r="BI53"/>
      <c r="BJ53" s="1">
        <v>112845605.323441</v>
      </c>
      <c r="BL53"/>
      <c r="BO53"/>
      <c r="BP53"/>
      <c r="BQ53" s="1">
        <f>BQ54+BQ55</f>
        <v>71034800.215585</v>
      </c>
      <c r="BT53" s="1">
        <f>BT54+BT55</f>
        <v>50441520.677108146</v>
      </c>
      <c r="BW53" s="52"/>
      <c r="BX53" s="1">
        <f t="shared" si="0"/>
        <v>128211272.79804799</v>
      </c>
      <c r="BY53" s="1">
        <f t="shared" si="1"/>
        <v>108710537.32165644</v>
      </c>
    </row>
    <row r="54" spans="1:77" ht="12.75">
      <c r="A54" s="3" t="s">
        <v>687</v>
      </c>
      <c r="B54" s="3" t="s">
        <v>53</v>
      </c>
      <c r="C54" s="3" t="s">
        <v>1341</v>
      </c>
      <c r="D54" s="3"/>
      <c r="E54" s="4"/>
      <c r="F54" s="4">
        <v>7231793.668209</v>
      </c>
      <c r="G54" s="4">
        <f>F54*RPI_inc</f>
        <v>7369980.808365859</v>
      </c>
      <c r="H54" s="4"/>
      <c r="I54" s="4"/>
      <c r="J54" s="4">
        <v>133859.170076</v>
      </c>
      <c r="K54" s="4">
        <f>J54*RPI_inc</f>
        <v>136416.9886124841</v>
      </c>
      <c r="L54" s="3"/>
      <c r="M54" s="4"/>
      <c r="N54" s="4"/>
      <c r="O54" s="4"/>
      <c r="P54" s="4"/>
      <c r="Q54" s="4"/>
      <c r="R54" s="4"/>
      <c r="S54" s="4"/>
      <c r="T54" s="4">
        <v>38015.529545</v>
      </c>
      <c r="U54" s="4">
        <f>T54*RPI_inc</f>
        <v>38741.94093757962</v>
      </c>
      <c r="V54" s="3"/>
      <c r="W54" s="4"/>
      <c r="X54" s="3"/>
      <c r="Y54" s="4"/>
      <c r="Z54" s="13">
        <f>D54+F54+H54+J54+L54+N54+P54+R54+T54+V54+X54</f>
        <v>7403668.367829999</v>
      </c>
      <c r="AC54" s="13">
        <f>E54+G54+I54+K54+M54+O54+Q54+S54+U54+W54+Y54</f>
        <v>7545139.737915923</v>
      </c>
      <c r="AF54" s="51"/>
      <c r="AG54" s="3"/>
      <c r="AH54" s="4"/>
      <c r="AI54" s="3"/>
      <c r="AJ54" s="4"/>
      <c r="AK54" s="4"/>
      <c r="AL54" s="4">
        <v>7989532.417697</v>
      </c>
      <c r="AM54" s="4">
        <f>AL54/$AL$680*$AM$680</f>
        <v>5349325.600321081</v>
      </c>
      <c r="AN54" s="4"/>
      <c r="AO54" s="4"/>
      <c r="AP54" s="4"/>
      <c r="AQ54" s="4"/>
      <c r="AR54" s="4">
        <v>193337.574739</v>
      </c>
      <c r="AS54" s="4">
        <f>AR54/$AR$680*$AS$680</f>
        <v>189533.4111101044</v>
      </c>
      <c r="AT54" s="3"/>
      <c r="AU54" s="4"/>
      <c r="AV54" s="4"/>
      <c r="AW54" s="4"/>
      <c r="AX54" s="4">
        <v>53928.060503</v>
      </c>
      <c r="AY54" s="4">
        <f>AX54/$AX$680*$AY$680</f>
        <v>52847.69094729583</v>
      </c>
      <c r="AZ54" s="3"/>
      <c r="BA54" s="4"/>
      <c r="BB54" s="3"/>
      <c r="BC54" s="4"/>
      <c r="BD54" s="4"/>
      <c r="BE54" s="4"/>
      <c r="BF54" s="4"/>
      <c r="BG54" s="4"/>
      <c r="BH54" s="4">
        <v>130662.538838</v>
      </c>
      <c r="BI54" s="4"/>
      <c r="BJ54" s="4">
        <v>15283893.776863</v>
      </c>
      <c r="BK54" s="4"/>
      <c r="BL54" s="4">
        <f>BH54+BK54</f>
        <v>130662.538838</v>
      </c>
      <c r="BM54" s="4"/>
      <c r="BN54" s="4"/>
      <c r="BO54" s="4">
        <v>21689.706469</v>
      </c>
      <c r="BP54" s="4"/>
      <c r="BQ54" s="4">
        <f>AG54+AI54+AL54+AN54+AP54+AR54+AT54+AV54+AX54+AZ54+BB54+BD54+BF54+BH54+BK54+BM54+BO54</f>
        <v>8389150.298246</v>
      </c>
      <c r="BT54" s="4">
        <f>AJ54+AM54+AQ54+AS54+AU54+AW54+AY54+BA54+BC54+BG54+BL54+BN54+BP54</f>
        <v>5722369.241216481</v>
      </c>
      <c r="BW54" s="52"/>
      <c r="BX54" s="4">
        <f t="shared" si="0"/>
        <v>15792818.666075999</v>
      </c>
      <c r="BY54" s="4">
        <f t="shared" si="1"/>
        <v>13267508.979132403</v>
      </c>
    </row>
    <row r="55" spans="1:77" ht="12.75">
      <c r="A55" s="5" t="s">
        <v>688</v>
      </c>
      <c r="B55" s="5" t="s">
        <v>54</v>
      </c>
      <c r="C55" s="5" t="s">
        <v>1341</v>
      </c>
      <c r="D55" s="6">
        <v>42397678.80299</v>
      </c>
      <c r="E55" s="6">
        <f>D55*RPI_inc</f>
        <v>43207825.53170955</v>
      </c>
      <c r="F55" s="6"/>
      <c r="G55" s="6"/>
      <c r="H55" s="6"/>
      <c r="I55" s="6"/>
      <c r="J55" s="6">
        <v>809356.050483</v>
      </c>
      <c r="K55" s="6">
        <f>J55*RPI_inc</f>
        <v>824821.4527215287</v>
      </c>
      <c r="L55" s="6">
        <v>3702747.90545</v>
      </c>
      <c r="M55" s="6">
        <f>L55*RPI_inc</f>
        <v>3773501.0501401275</v>
      </c>
      <c r="N55" s="6"/>
      <c r="O55" s="6"/>
      <c r="P55" s="6"/>
      <c r="Q55" s="6"/>
      <c r="R55" s="6"/>
      <c r="S55" s="6"/>
      <c r="T55" s="6"/>
      <c r="U55" s="6"/>
      <c r="V55" s="6">
        <v>48955.074473</v>
      </c>
      <c r="W55" s="6">
        <f>V55*RPI_inc</f>
        <v>49890.52175592357</v>
      </c>
      <c r="X55" s="6">
        <v>2814066.381237</v>
      </c>
      <c r="Y55" s="6">
        <f>X55*RPI_inc</f>
        <v>2867838.3503052234</v>
      </c>
      <c r="Z55" s="14">
        <f>D55+F55+H55+J55+L55+N55+P55+R55+T55+V55+X55</f>
        <v>49772804.214633</v>
      </c>
      <c r="AC55" s="14">
        <f>E55+G55+I55+K55+M55+O55+Q55+S55+U55+W55+Y55</f>
        <v>50723876.90663236</v>
      </c>
      <c r="AF55" s="51"/>
      <c r="AG55" s="6">
        <v>923229</v>
      </c>
      <c r="AH55" s="6">
        <f>AG55/$AG$680*$AH$680</f>
        <v>695127.2673883111</v>
      </c>
      <c r="AI55" s="6">
        <v>50659358.894415</v>
      </c>
      <c r="AJ55" s="6">
        <f>AI55/$AI$680*$AJ$680</f>
        <v>34724489.92165267</v>
      </c>
      <c r="AK55" s="6">
        <f>AJ55-AH55</f>
        <v>34029362.65426435</v>
      </c>
      <c r="AL55" s="6"/>
      <c r="AM55" s="6"/>
      <c r="AN55" s="6"/>
      <c r="AO55" s="6"/>
      <c r="AP55" s="6"/>
      <c r="AQ55" s="6"/>
      <c r="AR55" s="6">
        <v>1168981.817329</v>
      </c>
      <c r="AS55" s="6">
        <f>AR55/$AR$680*$AS$680</f>
        <v>1145980.6075624733</v>
      </c>
      <c r="AT55" s="6">
        <v>4683671.803537</v>
      </c>
      <c r="AU55" s="6">
        <f>AT55/$AT$680*$AU$680</f>
        <v>3865450.9992088173</v>
      </c>
      <c r="AV55" s="6"/>
      <c r="AW55" s="6"/>
      <c r="AX55" s="6"/>
      <c r="AY55" s="6"/>
      <c r="AZ55" s="6">
        <v>69446.67759</v>
      </c>
      <c r="BA55" s="6">
        <f>AZ55/$AZ$680*$BA$680</f>
        <v>68055.41410428405</v>
      </c>
      <c r="BB55" s="6">
        <v>4161089.39646</v>
      </c>
      <c r="BC55" s="6">
        <f>BB55/$BB$680*$BC$680</f>
        <v>4081116.032201425</v>
      </c>
      <c r="BD55" s="6"/>
      <c r="BE55" s="6"/>
      <c r="BF55" s="6"/>
      <c r="BG55" s="6"/>
      <c r="BH55" s="6">
        <v>834058.461162</v>
      </c>
      <c r="BI55" s="6"/>
      <c r="BJ55" s="6">
        <v>97561711.546578</v>
      </c>
      <c r="BK55" s="6"/>
      <c r="BL55" s="6">
        <f>BH55+BK55</f>
        <v>834058.461162</v>
      </c>
      <c r="BM55" s="6"/>
      <c r="BN55" s="6"/>
      <c r="BO55" s="6">
        <v>145813.866846</v>
      </c>
      <c r="BP55" s="6"/>
      <c r="BQ55" s="6">
        <f>AG55+AI55+AL55+AN55+AP55+AR55+AT55+AV55+AX55+AZ55+BB55+BD55+BF55+BH55+BK55+BM55+BO55</f>
        <v>62645649.91733899</v>
      </c>
      <c r="BT55" s="6">
        <f>AJ55+AM55+AQ55+AS55+AU55+AW55+AY55+BA55+BC55+BG55+BL55+BN55+BP55</f>
        <v>44719151.435891666</v>
      </c>
      <c r="BW55" s="52"/>
      <c r="BX55" s="6">
        <f t="shared" si="0"/>
        <v>112418454.13197199</v>
      </c>
      <c r="BY55" s="6">
        <f t="shared" si="1"/>
        <v>95443028.34252402</v>
      </c>
    </row>
    <row r="56" spans="1:77" ht="12.75">
      <c r="A56" t="s">
        <v>689</v>
      </c>
      <c r="B56" t="s">
        <v>55</v>
      </c>
      <c r="J56"/>
      <c r="K56"/>
      <c r="L56"/>
      <c r="M56"/>
      <c r="V56"/>
      <c r="X56"/>
      <c r="Z56" s="12">
        <f>Z57+Z58</f>
        <v>128935548.323814</v>
      </c>
      <c r="AC56" s="12">
        <f>AC57+AC58</f>
        <v>131399284.9159888</v>
      </c>
      <c r="AF56" s="51"/>
      <c r="AG56"/>
      <c r="AI56"/>
      <c r="AR56"/>
      <c r="AT56"/>
      <c r="AZ56"/>
      <c r="BB56"/>
      <c r="BD56"/>
      <c r="BE56"/>
      <c r="BF56"/>
      <c r="BH56"/>
      <c r="BI56">
        <v>1968472</v>
      </c>
      <c r="BJ56" s="1">
        <v>257506120.79386</v>
      </c>
      <c r="BL56"/>
      <c r="BO56"/>
      <c r="BP56"/>
      <c r="BQ56" s="1">
        <f>BQ57+BQ58</f>
        <v>161900585.02556002</v>
      </c>
      <c r="BT56" s="1">
        <f>BT57+BT58</f>
        <v>114749418.8042222</v>
      </c>
      <c r="BW56" s="52"/>
      <c r="BX56" s="1">
        <f t="shared" si="0"/>
        <v>290836133.34937406</v>
      </c>
      <c r="BY56" s="1">
        <f t="shared" si="1"/>
        <v>246148703.720211</v>
      </c>
    </row>
    <row r="57" spans="1:77" ht="12.75">
      <c r="A57" s="3" t="s">
        <v>690</v>
      </c>
      <c r="B57" s="3" t="s">
        <v>56</v>
      </c>
      <c r="C57" s="3" t="s">
        <v>1341</v>
      </c>
      <c r="D57" s="3"/>
      <c r="E57" s="4"/>
      <c r="F57" s="4">
        <v>18155886.647876</v>
      </c>
      <c r="G57" s="4">
        <f>F57*RPI_inc</f>
        <v>18502814.418217577</v>
      </c>
      <c r="H57" s="4"/>
      <c r="I57" s="4"/>
      <c r="J57" s="4">
        <v>311059.252584</v>
      </c>
      <c r="K57" s="4">
        <f>J57*RPI_inc</f>
        <v>317003.05995821656</v>
      </c>
      <c r="L57" s="3"/>
      <c r="M57" s="4"/>
      <c r="N57" s="4"/>
      <c r="O57" s="4"/>
      <c r="P57" s="4"/>
      <c r="Q57" s="4"/>
      <c r="R57" s="4"/>
      <c r="S57" s="4"/>
      <c r="T57" s="4">
        <v>210590.719946</v>
      </c>
      <c r="U57" s="4">
        <f>T57*RPI_inc</f>
        <v>214614.74644178344</v>
      </c>
      <c r="V57" s="3"/>
      <c r="W57" s="4"/>
      <c r="X57" s="3"/>
      <c r="Y57" s="4"/>
      <c r="Z57" s="13">
        <f>D57+F57+H57+J57+L57+N57+P57+R57+T57+V57+X57</f>
        <v>18677536.620405998</v>
      </c>
      <c r="AC57" s="13">
        <f>E57+G57+I57+K57+M57+O57+Q57+S57+U57+W57+Y57</f>
        <v>19034432.224617578</v>
      </c>
      <c r="AF57" s="51"/>
      <c r="AG57" s="3"/>
      <c r="AH57" s="4"/>
      <c r="AI57" s="3"/>
      <c r="AJ57" s="4"/>
      <c r="AK57" s="4"/>
      <c r="AL57" s="4">
        <v>20058238.882409</v>
      </c>
      <c r="AM57" s="4">
        <f>AL57/$AL$680*$AM$680</f>
        <v>13429828.573366635</v>
      </c>
      <c r="AN57" s="4"/>
      <c r="AO57" s="4"/>
      <c r="AP57" s="4"/>
      <c r="AQ57" s="4"/>
      <c r="AR57" s="4">
        <v>449273.975484</v>
      </c>
      <c r="AS57" s="4">
        <f>AR57/$AR$680*$AS$680</f>
        <v>440433.93640079116</v>
      </c>
      <c r="AT57" s="3"/>
      <c r="AU57" s="4"/>
      <c r="AV57" s="4"/>
      <c r="AW57" s="4"/>
      <c r="AX57" s="4">
        <v>298739.731436</v>
      </c>
      <c r="AY57" s="4">
        <f>AX57/$AX$680*$AY$680</f>
        <v>292754.9193008641</v>
      </c>
      <c r="AZ57" s="3"/>
      <c r="BA57" s="4"/>
      <c r="BB57" s="3"/>
      <c r="BC57" s="4"/>
      <c r="BD57" s="4"/>
      <c r="BE57" s="4"/>
      <c r="BF57" s="4"/>
      <c r="BG57" s="4"/>
      <c r="BH57" s="4">
        <v>290042.697224</v>
      </c>
      <c r="BI57" s="4"/>
      <c r="BJ57" s="4">
        <v>39029368.178165</v>
      </c>
      <c r="BK57" s="4">
        <f>BJ57/BJ56*BI56</f>
        <v>298354.92142694234</v>
      </c>
      <c r="BL57" s="4">
        <f>BH57+BK57</f>
        <v>588397.6186509423</v>
      </c>
      <c r="BM57" s="4"/>
      <c r="BN57" s="4"/>
      <c r="BO57" s="4">
        <v>54717.508502</v>
      </c>
      <c r="BP57" s="4"/>
      <c r="BQ57" s="4">
        <f>AG57+AI57+AL57+AN57+AP57+AR57+AT57+AV57+AX57+AZ57+BB57+BD57+BF57+BH57+BK57+BM57+BO57</f>
        <v>21449367.716481935</v>
      </c>
      <c r="BT57" s="4">
        <f>AJ57+AM57+AQ57+AS57+AU57+AW57+AY57+BA57+BC57+BG57+BL57+BN57+BP57</f>
        <v>14751415.047719233</v>
      </c>
      <c r="BW57" s="52"/>
      <c r="BX57" s="4">
        <f t="shared" si="0"/>
        <v>40126904.33688793</v>
      </c>
      <c r="BY57" s="4">
        <f t="shared" si="1"/>
        <v>33785847.27233681</v>
      </c>
    </row>
    <row r="58" spans="1:77" ht="12.75">
      <c r="A58" s="5" t="s">
        <v>691</v>
      </c>
      <c r="B58" s="5" t="s">
        <v>57</v>
      </c>
      <c r="C58" s="5" t="s">
        <v>1341</v>
      </c>
      <c r="D58" s="6">
        <v>95360322.129314</v>
      </c>
      <c r="E58" s="6">
        <f>D58*RPI_inc</f>
        <v>97182493.88974676</v>
      </c>
      <c r="F58" s="6"/>
      <c r="G58" s="6"/>
      <c r="H58" s="6"/>
      <c r="I58" s="6"/>
      <c r="J58" s="6">
        <v>1692380.333007</v>
      </c>
      <c r="K58" s="6">
        <f>J58*RPI_inc</f>
        <v>1724718.8107077705</v>
      </c>
      <c r="L58" s="6">
        <v>7239794.966743</v>
      </c>
      <c r="M58" s="6">
        <f>L58*RPI_inc</f>
        <v>7378134.99795465</v>
      </c>
      <c r="N58" s="6"/>
      <c r="O58" s="6"/>
      <c r="P58" s="6"/>
      <c r="Q58" s="6"/>
      <c r="R58" s="6"/>
      <c r="S58" s="6"/>
      <c r="T58" s="6"/>
      <c r="U58" s="6"/>
      <c r="V58" s="6">
        <v>54819.908686</v>
      </c>
      <c r="W58" s="6">
        <f>V58*RPI_inc</f>
        <v>55867.42286471338</v>
      </c>
      <c r="X58" s="6">
        <v>5910694.365658</v>
      </c>
      <c r="Y58" s="6">
        <f>X58*RPI_inc</f>
        <v>6023637.570097325</v>
      </c>
      <c r="Z58" s="14">
        <f>D58+F58+H58+J58+L58+N58+P58+R58+T58+V58+X58</f>
        <v>110258011.703408</v>
      </c>
      <c r="AC58" s="14">
        <f>E58+G58+I58+K58+M58+O58+Q58+S58+U58+W58+Y58</f>
        <v>112364852.69137123</v>
      </c>
      <c r="AF58" s="51"/>
      <c r="AG58" s="6">
        <v>2472241</v>
      </c>
      <c r="AH58" s="6">
        <f>AG58/$AG$680*$AH$680</f>
        <v>1861425.6383360417</v>
      </c>
      <c r="AI58" s="6">
        <v>113942388.343565</v>
      </c>
      <c r="AJ58" s="6">
        <f>AI58/$AI$680*$AJ$680</f>
        <v>78101882.89061347</v>
      </c>
      <c r="AK58" s="6">
        <f>AJ58-AH58</f>
        <v>76240457.25227742</v>
      </c>
      <c r="AL58" s="6"/>
      <c r="AM58" s="6"/>
      <c r="AN58" s="6"/>
      <c r="AO58" s="6"/>
      <c r="AP58" s="6"/>
      <c r="AQ58" s="6"/>
      <c r="AR58" s="6">
        <v>2444365.290293</v>
      </c>
      <c r="AS58" s="6">
        <f>AR58/$AR$680*$AS$680</f>
        <v>2396269.282335827</v>
      </c>
      <c r="AT58" s="6">
        <v>9157745.656736</v>
      </c>
      <c r="AU58" s="6">
        <f>AT58/$AT$680*$AU$680</f>
        <v>7557920.064466946</v>
      </c>
      <c r="AV58" s="6"/>
      <c r="AW58" s="6"/>
      <c r="AX58" s="6"/>
      <c r="AY58" s="6"/>
      <c r="AZ58" s="6">
        <v>77766.412676</v>
      </c>
      <c r="BA58" s="6">
        <f>AZ58/$AZ$680*$BA$680</f>
        <v>76208.47536170555</v>
      </c>
      <c r="BB58" s="6">
        <v>8739995.55044</v>
      </c>
      <c r="BC58" s="6">
        <f>BB58/$BB$680*$BC$680</f>
        <v>8572018.662375951</v>
      </c>
      <c r="BD58" s="6"/>
      <c r="BE58" s="6"/>
      <c r="BF58" s="6"/>
      <c r="BG58" s="6"/>
      <c r="BH58" s="6">
        <v>1623587.302776</v>
      </c>
      <c r="BI58" s="6"/>
      <c r="BJ58" s="6">
        <v>218476752.615696</v>
      </c>
      <c r="BK58" s="6">
        <f>BJ58/BJ56*BI56</f>
        <v>1670117.0785730656</v>
      </c>
      <c r="BL58" s="6">
        <f>BH58+BK58</f>
        <v>3293704.3813490653</v>
      </c>
      <c r="BM58" s="6"/>
      <c r="BN58" s="6"/>
      <c r="BO58" s="6">
        <v>323010.674019</v>
      </c>
      <c r="BP58" s="6"/>
      <c r="BQ58" s="6">
        <f>AG58+AI58+AL58+AN58+AP58+AR58+AT58+AV58+AX58+AZ58+BB58+BD58+BF58+BH58+BK58+BM58+BO58</f>
        <v>140451217.3090781</v>
      </c>
      <c r="BT58" s="6">
        <f>AJ58+AM58+AQ58+AS58+AU58+AW58+AY58+BA58+BC58+BG58+BL58+BN58+BP58</f>
        <v>99998003.75650297</v>
      </c>
      <c r="BW58" s="52"/>
      <c r="BX58" s="6">
        <f t="shared" si="0"/>
        <v>250709229.0124861</v>
      </c>
      <c r="BY58" s="6">
        <f t="shared" si="1"/>
        <v>212362856.4478742</v>
      </c>
    </row>
    <row r="59" spans="1:77" ht="12.75">
      <c r="A59" t="s">
        <v>692</v>
      </c>
      <c r="B59" t="s">
        <v>58</v>
      </c>
      <c r="J59"/>
      <c r="K59"/>
      <c r="L59"/>
      <c r="M59"/>
      <c r="V59"/>
      <c r="X59"/>
      <c r="Z59" s="12">
        <f>Z60+Z61</f>
        <v>52072891.645262</v>
      </c>
      <c r="AC59" s="12">
        <f>AC60+AC61</f>
        <v>53067915.05249631</v>
      </c>
      <c r="AF59" s="51"/>
      <c r="AG59"/>
      <c r="AI59"/>
      <c r="AR59"/>
      <c r="AT59"/>
      <c r="AZ59"/>
      <c r="BB59"/>
      <c r="BD59"/>
      <c r="BE59"/>
      <c r="BF59"/>
      <c r="BH59"/>
      <c r="BI59">
        <v>885246</v>
      </c>
      <c r="BJ59" s="1">
        <v>98516563.008669</v>
      </c>
      <c r="BL59"/>
      <c r="BO59"/>
      <c r="BP59"/>
      <c r="BQ59" s="1">
        <f>BQ60+BQ61</f>
        <v>65945453.911116995</v>
      </c>
      <c r="BT59" s="1">
        <f>BT60+BT61</f>
        <v>47339360.9588792</v>
      </c>
      <c r="BW59" s="52"/>
      <c r="BX59" s="1">
        <f t="shared" si="0"/>
        <v>118018345.55637899</v>
      </c>
      <c r="BY59" s="1">
        <f t="shared" si="1"/>
        <v>100407276.01137552</v>
      </c>
    </row>
    <row r="60" spans="1:77" ht="12.75">
      <c r="A60" s="3" t="s">
        <v>693</v>
      </c>
      <c r="B60" s="3" t="s">
        <v>59</v>
      </c>
      <c r="C60" s="3" t="s">
        <v>1341</v>
      </c>
      <c r="D60" s="3"/>
      <c r="E60" s="4"/>
      <c r="F60" s="4">
        <v>7038153.409036</v>
      </c>
      <c r="G60" s="4">
        <f>F60*RPI_inc</f>
        <v>7172640.416851975</v>
      </c>
      <c r="H60" s="4"/>
      <c r="I60" s="4"/>
      <c r="J60" s="4">
        <v>130256.334665</v>
      </c>
      <c r="K60" s="4">
        <f>J60*RPI_inc</f>
        <v>132745.30921273885</v>
      </c>
      <c r="L60" s="3"/>
      <c r="M60" s="4"/>
      <c r="N60" s="4"/>
      <c r="O60" s="4"/>
      <c r="P60" s="4"/>
      <c r="Q60" s="4"/>
      <c r="R60" s="4"/>
      <c r="S60" s="4"/>
      <c r="T60" s="4">
        <v>34613.925701</v>
      </c>
      <c r="U60" s="4">
        <f>T60*RPI_inc</f>
        <v>35275.33829401274</v>
      </c>
      <c r="V60" s="3"/>
      <c r="W60" s="4"/>
      <c r="X60" s="3"/>
      <c r="Y60" s="4"/>
      <c r="Z60" s="13">
        <f>D60+F60+H60+J60+L60+N60+P60+R60+T60+V60+X60</f>
        <v>7203023.6694020005</v>
      </c>
      <c r="AC60" s="13">
        <f>E60+G60+I60+K60+M60+O60+Q60+S60+U60+W60+Y60</f>
        <v>7340661.064358726</v>
      </c>
      <c r="AF60" s="51"/>
      <c r="AG60" s="3"/>
      <c r="AH60" s="4"/>
      <c r="AI60" s="3"/>
      <c r="AJ60" s="4"/>
      <c r="AK60" s="4"/>
      <c r="AL60" s="4">
        <v>7775602.762204</v>
      </c>
      <c r="AM60" s="4">
        <f>AL60/$AL$680*$AM$680</f>
        <v>5206090.762164376</v>
      </c>
      <c r="AN60" s="4"/>
      <c r="AO60" s="4"/>
      <c r="AP60" s="4"/>
      <c r="AQ60" s="4"/>
      <c r="AR60" s="4">
        <v>188133.871026</v>
      </c>
      <c r="AS60" s="4">
        <f>AR60/$AR$680*$AS$680</f>
        <v>184432.09691154448</v>
      </c>
      <c r="AT60" s="3"/>
      <c r="AU60" s="4"/>
      <c r="AV60" s="4"/>
      <c r="AW60" s="4"/>
      <c r="AX60" s="4">
        <v>49102.614164</v>
      </c>
      <c r="AY60" s="4">
        <f>AX60/$AX$680*$AY$680</f>
        <v>48118.91534461963</v>
      </c>
      <c r="AZ60" s="3"/>
      <c r="BA60" s="4"/>
      <c r="BB60" s="3"/>
      <c r="BC60" s="4"/>
      <c r="BD60" s="4"/>
      <c r="BE60" s="4"/>
      <c r="BF60" s="4"/>
      <c r="BG60" s="4"/>
      <c r="BH60" s="4">
        <v>128191.245736</v>
      </c>
      <c r="BI60" s="4"/>
      <c r="BJ60" s="4">
        <v>14734730.783417</v>
      </c>
      <c r="BK60" s="4">
        <f>BJ60/BJ59*BI59</f>
        <v>132402.7258842654</v>
      </c>
      <c r="BL60" s="4">
        <f>BH60+BK60</f>
        <v>260593.9716202654</v>
      </c>
      <c r="BM60" s="4"/>
      <c r="BN60" s="4"/>
      <c r="BO60" s="4">
        <v>21101.899939</v>
      </c>
      <c r="BP60" s="4"/>
      <c r="BQ60" s="4">
        <f>AG60+AI60+AL60+AN60+AP60+AR60+AT60+AV60+AX60+AZ60+BB60+BD60+BF60+BH60+BK60+BM60+BO60</f>
        <v>8294535.118953265</v>
      </c>
      <c r="BT60" s="4">
        <f>AJ60+AM60+AQ60+AS60+AU60+AW60+AY60+BA60+BC60+BG60+BL60+BN60+BP60</f>
        <v>5699235.746040805</v>
      </c>
      <c r="BW60" s="52"/>
      <c r="BX60" s="4">
        <f t="shared" si="0"/>
        <v>15497558.788355265</v>
      </c>
      <c r="BY60" s="4">
        <f t="shared" si="1"/>
        <v>13039896.810399532</v>
      </c>
    </row>
    <row r="61" spans="1:77" ht="12.75">
      <c r="A61" s="5" t="s">
        <v>694</v>
      </c>
      <c r="B61" s="5" t="s">
        <v>60</v>
      </c>
      <c r="C61" s="5" t="s">
        <v>1341</v>
      </c>
      <c r="D61" s="6">
        <v>37469985.137059</v>
      </c>
      <c r="E61" s="6">
        <f>D61*RPI_inc</f>
        <v>38185972.11420026</v>
      </c>
      <c r="F61" s="6"/>
      <c r="G61" s="6"/>
      <c r="H61" s="6"/>
      <c r="I61" s="6"/>
      <c r="J61" s="6">
        <v>740282.186149</v>
      </c>
      <c r="K61" s="6">
        <f>J61*RPI_inc</f>
        <v>754427.7056295541</v>
      </c>
      <c r="L61" s="6">
        <v>3036297.930212</v>
      </c>
      <c r="M61" s="6">
        <f>L61*RPI_inc</f>
        <v>3094316.3619994903</v>
      </c>
      <c r="N61" s="6"/>
      <c r="O61" s="6"/>
      <c r="P61" s="6"/>
      <c r="Q61" s="6"/>
      <c r="R61" s="6"/>
      <c r="S61" s="6"/>
      <c r="T61" s="6"/>
      <c r="U61" s="6"/>
      <c r="V61" s="6">
        <v>47285.225843</v>
      </c>
      <c r="W61" s="6">
        <f>V61*RPI_inc</f>
        <v>48188.765190318474</v>
      </c>
      <c r="X61" s="6">
        <v>3576017.496597</v>
      </c>
      <c r="Y61" s="6">
        <f>X61*RPI_inc</f>
        <v>3644349.0411179615</v>
      </c>
      <c r="Z61" s="14">
        <f>D61+F61+H61+J61+L61+N61+P61+R61+T61+V61+X61</f>
        <v>44869867.97586</v>
      </c>
      <c r="AC61" s="14">
        <f>E61+G61+I61+K61+M61+O61+Q61+S61+U61+W61+Y61</f>
        <v>45727253.98813758</v>
      </c>
      <c r="AF61" s="51"/>
      <c r="AG61" s="6">
        <v>1001553</v>
      </c>
      <c r="AH61" s="6">
        <f>AG61/$AG$680*$AH$680</f>
        <v>754099.7954294818</v>
      </c>
      <c r="AI61" s="6">
        <v>44771446.890929</v>
      </c>
      <c r="AJ61" s="6">
        <f>AI61/$AI$680*$AJ$680</f>
        <v>30688616.876935408</v>
      </c>
      <c r="AK61" s="6">
        <f>AJ61-AH61</f>
        <v>29934517.081505924</v>
      </c>
      <c r="AL61" s="6"/>
      <c r="AM61" s="6"/>
      <c r="AN61" s="6"/>
      <c r="AO61" s="6"/>
      <c r="AP61" s="6"/>
      <c r="AQ61" s="6"/>
      <c r="AR61" s="6">
        <v>1069215.970875</v>
      </c>
      <c r="AS61" s="6">
        <f>AR61/$AR$680*$AS$680</f>
        <v>1048177.7815146137</v>
      </c>
      <c r="AT61" s="6">
        <v>3840667.354626</v>
      </c>
      <c r="AU61" s="6">
        <f>AT61/$AT$680*$AU$680</f>
        <v>3169716.428968501</v>
      </c>
      <c r="AV61" s="6"/>
      <c r="AW61" s="6"/>
      <c r="AX61" s="6"/>
      <c r="AY61" s="6"/>
      <c r="AZ61" s="6">
        <v>67077.864129</v>
      </c>
      <c r="BA61" s="6">
        <f>AZ61/$AZ$680*$BA$680</f>
        <v>65734.05638612344</v>
      </c>
      <c r="BB61" s="6">
        <v>5287767.405153</v>
      </c>
      <c r="BC61" s="6">
        <f>BB61/$BB$680*$BC$680</f>
        <v>5186140.04065401</v>
      </c>
      <c r="BD61" s="6"/>
      <c r="BE61" s="6"/>
      <c r="BF61" s="6"/>
      <c r="BG61" s="6"/>
      <c r="BH61" s="6">
        <v>728896.754264</v>
      </c>
      <c r="BI61" s="6"/>
      <c r="BJ61" s="6">
        <v>83781832.225252</v>
      </c>
      <c r="BK61" s="6">
        <f>BJ61/BJ59*BI59</f>
        <v>752843.2741157345</v>
      </c>
      <c r="BL61" s="6">
        <f>BH61+BK61</f>
        <v>1481740.0283797346</v>
      </c>
      <c r="BM61" s="6"/>
      <c r="BN61" s="6"/>
      <c r="BO61" s="6">
        <v>131450.278072</v>
      </c>
      <c r="BP61" s="6"/>
      <c r="BQ61" s="6">
        <f>AG61+AI61+AL61+AN61+AP61+AR61+AT61+AV61+AX61+AZ61+BB61+BD61+BF61+BH61+BK61+BM61+BO61</f>
        <v>57650918.79216373</v>
      </c>
      <c r="BT61" s="6">
        <f>AJ61+AM61+AQ61+AS61+AU61+AW61+AY61+BA61+BC61+BG61+BL61+BN61+BP61</f>
        <v>41640125.2128384</v>
      </c>
      <c r="BW61" s="52"/>
      <c r="BX61" s="6">
        <f t="shared" si="0"/>
        <v>102520786.76802373</v>
      </c>
      <c r="BY61" s="6">
        <f t="shared" si="1"/>
        <v>87367379.20097598</v>
      </c>
    </row>
    <row r="62" spans="1:77" ht="12.75">
      <c r="A62" t="s">
        <v>695</v>
      </c>
      <c r="B62" t="s">
        <v>61</v>
      </c>
      <c r="J62"/>
      <c r="K62"/>
      <c r="L62"/>
      <c r="M62"/>
      <c r="V62"/>
      <c r="X62"/>
      <c r="Z62" s="12">
        <f>Z63+Z64</f>
        <v>80503166.617679</v>
      </c>
      <c r="AC62" s="12">
        <f>AC63+AC64</f>
        <v>82041443.68680662</v>
      </c>
      <c r="AF62" s="51"/>
      <c r="AG62"/>
      <c r="AI62"/>
      <c r="AR62"/>
      <c r="AT62"/>
      <c r="AZ62"/>
      <c r="BB62"/>
      <c r="BD62"/>
      <c r="BE62"/>
      <c r="BF62"/>
      <c r="BH62"/>
      <c r="BI62">
        <v>1048647</v>
      </c>
      <c r="BJ62" s="1">
        <v>144925627.76073</v>
      </c>
      <c r="BL62"/>
      <c r="BO62"/>
      <c r="BP62"/>
      <c r="BQ62" s="1">
        <f>BQ63+BQ64</f>
        <v>100936564.921769</v>
      </c>
      <c r="BT62" s="1">
        <f>BT63+BT64</f>
        <v>71844800.58705193</v>
      </c>
      <c r="BW62" s="52"/>
      <c r="BX62" s="1">
        <f t="shared" si="0"/>
        <v>181439731.539448</v>
      </c>
      <c r="BY62" s="1">
        <f t="shared" si="1"/>
        <v>153886244.27385855</v>
      </c>
    </row>
    <row r="63" spans="1:77" ht="12.75">
      <c r="A63" s="3" t="s">
        <v>696</v>
      </c>
      <c r="B63" s="3" t="s">
        <v>62</v>
      </c>
      <c r="C63" s="3" t="s">
        <v>1341</v>
      </c>
      <c r="D63" s="3"/>
      <c r="E63" s="4"/>
      <c r="F63" s="4">
        <v>11879868.141072</v>
      </c>
      <c r="G63" s="4">
        <f>F63*RPI_inc</f>
        <v>12106871.990901401</v>
      </c>
      <c r="H63" s="4"/>
      <c r="I63" s="4"/>
      <c r="J63" s="4">
        <v>184914.473149</v>
      </c>
      <c r="K63" s="4">
        <f>J63*RPI_inc</f>
        <v>188447.87072509553</v>
      </c>
      <c r="L63" s="3"/>
      <c r="M63" s="4"/>
      <c r="N63" s="4"/>
      <c r="O63" s="4"/>
      <c r="P63" s="4"/>
      <c r="Q63" s="4"/>
      <c r="R63" s="4"/>
      <c r="S63" s="4"/>
      <c r="T63" s="4">
        <v>165018.107149</v>
      </c>
      <c r="U63" s="4">
        <f>T63*RPI_inc</f>
        <v>168171.31938751592</v>
      </c>
      <c r="V63" s="3"/>
      <c r="W63" s="4"/>
      <c r="X63" s="3"/>
      <c r="Y63" s="4"/>
      <c r="Z63" s="13">
        <f>D63+F63+H63+J63+L63+N63+P63+R63+T63+V63+X63</f>
        <v>12229800.721369999</v>
      </c>
      <c r="AC63" s="13">
        <f>E63+G63+I63+K63+M63+O63+Q63+S63+U63+W63+Y63</f>
        <v>12463491.181014013</v>
      </c>
      <c r="AF63" s="51"/>
      <c r="AG63" s="3"/>
      <c r="AH63" s="4"/>
      <c r="AI63" s="3"/>
      <c r="AJ63" s="4"/>
      <c r="AK63" s="4"/>
      <c r="AL63" s="4">
        <v>13124626.612109</v>
      </c>
      <c r="AM63" s="4">
        <f>AL63/$AL$680*$AM$680</f>
        <v>8787485.60745531</v>
      </c>
      <c r="AN63" s="4"/>
      <c r="AO63" s="4"/>
      <c r="AP63" s="4"/>
      <c r="AQ63" s="4"/>
      <c r="AR63" s="4">
        <v>267078.570356</v>
      </c>
      <c r="AS63" s="4">
        <f>AR63/$AR$680*$AS$680</f>
        <v>261823.45848870097</v>
      </c>
      <c r="AT63" s="3"/>
      <c r="AU63" s="4"/>
      <c r="AV63" s="4"/>
      <c r="AW63" s="4"/>
      <c r="AX63" s="4">
        <v>234091.345642</v>
      </c>
      <c r="AY63" s="4">
        <f>AX63/$AX$680*$AY$680</f>
        <v>229401.6690482836</v>
      </c>
      <c r="AZ63" s="3"/>
      <c r="BA63" s="4"/>
      <c r="BB63" s="3"/>
      <c r="BC63" s="4"/>
      <c r="BD63" s="4"/>
      <c r="BE63" s="4"/>
      <c r="BF63" s="4"/>
      <c r="BG63" s="4"/>
      <c r="BH63" s="4">
        <v>170163.491424</v>
      </c>
      <c r="BI63" s="4"/>
      <c r="BJ63" s="4">
        <v>23560358.010966</v>
      </c>
      <c r="BK63" s="4">
        <f>BJ63/BJ62*BI62</f>
        <v>170477.0862743166</v>
      </c>
      <c r="BL63" s="4">
        <f>BH63+BK63</f>
        <v>340640.5776983166</v>
      </c>
      <c r="BM63" s="4"/>
      <c r="BN63" s="4"/>
      <c r="BO63" s="4">
        <v>35828.291415</v>
      </c>
      <c r="BP63" s="4"/>
      <c r="BQ63" s="4">
        <f>AG63+AI63+AL63+AN63+AP63+AR63+AT63+AV63+AX63+AZ63+BB63+BD63+BF63+BH63+BK63+BM63+BO63</f>
        <v>14002265.397220317</v>
      </c>
      <c r="BT63" s="4">
        <f>AJ63+AM63+AQ63+AS63+AU63+AW63+AY63+BA63+BC63+BG63+BL63+BN63+BP63</f>
        <v>9619351.31269061</v>
      </c>
      <c r="BW63" s="52"/>
      <c r="BX63" s="4">
        <f t="shared" si="0"/>
        <v>26232066.118590318</v>
      </c>
      <c r="BY63" s="4">
        <f t="shared" si="1"/>
        <v>22082842.493704624</v>
      </c>
    </row>
    <row r="64" spans="1:77" ht="12.75">
      <c r="A64" s="5" t="s">
        <v>697</v>
      </c>
      <c r="B64" s="5" t="s">
        <v>63</v>
      </c>
      <c r="C64" s="5" t="s">
        <v>1341</v>
      </c>
      <c r="D64" s="6">
        <v>58228156.308124</v>
      </c>
      <c r="E64" s="6">
        <f>D64*RPI_inc</f>
        <v>59340796.23757859</v>
      </c>
      <c r="F64" s="6"/>
      <c r="G64" s="6"/>
      <c r="H64" s="6"/>
      <c r="I64" s="6"/>
      <c r="J64" s="6">
        <v>894305.030971</v>
      </c>
      <c r="K64" s="6">
        <f>J64*RPI_inc</f>
        <v>911393.6621360509</v>
      </c>
      <c r="L64" s="6">
        <v>4316204.851419</v>
      </c>
      <c r="M64" s="6">
        <f>L64*RPI_inc</f>
        <v>4398680.103356943</v>
      </c>
      <c r="N64" s="6"/>
      <c r="O64" s="6"/>
      <c r="P64" s="6"/>
      <c r="Q64" s="6"/>
      <c r="R64" s="6"/>
      <c r="S64" s="6"/>
      <c r="T64" s="6"/>
      <c r="U64" s="6"/>
      <c r="V64" s="6">
        <v>48221.970196</v>
      </c>
      <c r="W64" s="6">
        <f>V64*RPI_inc</f>
        <v>49143.409116942676</v>
      </c>
      <c r="X64" s="6">
        <v>4786477.735599</v>
      </c>
      <c r="Y64" s="6">
        <f>X64*RPI_inc</f>
        <v>4877939.093604077</v>
      </c>
      <c r="Z64" s="14">
        <f>D64+F64+H64+J64+L64+N64+P64+R64+T64+V64+X64</f>
        <v>68273365.896309</v>
      </c>
      <c r="AC64" s="14">
        <f>E64+G64+I64+K64+M64+O64+Q64+S64+U64+W64+Y64</f>
        <v>69577952.5057926</v>
      </c>
      <c r="AF64" s="51"/>
      <c r="AG64" s="6">
        <v>1507601</v>
      </c>
      <c r="AH64" s="6">
        <f>AG64/$AG$680*$AH$680</f>
        <v>1135118.7662453032</v>
      </c>
      <c r="AI64" s="6">
        <v>69574588.785398</v>
      </c>
      <c r="AJ64" s="6">
        <f>AI64/$AI$680*$AJ$680</f>
        <v>47689946.33581971</v>
      </c>
      <c r="AK64" s="6">
        <f>AJ64-AH64</f>
        <v>46554827.5695744</v>
      </c>
      <c r="AL64" s="6"/>
      <c r="AM64" s="6"/>
      <c r="AN64" s="6"/>
      <c r="AO64" s="6"/>
      <c r="AP64" s="6"/>
      <c r="AQ64" s="6"/>
      <c r="AR64" s="6">
        <v>1291676.660385</v>
      </c>
      <c r="AS64" s="6">
        <f>AR64/$AR$680*$AS$680</f>
        <v>1266261.2729293366</v>
      </c>
      <c r="AT64" s="6">
        <v>5459644.425462</v>
      </c>
      <c r="AU64" s="6">
        <f>AT64/$AT$680*$AU$680</f>
        <v>4505863.964206394</v>
      </c>
      <c r="AV64" s="6"/>
      <c r="AW64" s="6"/>
      <c r="AX64" s="6"/>
      <c r="AY64" s="6"/>
      <c r="AZ64" s="6">
        <v>68406.710705</v>
      </c>
      <c r="BA64" s="6">
        <f>AZ64/$AZ$680*$BA$680</f>
        <v>67036.28144784133</v>
      </c>
      <c r="BB64" s="6">
        <v>7077644.608809</v>
      </c>
      <c r="BC64" s="6">
        <f>BB64/$BB$680*$BC$680</f>
        <v>6941616.997656363</v>
      </c>
      <c r="BD64" s="6"/>
      <c r="BE64" s="6"/>
      <c r="BF64" s="6"/>
      <c r="BG64" s="6"/>
      <c r="BH64" s="6">
        <v>876554.508576</v>
      </c>
      <c r="BI64" s="6"/>
      <c r="BJ64" s="6">
        <v>121365269.749764</v>
      </c>
      <c r="BK64" s="6">
        <f>BJ64/BJ62*BI62</f>
        <v>878169.9137256833</v>
      </c>
      <c r="BL64" s="6">
        <f>BH64+BK64</f>
        <v>1754724.4223016833</v>
      </c>
      <c r="BM64" s="6"/>
      <c r="BN64" s="6"/>
      <c r="BO64" s="6">
        <v>200012.911488</v>
      </c>
      <c r="BP64" s="6"/>
      <c r="BQ64" s="6">
        <f>AG64+AI64+AL64+AN64+AP64+AR64+AT64+AV64+AX64+AZ64+BB64+BD64+BF64+BH64+BK64+BM64+BO64</f>
        <v>86934299.52454868</v>
      </c>
      <c r="BT64" s="6">
        <f>AJ64+AM64+AQ64+AS64+AU64+AW64+AY64+BA64+BC64+BG64+BL64+BN64+BP64</f>
        <v>62225449.27436131</v>
      </c>
      <c r="BW64" s="52"/>
      <c r="BX64" s="6">
        <f t="shared" si="0"/>
        <v>155207665.42085767</v>
      </c>
      <c r="BY64" s="6">
        <f t="shared" si="1"/>
        <v>131803401.78015392</v>
      </c>
    </row>
    <row r="65" spans="1:77" ht="12.75">
      <c r="A65" t="s">
        <v>698</v>
      </c>
      <c r="B65" t="s">
        <v>64</v>
      </c>
      <c r="J65"/>
      <c r="K65"/>
      <c r="L65"/>
      <c r="M65"/>
      <c r="V65"/>
      <c r="X65"/>
      <c r="Z65" s="12">
        <f>Z66+Z67</f>
        <v>43017250.51698001</v>
      </c>
      <c r="AC65" s="12">
        <f>AC66+AC67</f>
        <v>43839236.19564842</v>
      </c>
      <c r="AF65" s="51"/>
      <c r="AG65"/>
      <c r="AI65"/>
      <c r="AR65"/>
      <c r="AT65"/>
      <c r="AZ65"/>
      <c r="BB65"/>
      <c r="BD65"/>
      <c r="BE65"/>
      <c r="BF65"/>
      <c r="BH65"/>
      <c r="BI65">
        <v>865044</v>
      </c>
      <c r="BJ65" s="1">
        <v>79440380.01501</v>
      </c>
      <c r="BL65"/>
      <c r="BO65"/>
      <c r="BP65"/>
      <c r="BQ65" s="1">
        <f>BQ66+BQ67</f>
        <v>54814436.645973995</v>
      </c>
      <c r="BT65" s="1">
        <f>BT66+BT67</f>
        <v>39483752.957247674</v>
      </c>
      <c r="BW65" s="52"/>
      <c r="BX65" s="1">
        <f t="shared" si="0"/>
        <v>97831687.162954</v>
      </c>
      <c r="BY65" s="1">
        <f t="shared" si="1"/>
        <v>83322989.15289609</v>
      </c>
    </row>
    <row r="66" spans="1:77" ht="12.75">
      <c r="A66" s="3" t="s">
        <v>699</v>
      </c>
      <c r="B66" s="3" t="s">
        <v>65</v>
      </c>
      <c r="C66" s="3" t="s">
        <v>1341</v>
      </c>
      <c r="D66" s="3"/>
      <c r="E66" s="4"/>
      <c r="F66" s="4">
        <v>5991555.178728</v>
      </c>
      <c r="G66" s="4">
        <f>F66*RPI_inc</f>
        <v>6106043.494245096</v>
      </c>
      <c r="H66" s="4"/>
      <c r="I66" s="4"/>
      <c r="J66" s="4">
        <v>139255.967234</v>
      </c>
      <c r="K66" s="4">
        <f>J66*RPI_inc</f>
        <v>141916.90928305732</v>
      </c>
      <c r="L66" s="3"/>
      <c r="M66" s="4"/>
      <c r="N66" s="4"/>
      <c r="O66" s="4"/>
      <c r="P66" s="4"/>
      <c r="Q66" s="4"/>
      <c r="R66" s="4"/>
      <c r="S66" s="4"/>
      <c r="T66" s="4">
        <v>69766.275766</v>
      </c>
      <c r="U66" s="4">
        <f>T66*RPI_inc</f>
        <v>71099.3893156688</v>
      </c>
      <c r="V66" s="3"/>
      <c r="W66" s="4"/>
      <c r="X66" s="3"/>
      <c r="Y66" s="4"/>
      <c r="Z66" s="13">
        <f>D66+F66+H66+J66+L66+N66+P66+R66+T66+V66+X66</f>
        <v>6200577.421728</v>
      </c>
      <c r="AC66" s="13">
        <f>E66+G66+I66+K66+M66+O66+Q66+S66+U66+W66+Y66</f>
        <v>6319059.792843822</v>
      </c>
      <c r="AF66" s="51"/>
      <c r="AG66" s="3"/>
      <c r="AH66" s="4"/>
      <c r="AI66" s="3"/>
      <c r="AJ66" s="4"/>
      <c r="AK66" s="4"/>
      <c r="AL66" s="4">
        <v>6619343.212639</v>
      </c>
      <c r="AM66" s="4">
        <f>AL66/$AL$680*$AM$680</f>
        <v>4431926.707781996</v>
      </c>
      <c r="AN66" s="4"/>
      <c r="AO66" s="4"/>
      <c r="AP66" s="4"/>
      <c r="AQ66" s="4"/>
      <c r="AR66" s="4">
        <v>201132.361406</v>
      </c>
      <c r="AS66" s="4">
        <f>AR66/$AR$680*$AS$680</f>
        <v>197174.82539735036</v>
      </c>
      <c r="AT66" s="3"/>
      <c r="AU66" s="4"/>
      <c r="AV66" s="4"/>
      <c r="AW66" s="4"/>
      <c r="AX66" s="4">
        <v>98969.026228</v>
      </c>
      <c r="AY66" s="4">
        <f>AX66/$AX$680*$AY$680</f>
        <v>96986.32701914432</v>
      </c>
      <c r="AZ66" s="3"/>
      <c r="BA66" s="4"/>
      <c r="BB66" s="3"/>
      <c r="BC66" s="4"/>
      <c r="BD66" s="4"/>
      <c r="BE66" s="4"/>
      <c r="BF66" s="4"/>
      <c r="BG66" s="4"/>
      <c r="BH66" s="4">
        <v>132397.860812</v>
      </c>
      <c r="BI66" s="4"/>
      <c r="BJ66" s="4">
        <v>12252450.58188</v>
      </c>
      <c r="BK66" s="4">
        <f>BJ66/BJ65*BI65</f>
        <v>133419.66464849707</v>
      </c>
      <c r="BL66" s="4">
        <f>BH66+BK66</f>
        <v>265817.52546049707</v>
      </c>
      <c r="BM66" s="4"/>
      <c r="BN66" s="4"/>
      <c r="BO66" s="4">
        <v>18165.144295</v>
      </c>
      <c r="BP66" s="4"/>
      <c r="BQ66" s="4">
        <f>AG66+AI66+AL66+AN66+AP66+AR66+AT66+AV66+AX66+AZ66+BB66+BD66+BF66+BH66+BK66+BM66+BO66</f>
        <v>7203427.270028498</v>
      </c>
      <c r="BT66" s="4">
        <f>AJ66+AM66+AQ66+AS66+AU66+AW66+AY66+BA66+BC66+BG66+BL66+BN66+BP66</f>
        <v>4991905.385658988</v>
      </c>
      <c r="BW66" s="52"/>
      <c r="BX66" s="4">
        <f aca="true" t="shared" si="2" ref="BX66:BX129">Z66+BQ66</f>
        <v>13404004.691756498</v>
      </c>
      <c r="BY66" s="4">
        <f aca="true" t="shared" si="3" ref="BY66:BY129">AC66+BT66</f>
        <v>11310965.17850281</v>
      </c>
    </row>
    <row r="67" spans="1:77" ht="12.75">
      <c r="A67" s="5" t="s">
        <v>700</v>
      </c>
      <c r="B67" s="5" t="s">
        <v>66</v>
      </c>
      <c r="C67" s="5" t="s">
        <v>1341</v>
      </c>
      <c r="D67" s="6">
        <v>30534870.898223</v>
      </c>
      <c r="E67" s="6">
        <f>D67*RPI_inc</f>
        <v>31118339.768889684</v>
      </c>
      <c r="F67" s="6"/>
      <c r="G67" s="6"/>
      <c r="H67" s="6"/>
      <c r="I67" s="6"/>
      <c r="J67" s="6">
        <v>728161.158482</v>
      </c>
      <c r="K67" s="6">
        <f>J67*RPI_inc</f>
        <v>742075.0659689172</v>
      </c>
      <c r="L67" s="6">
        <v>2601002.0651</v>
      </c>
      <c r="M67" s="6">
        <f>L67*RPI_inc</f>
        <v>2650702.7415031847</v>
      </c>
      <c r="N67" s="6"/>
      <c r="O67" s="6"/>
      <c r="P67" s="6"/>
      <c r="Q67" s="6"/>
      <c r="R67" s="6"/>
      <c r="S67" s="6"/>
      <c r="T67" s="6"/>
      <c r="U67" s="6"/>
      <c r="V67" s="6">
        <v>46877.945689</v>
      </c>
      <c r="W67" s="6">
        <f>V67*RPI_inc</f>
        <v>47773.70261299363</v>
      </c>
      <c r="X67" s="6">
        <v>2905761.027758</v>
      </c>
      <c r="Y67" s="6">
        <f>X67*RPI_inc</f>
        <v>2961285.123829809</v>
      </c>
      <c r="Z67" s="14">
        <f>D67+F67+H67+J67+L67+N67+P67+R67+T67+V67+X67</f>
        <v>36816673.09525201</v>
      </c>
      <c r="AC67" s="14">
        <f>E67+G67+I67+K67+M67+O67+Q67+S67+U67+W67+Y67</f>
        <v>37520176.40280459</v>
      </c>
      <c r="AF67" s="51"/>
      <c r="AG67" s="6">
        <v>855622</v>
      </c>
      <c r="AH67" s="6">
        <f>AG67/$AG$680*$AH$680</f>
        <v>644223.895455322</v>
      </c>
      <c r="AI67" s="6">
        <v>36484945.103142</v>
      </c>
      <c r="AJ67" s="6">
        <f>AI67/$AI$680*$AJ$680</f>
        <v>25008628.932052642</v>
      </c>
      <c r="AK67" s="6">
        <f>AJ67-AH67</f>
        <v>24364405.03659732</v>
      </c>
      <c r="AL67" s="6"/>
      <c r="AM67" s="6"/>
      <c r="AN67" s="6"/>
      <c r="AO67" s="6"/>
      <c r="AP67" s="6"/>
      <c r="AQ67" s="6"/>
      <c r="AR67" s="6">
        <v>1051709.1382</v>
      </c>
      <c r="AS67" s="6">
        <f>AR67/$AR$680*$AS$680</f>
        <v>1031015.418124538</v>
      </c>
      <c r="AT67" s="6">
        <v>3290053.858466</v>
      </c>
      <c r="AU67" s="6">
        <f>AT67/$AT$680*$AU$680</f>
        <v>2715293.152063779</v>
      </c>
      <c r="AV67" s="6"/>
      <c r="AW67" s="6"/>
      <c r="AX67" s="6"/>
      <c r="AY67" s="6"/>
      <c r="AZ67" s="6">
        <v>66500.104748</v>
      </c>
      <c r="BA67" s="6">
        <f>AZ67/$AZ$680*$BA$680</f>
        <v>65167.87157655306</v>
      </c>
      <c r="BB67" s="6">
        <v>4296675.971067</v>
      </c>
      <c r="BC67" s="6">
        <f>BB67/$BB$680*$BC$680</f>
        <v>4214096.723231677</v>
      </c>
      <c r="BD67" s="6"/>
      <c r="BE67" s="6"/>
      <c r="BF67" s="6"/>
      <c r="BG67" s="6"/>
      <c r="BH67" s="6">
        <v>726021.139188</v>
      </c>
      <c r="BI67" s="6"/>
      <c r="BJ67" s="6">
        <v>67187929.43313</v>
      </c>
      <c r="BK67" s="6">
        <f>BJ67/BJ65*BI65</f>
        <v>731624.335351503</v>
      </c>
      <c r="BL67" s="6">
        <f>BH67+BK67</f>
        <v>1457645.474539503</v>
      </c>
      <c r="BM67" s="6"/>
      <c r="BN67" s="6"/>
      <c r="BO67" s="6">
        <v>107857.725783</v>
      </c>
      <c r="BP67" s="6"/>
      <c r="BQ67" s="6">
        <f>AG67+AI67+AL67+AN67+AP67+AR67+AT67+AV67+AX67+AZ67+BB67+BD67+BF67+BH67+BK67+BM67+BO67</f>
        <v>47611009.3759455</v>
      </c>
      <c r="BT67" s="6">
        <f>AJ67+AM67+AQ67+AS67+AU67+AW67+AY67+BA67+BC67+BG67+BL67+BN67+BP67</f>
        <v>34491847.57158869</v>
      </c>
      <c r="BW67" s="52"/>
      <c r="BX67" s="6">
        <f t="shared" si="2"/>
        <v>84427682.47119752</v>
      </c>
      <c r="BY67" s="6">
        <f t="shared" si="3"/>
        <v>72012023.97439328</v>
      </c>
    </row>
    <row r="68" spans="1:77" ht="12.75">
      <c r="A68" t="s">
        <v>701</v>
      </c>
      <c r="B68" t="s">
        <v>67</v>
      </c>
      <c r="J68"/>
      <c r="K68"/>
      <c r="L68"/>
      <c r="M68"/>
      <c r="V68"/>
      <c r="X68"/>
      <c r="Z68" s="12">
        <f>Z69+Z70</f>
        <v>44049722.825653</v>
      </c>
      <c r="AC68" s="12">
        <f>AC69+AC70</f>
        <v>44891437.27455084</v>
      </c>
      <c r="AF68" s="51"/>
      <c r="AG68"/>
      <c r="AI68"/>
      <c r="AR68"/>
      <c r="AT68"/>
      <c r="AZ68"/>
      <c r="BB68"/>
      <c r="BD68"/>
      <c r="BE68"/>
      <c r="BF68"/>
      <c r="BH68"/>
      <c r="BI68">
        <v>588658</v>
      </c>
      <c r="BJ68" s="1">
        <v>81438408.69195</v>
      </c>
      <c r="BL68"/>
      <c r="BO68"/>
      <c r="BP68"/>
      <c r="BQ68" s="1">
        <f>BQ69+BQ70</f>
        <v>55215696.352211</v>
      </c>
      <c r="BT68" s="1">
        <f>BT69+BT70</f>
        <v>39592797.76647996</v>
      </c>
      <c r="BW68" s="52"/>
      <c r="BX68" s="1">
        <f t="shared" si="2"/>
        <v>99265419.177864</v>
      </c>
      <c r="BY68" s="1">
        <f t="shared" si="3"/>
        <v>84484235.0410308</v>
      </c>
    </row>
    <row r="69" spans="1:77" ht="12.75">
      <c r="A69" s="3" t="s">
        <v>702</v>
      </c>
      <c r="B69" s="3" t="s">
        <v>68</v>
      </c>
      <c r="C69" s="3" t="s">
        <v>1341</v>
      </c>
      <c r="D69" s="3"/>
      <c r="E69" s="4"/>
      <c r="F69" s="4">
        <v>5569280.303064</v>
      </c>
      <c r="G69" s="4">
        <f>F69*RPI_inc</f>
        <v>5675699.671912356</v>
      </c>
      <c r="H69" s="4"/>
      <c r="I69" s="4"/>
      <c r="J69" s="4">
        <v>89158.781227</v>
      </c>
      <c r="K69" s="4">
        <f>J69*RPI_inc</f>
        <v>90862.45220585987</v>
      </c>
      <c r="L69" s="3"/>
      <c r="M69" s="4"/>
      <c r="N69" s="4"/>
      <c r="O69" s="4"/>
      <c r="P69" s="4"/>
      <c r="Q69" s="4"/>
      <c r="R69" s="4"/>
      <c r="S69" s="4"/>
      <c r="T69" s="4">
        <v>36881.661597</v>
      </c>
      <c r="U69" s="4">
        <f>T69*RPI_inc</f>
        <v>37586.40672305732</v>
      </c>
      <c r="V69" s="3"/>
      <c r="W69" s="4"/>
      <c r="X69" s="3"/>
      <c r="Y69" s="4"/>
      <c r="Z69" s="13">
        <f>D69+F69+H69+J69+L69+N69+P69+R69+T69+V69+X69</f>
        <v>5695320.745888</v>
      </c>
      <c r="AC69" s="13">
        <f>E69+G69+I69+K69+M69+O69+Q69+S69+U69+W69+Y69</f>
        <v>5804148.530841273</v>
      </c>
      <c r="AF69" s="51"/>
      <c r="AG69" s="3"/>
      <c r="AH69" s="4"/>
      <c r="AI69" s="3"/>
      <c r="AJ69" s="4"/>
      <c r="AK69" s="4"/>
      <c r="AL69" s="4">
        <v>6152822.877147</v>
      </c>
      <c r="AM69" s="4">
        <f>AL69/$AL$680*$AM$680</f>
        <v>4119571.861059052</v>
      </c>
      <c r="AN69" s="4"/>
      <c r="AO69" s="4"/>
      <c r="AP69" s="4"/>
      <c r="AQ69" s="4"/>
      <c r="AR69" s="4">
        <v>128775.208448</v>
      </c>
      <c r="AS69" s="4">
        <f>AR69/$AR$680*$AS$680</f>
        <v>126241.39180660137</v>
      </c>
      <c r="AT69" s="3"/>
      <c r="AU69" s="4"/>
      <c r="AV69" s="4"/>
      <c r="AW69" s="4"/>
      <c r="AX69" s="4">
        <v>52319.57839</v>
      </c>
      <c r="AY69" s="4">
        <f>AX69/$AX$680*$AY$680</f>
        <v>51271.432413070426</v>
      </c>
      <c r="AZ69" s="3"/>
      <c r="BA69" s="4"/>
      <c r="BB69" s="3"/>
      <c r="BC69" s="4"/>
      <c r="BD69" s="4"/>
      <c r="BE69" s="4"/>
      <c r="BF69" s="4"/>
      <c r="BG69" s="4"/>
      <c r="BH69" s="4">
        <v>80926.694228</v>
      </c>
      <c r="BI69" s="4"/>
      <c r="BJ69" s="4">
        <v>11376948.636417</v>
      </c>
      <c r="BK69" s="4">
        <f>BJ69/BJ68*BI68</f>
        <v>82235.54386663692</v>
      </c>
      <c r="BL69" s="4">
        <f>BH69+BK69</f>
        <v>163162.2380946369</v>
      </c>
      <c r="BM69" s="4"/>
      <c r="BN69" s="4"/>
      <c r="BO69" s="4">
        <v>16684.949823</v>
      </c>
      <c r="BP69" s="4"/>
      <c r="BQ69" s="4">
        <f>AG69+AI69+AL69+AN69+AP69+AR69+AT69+AV69+AX69+AZ69+BB69+BD69+BF69+BH69+BK69+BM69+BO69</f>
        <v>6513764.851902638</v>
      </c>
      <c r="BT69" s="4">
        <f>AJ69+AM69+AQ69+AS69+AU69+AW69+AY69+BA69+BC69+BG69+BL69+BN69+BP69</f>
        <v>4460246.923373361</v>
      </c>
      <c r="BW69" s="52"/>
      <c r="BX69" s="4">
        <f t="shared" si="2"/>
        <v>12209085.597790638</v>
      </c>
      <c r="BY69" s="4">
        <f t="shared" si="3"/>
        <v>10264395.454214634</v>
      </c>
    </row>
    <row r="70" spans="1:77" ht="12.75">
      <c r="A70" s="5" t="s">
        <v>703</v>
      </c>
      <c r="B70" s="5" t="s">
        <v>69</v>
      </c>
      <c r="C70" s="5" t="s">
        <v>1341</v>
      </c>
      <c r="D70" s="6">
        <v>32181720.650381</v>
      </c>
      <c r="E70" s="6">
        <f>D70*RPI_inc</f>
        <v>32796657.987649426</v>
      </c>
      <c r="F70" s="6"/>
      <c r="G70" s="6"/>
      <c r="H70" s="6"/>
      <c r="I70" s="6"/>
      <c r="J70" s="6">
        <v>501451.609877</v>
      </c>
      <c r="K70" s="6">
        <f>J70*RPI_inc</f>
        <v>511033.48777273885</v>
      </c>
      <c r="L70" s="6">
        <v>2858853.243628</v>
      </c>
      <c r="M70" s="6">
        <f>L70*RPI_inc</f>
        <v>2913481.012614522</v>
      </c>
      <c r="N70" s="6"/>
      <c r="O70" s="6"/>
      <c r="P70" s="6"/>
      <c r="Q70" s="6"/>
      <c r="R70" s="6"/>
      <c r="S70" s="6"/>
      <c r="T70" s="6"/>
      <c r="U70" s="6"/>
      <c r="V70" s="6">
        <v>46877.945689</v>
      </c>
      <c r="W70" s="6">
        <f>V70*RPI_inc</f>
        <v>47773.70261299363</v>
      </c>
      <c r="X70" s="6">
        <v>2765498.63019</v>
      </c>
      <c r="Y70" s="6">
        <f>X70*RPI_inc</f>
        <v>2818342.5530598727</v>
      </c>
      <c r="Z70" s="14">
        <f>D70+F70+H70+J70+L70+N70+P70+R70+T70+V70+X70</f>
        <v>38354402.079765</v>
      </c>
      <c r="AC70" s="14">
        <f>E70+G70+I70+K70+M70+O70+Q70+S70+U70+W70+Y70</f>
        <v>39087288.743709564</v>
      </c>
      <c r="AF70" s="51"/>
      <c r="AG70" s="6">
        <v>635829</v>
      </c>
      <c r="AH70" s="6">
        <f>AG70/$AG$680*$AH$680</f>
        <v>478735.04330587795</v>
      </c>
      <c r="AI70" s="6">
        <v>38452702.654856</v>
      </c>
      <c r="AJ70" s="6">
        <f>AI70/$AI$680*$AJ$680</f>
        <v>26357429.603122365</v>
      </c>
      <c r="AK70" s="6">
        <f>AJ70-AH70</f>
        <v>25878694.559816487</v>
      </c>
      <c r="AL70" s="6"/>
      <c r="AM70" s="6"/>
      <c r="AN70" s="6"/>
      <c r="AO70" s="6"/>
      <c r="AP70" s="6"/>
      <c r="AQ70" s="6"/>
      <c r="AR70" s="6">
        <v>724264.449333</v>
      </c>
      <c r="AS70" s="6">
        <f>AR70/$AR$680*$AS$680</f>
        <v>710013.6215796563</v>
      </c>
      <c r="AT70" s="6">
        <v>3616214.408743</v>
      </c>
      <c r="AU70" s="6">
        <f>AT70/$AT$680*$AU$680</f>
        <v>2984474.6143555287</v>
      </c>
      <c r="AV70" s="6"/>
      <c r="AW70" s="6"/>
      <c r="AX70" s="6"/>
      <c r="AY70" s="6"/>
      <c r="AZ70" s="6">
        <v>66500.104748</v>
      </c>
      <c r="BA70" s="6">
        <f>AZ70/$AZ$680*$BA$680</f>
        <v>65167.87157655306</v>
      </c>
      <c r="BB70" s="6">
        <v>4089273.480802</v>
      </c>
      <c r="BC70" s="6">
        <f>BB70/$BB$680*$BC$680</f>
        <v>4010680.3705671346</v>
      </c>
      <c r="BD70" s="6"/>
      <c r="BE70" s="6"/>
      <c r="BF70" s="6"/>
      <c r="BG70" s="6"/>
      <c r="BH70" s="6">
        <v>498362.305772</v>
      </c>
      <c r="BI70" s="6"/>
      <c r="BJ70" s="6">
        <v>70061460.055533</v>
      </c>
      <c r="BK70" s="6">
        <f>BJ70/BJ68*BI68</f>
        <v>506422.4561333632</v>
      </c>
      <c r="BL70" s="6">
        <f>BH70+BK70</f>
        <v>1004784.7619053632</v>
      </c>
      <c r="BM70" s="6"/>
      <c r="BN70" s="6"/>
      <c r="BO70" s="6">
        <v>112362.639921</v>
      </c>
      <c r="BP70" s="6"/>
      <c r="BQ70" s="6">
        <f>AG70+AI70+AL70+AN70+AP70+AR70+AT70+AV70+AX70+AZ70+BB70+BD70+BF70+BH70+BK70+BM70+BO70</f>
        <v>48701931.500308365</v>
      </c>
      <c r="BT70" s="6">
        <f>AJ70+AM70+AQ70+AS70+AU70+AW70+AY70+BA70+BC70+BG70+BL70+BN70+BP70</f>
        <v>35132550.8431066</v>
      </c>
      <c r="BW70" s="52"/>
      <c r="BX70" s="6">
        <f t="shared" si="2"/>
        <v>87056333.58007336</v>
      </c>
      <c r="BY70" s="6">
        <f t="shared" si="3"/>
        <v>74219839.58681616</v>
      </c>
    </row>
    <row r="71" spans="1:77" ht="12.75">
      <c r="A71" t="s">
        <v>704</v>
      </c>
      <c r="B71" t="s">
        <v>70</v>
      </c>
      <c r="J71"/>
      <c r="K71"/>
      <c r="L71"/>
      <c r="M71"/>
      <c r="V71"/>
      <c r="X71"/>
      <c r="Z71" s="12">
        <f>Z72+Z73</f>
        <v>76475488.282464</v>
      </c>
      <c r="AC71" s="12">
        <f>AC72+AC73</f>
        <v>77936803.34518623</v>
      </c>
      <c r="AF71" s="51"/>
      <c r="AG71"/>
      <c r="AI71"/>
      <c r="AR71"/>
      <c r="AT71"/>
      <c r="AZ71"/>
      <c r="BB71"/>
      <c r="BD71"/>
      <c r="BE71"/>
      <c r="BF71"/>
      <c r="BH71"/>
      <c r="BI71">
        <v>964439</v>
      </c>
      <c r="BJ71" s="1">
        <v>137942666.583822</v>
      </c>
      <c r="BL71"/>
      <c r="BO71"/>
      <c r="BP71"/>
      <c r="BQ71" s="1">
        <f>BQ72+BQ73</f>
        <v>96367635.826147</v>
      </c>
      <c r="BT71" s="1">
        <f>BT72+BT73</f>
        <v>69274139.68940975</v>
      </c>
      <c r="BW71" s="52"/>
      <c r="BX71" s="1">
        <f t="shared" si="2"/>
        <v>172843124.108611</v>
      </c>
      <c r="BY71" s="1">
        <f t="shared" si="3"/>
        <v>147210943.03459597</v>
      </c>
    </row>
    <row r="72" spans="1:77" ht="12.75">
      <c r="A72" s="3" t="s">
        <v>705</v>
      </c>
      <c r="B72" s="3" t="s">
        <v>71</v>
      </c>
      <c r="C72" s="3" t="s">
        <v>1341</v>
      </c>
      <c r="D72" s="3"/>
      <c r="E72" s="4"/>
      <c r="F72" s="4">
        <v>10219559.532458</v>
      </c>
      <c r="G72" s="4">
        <f>F72*RPI_inc</f>
        <v>10414837.740084587</v>
      </c>
      <c r="H72" s="4"/>
      <c r="I72" s="4"/>
      <c r="J72" s="4">
        <v>152518.743696</v>
      </c>
      <c r="K72" s="4">
        <f>J72*RPI_inc</f>
        <v>155433.11459464967</v>
      </c>
      <c r="L72" s="3"/>
      <c r="M72" s="4"/>
      <c r="N72" s="4"/>
      <c r="O72" s="4"/>
      <c r="P72" s="4"/>
      <c r="Q72" s="4"/>
      <c r="R72" s="4"/>
      <c r="S72" s="4"/>
      <c r="T72" s="4">
        <v>57292.913779</v>
      </c>
      <c r="U72" s="4">
        <f>T72*RPI_inc</f>
        <v>58387.68283210191</v>
      </c>
      <c r="V72" s="3"/>
      <c r="W72" s="4"/>
      <c r="X72" s="3"/>
      <c r="Y72" s="4"/>
      <c r="Z72" s="13">
        <f>D72+F72+H72+J72+L72+N72+P72+R72+T72+V72+X72</f>
        <v>10429371.189933</v>
      </c>
      <c r="AC72" s="13">
        <f>E72+G72+I72+K72+M72+O72+Q72+S72+U72+W72+Y72</f>
        <v>10628658.537511338</v>
      </c>
      <c r="AF72" s="51"/>
      <c r="AG72" s="3"/>
      <c r="AH72" s="4"/>
      <c r="AI72" s="3"/>
      <c r="AJ72" s="4"/>
      <c r="AK72" s="4"/>
      <c r="AL72" s="4">
        <v>11290352.839861</v>
      </c>
      <c r="AM72" s="4">
        <f>AL72/$AL$680*$AM$680</f>
        <v>7559362.716790313</v>
      </c>
      <c r="AN72" s="4"/>
      <c r="AO72" s="4"/>
      <c r="AP72" s="4"/>
      <c r="AQ72" s="4"/>
      <c r="AR72" s="4">
        <v>220288.262596</v>
      </c>
      <c r="AS72" s="4">
        <f>AR72/$AR$680*$AS$680</f>
        <v>215953.8097739265</v>
      </c>
      <c r="AT72" s="3"/>
      <c r="AU72" s="4"/>
      <c r="AV72" s="4"/>
      <c r="AW72" s="4"/>
      <c r="AX72" s="4">
        <v>81274.567465</v>
      </c>
      <c r="AY72" s="4">
        <f>AX72/$AX$680*$AY$680</f>
        <v>79646.35077181249</v>
      </c>
      <c r="AZ72" s="3"/>
      <c r="BA72" s="4"/>
      <c r="BB72" s="3"/>
      <c r="BC72" s="4"/>
      <c r="BD72" s="4"/>
      <c r="BE72" s="4"/>
      <c r="BF72" s="4"/>
      <c r="BG72" s="4"/>
      <c r="BH72" s="4">
        <v>147367.863024</v>
      </c>
      <c r="BI72" s="4"/>
      <c r="BJ72" s="4">
        <v>20762671.073165</v>
      </c>
      <c r="BK72" s="4">
        <f>BJ72/BJ71*BI71</f>
        <v>145164.14843237953</v>
      </c>
      <c r="BL72" s="4">
        <f>BH72+BK72</f>
        <v>292532.01145637955</v>
      </c>
      <c r="BM72" s="4"/>
      <c r="BN72" s="4"/>
      <c r="BO72" s="4">
        <v>30553.772607</v>
      </c>
      <c r="BP72" s="4"/>
      <c r="BQ72" s="4">
        <f>AG72+AI72+AL72+AN72+AP72+AR72+AT72+AV72+AX72+AZ72+BB72+BD72+BF72+BH72+BK72+BM72+BO72</f>
        <v>11915001.45398538</v>
      </c>
      <c r="BT72" s="4">
        <f>AJ72+AM72+AQ72+AS72+AU72+AW72+AY72+BA72+BC72+BG72+BL72+BN72+BP72</f>
        <v>8147494.888792432</v>
      </c>
      <c r="BW72" s="52"/>
      <c r="BX72" s="4">
        <f t="shared" si="2"/>
        <v>22344372.64391838</v>
      </c>
      <c r="BY72" s="4">
        <f t="shared" si="3"/>
        <v>18776153.42630377</v>
      </c>
    </row>
    <row r="73" spans="1:77" ht="12.75">
      <c r="A73" s="5" t="s">
        <v>706</v>
      </c>
      <c r="B73" s="5" t="s">
        <v>72</v>
      </c>
      <c r="C73" s="5" t="s">
        <v>1341</v>
      </c>
      <c r="D73" s="6">
        <v>54443780.174265</v>
      </c>
      <c r="E73" s="6">
        <f>D73*RPI_inc</f>
        <v>55484107.18396433</v>
      </c>
      <c r="F73" s="6"/>
      <c r="G73" s="6"/>
      <c r="H73" s="6"/>
      <c r="I73" s="6"/>
      <c r="J73" s="6">
        <v>815531.198794</v>
      </c>
      <c r="K73" s="6">
        <f>J73*RPI_inc</f>
        <v>831114.59749707</v>
      </c>
      <c r="L73" s="6">
        <v>4701316.486576</v>
      </c>
      <c r="M73" s="6">
        <f>L73*RPI_inc</f>
        <v>4791150.5595678985</v>
      </c>
      <c r="N73" s="6"/>
      <c r="O73" s="6"/>
      <c r="P73" s="6"/>
      <c r="Q73" s="6"/>
      <c r="R73" s="6"/>
      <c r="S73" s="6"/>
      <c r="T73" s="6"/>
      <c r="U73" s="6"/>
      <c r="V73" s="6">
        <v>49117.986534</v>
      </c>
      <c r="W73" s="6">
        <f>V73*RPI_inc</f>
        <v>50056.54678624204</v>
      </c>
      <c r="X73" s="6">
        <v>6036371.246362</v>
      </c>
      <c r="Y73" s="6">
        <f>X73*RPI_inc</f>
        <v>6151715.919859363</v>
      </c>
      <c r="Z73" s="14">
        <f>D73+F73+H73+J73+L73+N73+P73+R73+T73+V73+X73</f>
        <v>66046117.092530996</v>
      </c>
      <c r="AC73" s="14">
        <f>E73+G73+I73+K73+M73+O73+Q73+S73+U73+W73+Y73</f>
        <v>67308144.8076749</v>
      </c>
      <c r="AF73" s="51"/>
      <c r="AG73" s="6">
        <v>1435188</v>
      </c>
      <c r="AH73" s="6">
        <f>AG73/$AG$680*$AH$680</f>
        <v>1080596.8103563637</v>
      </c>
      <c r="AI73" s="6">
        <v>65052783.012788</v>
      </c>
      <c r="AJ73" s="6">
        <f>AI73/$AI$680*$AJ$680</f>
        <v>44590471.67989433</v>
      </c>
      <c r="AK73" s="6">
        <f>AJ73-AH73</f>
        <v>43509874.869537964</v>
      </c>
      <c r="AL73" s="6"/>
      <c r="AM73" s="6"/>
      <c r="AN73" s="6"/>
      <c r="AO73" s="6"/>
      <c r="AP73" s="6"/>
      <c r="AQ73" s="6"/>
      <c r="AR73" s="6">
        <v>1177900.804332</v>
      </c>
      <c r="AS73" s="6">
        <f>AR73/$AR$680*$AS$680</f>
        <v>1154724.102108773</v>
      </c>
      <c r="AT73" s="6">
        <v>5946778.994937</v>
      </c>
      <c r="AU73" s="6">
        <f>AT73/$AT$680*$AU$680</f>
        <v>4907897.857124404</v>
      </c>
      <c r="AV73" s="6"/>
      <c r="AW73" s="6"/>
      <c r="AX73" s="6"/>
      <c r="AY73" s="6"/>
      <c r="AZ73" s="6">
        <v>69677.781343</v>
      </c>
      <c r="BA73" s="6">
        <f>AZ73/$AZ$680*$BA$680</f>
        <v>68281.88802870017</v>
      </c>
      <c r="BB73" s="6">
        <v>8925830.802644</v>
      </c>
      <c r="BC73" s="6">
        <f>BB73/$BB$680*$BC$680</f>
        <v>8754282.284917478</v>
      </c>
      <c r="BD73" s="6"/>
      <c r="BE73" s="6"/>
      <c r="BF73" s="6"/>
      <c r="BG73" s="6"/>
      <c r="BH73" s="6">
        <v>831712.136976</v>
      </c>
      <c r="BI73" s="6"/>
      <c r="BJ73" s="6">
        <v>117179995.510657</v>
      </c>
      <c r="BK73" s="6">
        <f>BJ73/BJ71*BI71</f>
        <v>819274.8515676203</v>
      </c>
      <c r="BL73" s="6">
        <f>BH73+BK73</f>
        <v>1650986.9885436203</v>
      </c>
      <c r="BM73" s="6"/>
      <c r="BN73" s="6"/>
      <c r="BO73" s="6">
        <v>193487.987574</v>
      </c>
      <c r="BP73" s="6"/>
      <c r="BQ73" s="6">
        <f>AG73+AI73+AL73+AN73+AP73+AR73+AT73+AV73+AX73+AZ73+BB73+BD73+BF73+BH73+BK73+BM73+BO73</f>
        <v>84452634.37216163</v>
      </c>
      <c r="BT73" s="6">
        <f>AJ73+AM73+AQ73+AS73+AU73+AW73+AY73+BA73+BC73+BG73+BL73+BN73+BP73</f>
        <v>61126644.800617315</v>
      </c>
      <c r="BW73" s="52"/>
      <c r="BX73" s="6">
        <f t="shared" si="2"/>
        <v>150498751.46469262</v>
      </c>
      <c r="BY73" s="6">
        <f t="shared" si="3"/>
        <v>128434789.60829222</v>
      </c>
    </row>
    <row r="74" spans="1:77" ht="12.75">
      <c r="A74" t="s">
        <v>707</v>
      </c>
      <c r="B74" t="s">
        <v>73</v>
      </c>
      <c r="J74"/>
      <c r="K74"/>
      <c r="L74"/>
      <c r="M74"/>
      <c r="V74"/>
      <c r="X74"/>
      <c r="Z74" s="12">
        <f>Z75+Z76</f>
        <v>319024677.257084</v>
      </c>
      <c r="AC74" s="12">
        <f>AC75+AC76</f>
        <v>325120690.19830215</v>
      </c>
      <c r="AF74" s="51"/>
      <c r="AG74"/>
      <c r="AI74"/>
      <c r="AR74"/>
      <c r="AT74"/>
      <c r="AZ74"/>
      <c r="BB74"/>
      <c r="BD74"/>
      <c r="BE74"/>
      <c r="BF74"/>
      <c r="BH74"/>
      <c r="BI74"/>
      <c r="BJ74" s="1">
        <v>653940818.495554</v>
      </c>
      <c r="BL74"/>
      <c r="BO74"/>
      <c r="BP74"/>
      <c r="BQ74" s="1">
        <f>BQ75+BQ76</f>
        <v>395418765.86657196</v>
      </c>
      <c r="BT74" s="1">
        <f>BT75+BT76</f>
        <v>277404105.6971863</v>
      </c>
      <c r="BW74" s="52"/>
      <c r="BX74" s="1">
        <f t="shared" si="2"/>
        <v>714443443.123656</v>
      </c>
      <c r="BY74" s="1">
        <f t="shared" si="3"/>
        <v>602524795.8954885</v>
      </c>
    </row>
    <row r="75" spans="1:77" ht="12.75">
      <c r="A75" s="3" t="s">
        <v>708</v>
      </c>
      <c r="B75" s="3" t="s">
        <v>74</v>
      </c>
      <c r="C75" s="3" t="s">
        <v>1341</v>
      </c>
      <c r="D75" s="3"/>
      <c r="E75" s="4"/>
      <c r="F75" s="4">
        <v>45976022.613999</v>
      </c>
      <c r="G75" s="4">
        <f>F75*RPI_inc</f>
        <v>46854545.33910726</v>
      </c>
      <c r="H75" s="4"/>
      <c r="I75" s="4"/>
      <c r="J75" s="4">
        <v>530494.488229</v>
      </c>
      <c r="K75" s="4">
        <f>J75*RPI_inc</f>
        <v>540631.3255836943</v>
      </c>
      <c r="L75" s="3"/>
      <c r="M75" s="4"/>
      <c r="N75" s="4"/>
      <c r="O75" s="4"/>
      <c r="P75" s="4"/>
      <c r="Q75" s="4"/>
      <c r="R75" s="4"/>
      <c r="S75" s="4"/>
      <c r="T75" s="4">
        <v>441430.594572</v>
      </c>
      <c r="U75" s="4">
        <f>T75*RPI_inc</f>
        <v>449865.57408611465</v>
      </c>
      <c r="V75" s="3"/>
      <c r="W75" s="4"/>
      <c r="X75" s="3"/>
      <c r="Y75" s="4"/>
      <c r="Z75" s="13">
        <f>D75+F75+H75+J75+L75+N75+P75+R75+T75+V75+X75</f>
        <v>46947947.6968</v>
      </c>
      <c r="AC75" s="13">
        <f>E75+G75+I75+K75+M75+O75+Q75+S75+U75+W75+Y75</f>
        <v>47845042.23877707</v>
      </c>
      <c r="AF75" s="51"/>
      <c r="AG75" s="3"/>
      <c r="AH75" s="4"/>
      <c r="AI75" s="3"/>
      <c r="AJ75" s="4"/>
      <c r="AK75" s="4"/>
      <c r="AL75" s="4">
        <v>50793335.645908</v>
      </c>
      <c r="AM75" s="4">
        <f>AL75/$AL$680*$AM$680</f>
        <v>34008259.36878519</v>
      </c>
      <c r="AN75" s="4"/>
      <c r="AO75" s="4"/>
      <c r="AP75" s="4"/>
      <c r="AQ75" s="4"/>
      <c r="AR75" s="4">
        <v>766212.114634</v>
      </c>
      <c r="AS75" s="4">
        <f>AR75/$AR$680*$AS$680</f>
        <v>751135.9130087094</v>
      </c>
      <c r="AT75" s="3"/>
      <c r="AU75" s="4"/>
      <c r="AV75" s="4"/>
      <c r="AW75" s="4"/>
      <c r="AX75" s="4">
        <v>626204.503714</v>
      </c>
      <c r="AY75" s="4">
        <f>AX75/$AX$680*$AY$680</f>
        <v>613659.415402882</v>
      </c>
      <c r="AZ75" s="3"/>
      <c r="BA75" s="4"/>
      <c r="BB75" s="3"/>
      <c r="BC75" s="4"/>
      <c r="BD75" s="4"/>
      <c r="BE75" s="4"/>
      <c r="BF75" s="4"/>
      <c r="BG75" s="4"/>
      <c r="BH75" s="4">
        <v>520759.691191</v>
      </c>
      <c r="BI75" s="4"/>
      <c r="BJ75" s="4">
        <v>101771730.019172</v>
      </c>
      <c r="BK75" s="4"/>
      <c r="BL75" s="4">
        <f>BH75+BK75</f>
        <v>520759.691191</v>
      </c>
      <c r="BM75" s="4"/>
      <c r="BN75" s="4"/>
      <c r="BO75" s="4">
        <v>137538.19786</v>
      </c>
      <c r="BP75" s="4"/>
      <c r="BQ75" s="4">
        <f>AG75+AI75+AL75+AN75+AP75+AR75+AT75+AV75+AX75+AZ75+BB75+BD75+BF75+BH75+BK75+BM75+BO75</f>
        <v>52844050.153307006</v>
      </c>
      <c r="BT75" s="4">
        <f>AJ75+AM75+AQ75+AS75+AU75+AW75+AY75+BA75+BC75+BG75+BL75+BN75+BP75</f>
        <v>35893814.388387784</v>
      </c>
      <c r="BW75" s="52"/>
      <c r="BX75" s="4">
        <f t="shared" si="2"/>
        <v>99791997.85010701</v>
      </c>
      <c r="BY75" s="4">
        <f t="shared" si="3"/>
        <v>83738856.62716486</v>
      </c>
    </row>
    <row r="76" spans="1:77" ht="12.75">
      <c r="A76" s="5" t="s">
        <v>709</v>
      </c>
      <c r="B76" s="5" t="s">
        <v>75</v>
      </c>
      <c r="C76" s="5" t="s">
        <v>1341</v>
      </c>
      <c r="D76" s="6">
        <v>234843904.386388</v>
      </c>
      <c r="E76" s="6">
        <f>D76*RPI_inc</f>
        <v>239331367.52752918</v>
      </c>
      <c r="F76" s="6"/>
      <c r="G76" s="6"/>
      <c r="H76" s="6"/>
      <c r="I76" s="6"/>
      <c r="J76" s="6">
        <v>2851955.377006</v>
      </c>
      <c r="K76" s="6">
        <f>J76*RPI_inc</f>
        <v>2906451.339623949</v>
      </c>
      <c r="L76" s="6">
        <v>18586597.976101</v>
      </c>
      <c r="M76" s="6">
        <f>L76*RPI_inc</f>
        <v>18941755.89921121</v>
      </c>
      <c r="N76" s="6"/>
      <c r="O76" s="6"/>
      <c r="P76" s="6"/>
      <c r="Q76" s="6"/>
      <c r="R76" s="6"/>
      <c r="S76" s="6"/>
      <c r="T76" s="6"/>
      <c r="U76" s="6"/>
      <c r="V76" s="6">
        <v>63942.984129</v>
      </c>
      <c r="W76" s="6">
        <f>V76*RPI_inc</f>
        <v>65164.82459006369</v>
      </c>
      <c r="X76" s="6">
        <v>15730328.83666</v>
      </c>
      <c r="Y76" s="6">
        <f>X76*RPI_inc</f>
        <v>16030908.3685707</v>
      </c>
      <c r="Z76" s="14">
        <f>D76+F76+H76+J76+L76+N76+P76+R76+T76+V76+X76</f>
        <v>272076729.560284</v>
      </c>
      <c r="AC76" s="14">
        <f>E76+G76+I76+K76+M76+O76+Q76+S76+U76+W76+Y76</f>
        <v>277275647.9595251</v>
      </c>
      <c r="AF76" s="51"/>
      <c r="AG76" s="6">
        <v>7365810</v>
      </c>
      <c r="AH76" s="6">
        <f>AG76/$AG$680*$AH$680</f>
        <v>5545942.964748178</v>
      </c>
      <c r="AI76" s="6">
        <v>280605966.46713</v>
      </c>
      <c r="AJ76" s="6">
        <f>AI76/$AI$680*$AJ$680</f>
        <v>192341539.0007569</v>
      </c>
      <c r="AK76" s="6">
        <f>AJ76-AH76</f>
        <v>186795596.03600872</v>
      </c>
      <c r="AL76" s="6"/>
      <c r="AM76" s="6"/>
      <c r="AN76" s="6"/>
      <c r="AO76" s="6"/>
      <c r="AP76" s="6"/>
      <c r="AQ76" s="6"/>
      <c r="AR76" s="6">
        <v>4119180.893951</v>
      </c>
      <c r="AS76" s="6">
        <f>AR76/$AR$680*$AS$680</f>
        <v>4038130.7506523468</v>
      </c>
      <c r="AT76" s="6">
        <v>23510518.967873</v>
      </c>
      <c r="AU76" s="6">
        <f>AT76/$AT$680*$AU$680</f>
        <v>19403314.93074579</v>
      </c>
      <c r="AV76" s="6"/>
      <c r="AW76" s="6"/>
      <c r="AX76" s="6"/>
      <c r="AY76" s="6"/>
      <c r="AZ76" s="6">
        <v>90708.22281</v>
      </c>
      <c r="BA76" s="6">
        <f>AZ76/$AZ$680*$BA$680</f>
        <v>88891.0150956901</v>
      </c>
      <c r="BB76" s="6">
        <v>23260042.819699</v>
      </c>
      <c r="BC76" s="6">
        <f>BB76/$BB$680*$BC$680</f>
        <v>22813000.30273881</v>
      </c>
      <c r="BD76" s="6"/>
      <c r="BE76" s="6"/>
      <c r="BF76" s="6"/>
      <c r="BG76" s="6"/>
      <c r="BH76" s="6">
        <v>2825415.308809</v>
      </c>
      <c r="BI76" s="6"/>
      <c r="BJ76" s="6">
        <v>552169088.476382</v>
      </c>
      <c r="BK76" s="6"/>
      <c r="BL76" s="6">
        <f>BH76+BK76</f>
        <v>2825415.308809</v>
      </c>
      <c r="BM76" s="6"/>
      <c r="BN76" s="6"/>
      <c r="BO76" s="6">
        <v>797073.032993</v>
      </c>
      <c r="BP76" s="6"/>
      <c r="BQ76" s="6">
        <f>AG76+AI76+AL76+AN76+AP76+AR76+AT76+AV76+AX76+AZ76+BB76+BD76+BF76+BH76+BK76+BM76+BO76</f>
        <v>342574715.71326494</v>
      </c>
      <c r="BT76" s="6">
        <f>AJ76+AM76+AQ76+AS76+AU76+AW76+AY76+BA76+BC76+BG76+BL76+BN76+BP76</f>
        <v>241510291.30879852</v>
      </c>
      <c r="BW76" s="52"/>
      <c r="BX76" s="6">
        <f t="shared" si="2"/>
        <v>614651445.273549</v>
      </c>
      <c r="BY76" s="6">
        <f t="shared" si="3"/>
        <v>518785939.26832366</v>
      </c>
    </row>
    <row r="77" spans="1:77" ht="12.75">
      <c r="A77" t="s">
        <v>710</v>
      </c>
      <c r="B77" t="s">
        <v>76</v>
      </c>
      <c r="J77"/>
      <c r="K77"/>
      <c r="L77"/>
      <c r="M77"/>
      <c r="V77"/>
      <c r="X77"/>
      <c r="Z77" s="12">
        <f>Z78+Z79</f>
        <v>72016806.75165</v>
      </c>
      <c r="AC77" s="12">
        <f>AC78+AC79</f>
        <v>73392924.07811464</v>
      </c>
      <c r="AF77" s="51"/>
      <c r="AG77"/>
      <c r="AI77"/>
      <c r="AR77"/>
      <c r="AT77"/>
      <c r="AZ77"/>
      <c r="BB77"/>
      <c r="BD77"/>
      <c r="BE77"/>
      <c r="BF77"/>
      <c r="BH77"/>
      <c r="BI77"/>
      <c r="BJ77" s="1">
        <v>152631042.388083</v>
      </c>
      <c r="BL77"/>
      <c r="BO77"/>
      <c r="BP77"/>
      <c r="BQ77" s="1">
        <f>BQ78+BQ79</f>
        <v>88668424.088081</v>
      </c>
      <c r="BT77" s="1">
        <f>BT78+BT79</f>
        <v>61234012.072970346</v>
      </c>
      <c r="BW77" s="52"/>
      <c r="BX77" s="1">
        <f t="shared" si="2"/>
        <v>160685230.839731</v>
      </c>
      <c r="BY77" s="1">
        <f t="shared" si="3"/>
        <v>134626936.151085</v>
      </c>
    </row>
    <row r="78" spans="1:77" ht="12.75">
      <c r="A78" s="3" t="s">
        <v>711</v>
      </c>
      <c r="B78" s="3" t="s">
        <v>77</v>
      </c>
      <c r="C78" s="3" t="s">
        <v>1341</v>
      </c>
      <c r="D78" s="3"/>
      <c r="E78" s="4"/>
      <c r="F78" s="4">
        <v>11483173.067843</v>
      </c>
      <c r="G78" s="4">
        <f>F78*RPI_inc</f>
        <v>11702596.757037451</v>
      </c>
      <c r="H78" s="4"/>
      <c r="I78" s="4"/>
      <c r="J78" s="4">
        <v>206461.441039</v>
      </c>
      <c r="K78" s="4">
        <f>J78*RPI_inc</f>
        <v>210406.56411617834</v>
      </c>
      <c r="L78" s="3"/>
      <c r="M78" s="4"/>
      <c r="N78" s="4"/>
      <c r="O78" s="4"/>
      <c r="P78" s="4"/>
      <c r="Q78" s="4"/>
      <c r="R78" s="4"/>
      <c r="S78" s="4"/>
      <c r="T78" s="4">
        <v>43928.422816</v>
      </c>
      <c r="U78" s="4">
        <f>T78*RPI_inc</f>
        <v>44767.81943031847</v>
      </c>
      <c r="V78" s="3"/>
      <c r="W78" s="4"/>
      <c r="X78" s="3"/>
      <c r="Y78" s="4"/>
      <c r="Z78" s="13">
        <f>D78+F78+H78+J78+L78+N78+P78+R78+T78+V78+X78</f>
        <v>11733562.931698</v>
      </c>
      <c r="AC78" s="13">
        <f>E78+G78+I78+K78+M78+O78+Q78+S78+U78+W78+Y78</f>
        <v>11957771.140583947</v>
      </c>
      <c r="AF78" s="51"/>
      <c r="AG78" s="3"/>
      <c r="AH78" s="4"/>
      <c r="AI78" s="3"/>
      <c r="AJ78" s="4"/>
      <c r="AK78" s="4"/>
      <c r="AL78" s="4">
        <v>12686366.300364</v>
      </c>
      <c r="AM78" s="4">
        <f>AL78/$AL$680*$AM$680</f>
        <v>8494052.026783012</v>
      </c>
      <c r="AN78" s="4"/>
      <c r="AO78" s="4"/>
      <c r="AP78" s="4"/>
      <c r="AQ78" s="4"/>
      <c r="AR78" s="4">
        <v>298199.624764</v>
      </c>
      <c r="AS78" s="4">
        <f>AR78/$AR$680*$AS$680</f>
        <v>292332.16641707014</v>
      </c>
      <c r="AT78" s="3"/>
      <c r="AU78" s="4"/>
      <c r="AV78" s="4"/>
      <c r="AW78" s="4"/>
      <c r="AX78" s="4">
        <v>62315.971178</v>
      </c>
      <c r="AY78" s="4">
        <f>AX78/$AX$680*$AY$680</f>
        <v>61067.56214072144</v>
      </c>
      <c r="AZ78" s="3"/>
      <c r="BA78" s="4"/>
      <c r="BB78" s="3"/>
      <c r="BC78" s="4"/>
      <c r="BD78" s="4"/>
      <c r="BE78" s="4"/>
      <c r="BF78" s="4"/>
      <c r="BG78" s="4"/>
      <c r="BH78" s="4">
        <v>199645.842551</v>
      </c>
      <c r="BI78" s="4"/>
      <c r="BJ78" s="4">
        <v>25235277.748208</v>
      </c>
      <c r="BK78" s="4"/>
      <c r="BL78" s="4">
        <f>BH78+BK78</f>
        <v>199645.842551</v>
      </c>
      <c r="BM78" s="4"/>
      <c r="BN78" s="4"/>
      <c r="BO78" s="4">
        <v>34374.518574</v>
      </c>
      <c r="BP78" s="4"/>
      <c r="BQ78" s="4">
        <f>AG78+AI78+AL78+AN78+AP78+AR78+AT78+AV78+AX78+AZ78+BB78+BD78+BF78+BH78+BK78+BM78+BO78</f>
        <v>13280902.257431</v>
      </c>
      <c r="BT78" s="4">
        <f>AJ78+AM78+AQ78+AS78+AU78+AW78+AY78+BA78+BC78+BG78+BL78+BN78+BP78</f>
        <v>9047097.597891804</v>
      </c>
      <c r="BW78" s="52"/>
      <c r="BX78" s="4">
        <f t="shared" si="2"/>
        <v>25014465.189129002</v>
      </c>
      <c r="BY78" s="4">
        <f t="shared" si="3"/>
        <v>21004868.73847575</v>
      </c>
    </row>
    <row r="79" spans="1:77" ht="12.75">
      <c r="A79" s="5" t="s">
        <v>712</v>
      </c>
      <c r="B79" s="5" t="s">
        <v>78</v>
      </c>
      <c r="C79" s="5" t="s">
        <v>1341</v>
      </c>
      <c r="D79" s="6">
        <v>54128563.66229</v>
      </c>
      <c r="E79" s="6">
        <f>D79*RPI_inc</f>
        <v>55162867.42653758</v>
      </c>
      <c r="F79" s="6"/>
      <c r="G79" s="6"/>
      <c r="H79" s="6"/>
      <c r="I79" s="6"/>
      <c r="J79" s="6">
        <v>993531.698014</v>
      </c>
      <c r="K79" s="6">
        <f>J79*RPI_inc</f>
        <v>1012516.380141656</v>
      </c>
      <c r="L79" s="6">
        <v>4510990.451833</v>
      </c>
      <c r="M79" s="6">
        <f>L79*RPI_inc</f>
        <v>4597187.721613249</v>
      </c>
      <c r="N79" s="6"/>
      <c r="O79" s="6"/>
      <c r="P79" s="6"/>
      <c r="Q79" s="6"/>
      <c r="R79" s="6"/>
      <c r="S79" s="6"/>
      <c r="T79" s="6"/>
      <c r="U79" s="6"/>
      <c r="V79" s="6">
        <v>51887.49158</v>
      </c>
      <c r="W79" s="6">
        <f>V79*RPI_inc</f>
        <v>52878.97231082803</v>
      </c>
      <c r="X79" s="6">
        <v>598270.516235</v>
      </c>
      <c r="Y79" s="6">
        <f>X79*RPI_inc</f>
        <v>609702.4369273885</v>
      </c>
      <c r="Z79" s="14">
        <f>D79+F79+H79+J79+L79+N79+P79+R79+T79+V79+X79</f>
        <v>60283243.819952</v>
      </c>
      <c r="AC79" s="14">
        <f>E79+G79+I79+K79+M79+O79+Q79+S79+U79+W79+Y79</f>
        <v>61435152.9375307</v>
      </c>
      <c r="AF79" s="51"/>
      <c r="AG79" s="6">
        <v>1427618</v>
      </c>
      <c r="AH79" s="6">
        <f>AG79/$AG$680*$AH$680</f>
        <v>1074897.1265139699</v>
      </c>
      <c r="AI79" s="6">
        <v>64676142.902752</v>
      </c>
      <c r="AJ79" s="6">
        <f>AI79/$AI$680*$AJ$680</f>
        <v>44332303.47582579</v>
      </c>
      <c r="AK79" s="6">
        <f>AJ79-AH79</f>
        <v>43257406.34931181</v>
      </c>
      <c r="AL79" s="6"/>
      <c r="AM79" s="6"/>
      <c r="AN79" s="6"/>
      <c r="AO79" s="6"/>
      <c r="AP79" s="6"/>
      <c r="AQ79" s="6"/>
      <c r="AR79" s="6">
        <v>1434993.275487</v>
      </c>
      <c r="AS79" s="6">
        <f>AR79/$AR$680*$AS$680</f>
        <v>1406757.950648117</v>
      </c>
      <c r="AT79" s="6">
        <v>5706032.20224</v>
      </c>
      <c r="AU79" s="6">
        <f>AT79/$AT$680*$AU$680</f>
        <v>4709208.672778871</v>
      </c>
      <c r="AV79" s="6"/>
      <c r="AW79" s="6"/>
      <c r="AX79" s="6"/>
      <c r="AY79" s="6"/>
      <c r="AZ79" s="6">
        <v>73606.545133</v>
      </c>
      <c r="BA79" s="6">
        <f>AZ79/$AZ$680*$BA$680</f>
        <v>72131.9447329948</v>
      </c>
      <c r="BB79" s="6">
        <v>884647.610987</v>
      </c>
      <c r="BC79" s="6">
        <f>BB79/$BB$680*$BC$680</f>
        <v>867645.2736437721</v>
      </c>
      <c r="BD79" s="6"/>
      <c r="BE79" s="6"/>
      <c r="BF79" s="6"/>
      <c r="BG79" s="6"/>
      <c r="BH79" s="6">
        <v>1007876.157449</v>
      </c>
      <c r="BI79" s="6"/>
      <c r="BJ79" s="6">
        <v>127395764.639875</v>
      </c>
      <c r="BK79" s="6"/>
      <c r="BL79" s="6">
        <f>BH79+BK79</f>
        <v>1007876.157449</v>
      </c>
      <c r="BM79" s="6"/>
      <c r="BN79" s="6"/>
      <c r="BO79" s="6">
        <v>176605.136602</v>
      </c>
      <c r="BP79" s="6">
        <v>-209009</v>
      </c>
      <c r="BQ79" s="6">
        <f>AG79+AI79+AL79+AN79+AP79+AR79+AT79+AV79+AX79+AZ79+BB79+BD79+BF79+BH79+BK79+BM79+BO79</f>
        <v>75387521.83065</v>
      </c>
      <c r="BT79" s="6">
        <f>AJ79+AM79+AQ79+AS79+AU79+AW79+AY79+BA79+BC79+BG79+BL79+BN79+BP79</f>
        <v>52186914.47507854</v>
      </c>
      <c r="BW79" s="52"/>
      <c r="BX79" s="6">
        <f t="shared" si="2"/>
        <v>135670765.650602</v>
      </c>
      <c r="BY79" s="6">
        <f t="shared" si="3"/>
        <v>113622067.41260923</v>
      </c>
    </row>
    <row r="80" spans="1:77" ht="12.75">
      <c r="A80" t="s">
        <v>713</v>
      </c>
      <c r="B80" t="s">
        <v>79</v>
      </c>
      <c r="J80"/>
      <c r="K80"/>
      <c r="L80"/>
      <c r="M80"/>
      <c r="V80"/>
      <c r="X80"/>
      <c r="Z80" s="12">
        <f>Z81+Z82</f>
        <v>61341644.778463006</v>
      </c>
      <c r="AC80" s="12">
        <f>AC81+AC82</f>
        <v>62513778.118178844</v>
      </c>
      <c r="AF80" s="51"/>
      <c r="AG80"/>
      <c r="AI80"/>
      <c r="AR80"/>
      <c r="AT80"/>
      <c r="AZ80"/>
      <c r="BB80"/>
      <c r="BD80"/>
      <c r="BE80"/>
      <c r="BF80"/>
      <c r="BH80"/>
      <c r="BI80">
        <v>1145027</v>
      </c>
      <c r="BJ80" s="1">
        <v>120154159.017445</v>
      </c>
      <c r="BL80"/>
      <c r="BO80"/>
      <c r="BP80"/>
      <c r="BQ80" s="1">
        <f>BQ81+BQ82</f>
        <v>77544838.693785</v>
      </c>
      <c r="BT80" s="1">
        <f>BT81+BT82</f>
        <v>55941640.28720263</v>
      </c>
      <c r="BW80" s="52"/>
      <c r="BX80" s="1">
        <f t="shared" si="2"/>
        <v>138886483.47224802</v>
      </c>
      <c r="BY80" s="1">
        <f t="shared" si="3"/>
        <v>118455418.40538147</v>
      </c>
    </row>
    <row r="81" spans="1:77" ht="12.75">
      <c r="A81" s="3" t="s">
        <v>714</v>
      </c>
      <c r="B81" s="3" t="s">
        <v>80</v>
      </c>
      <c r="C81" s="3" t="s">
        <v>1341</v>
      </c>
      <c r="D81" s="3"/>
      <c r="E81" s="4"/>
      <c r="F81" s="4">
        <v>7971667.09155</v>
      </c>
      <c r="G81" s="4">
        <f>F81*RPI_inc</f>
        <v>8123991.940433121</v>
      </c>
      <c r="H81" s="4"/>
      <c r="I81" s="4"/>
      <c r="J81" s="4">
        <v>167226.619997</v>
      </c>
      <c r="K81" s="4">
        <f>J81*RPI_inc</f>
        <v>170422.03311796178</v>
      </c>
      <c r="L81" s="3"/>
      <c r="M81" s="4"/>
      <c r="N81" s="4"/>
      <c r="O81" s="4"/>
      <c r="P81" s="4"/>
      <c r="Q81" s="4"/>
      <c r="R81" s="4"/>
      <c r="S81" s="4"/>
      <c r="T81" s="4">
        <v>57292.913779</v>
      </c>
      <c r="U81" s="4">
        <f>T81*RPI_inc</f>
        <v>58387.68283210191</v>
      </c>
      <c r="V81" s="3"/>
      <c r="W81" s="4"/>
      <c r="X81" s="3"/>
      <c r="Y81" s="4"/>
      <c r="Z81" s="13">
        <f>D81+F81+H81+J81+L81+N81+P81+R81+T81+V81+X81</f>
        <v>8196186.625326</v>
      </c>
      <c r="AC81" s="13">
        <f>E81+G81+I81+K81+M81+O81+Q81+S81+U81+W81+Y81</f>
        <v>8352801.656383186</v>
      </c>
      <c r="AF81" s="51"/>
      <c r="AG81" s="3"/>
      <c r="AH81" s="4"/>
      <c r="AI81" s="3"/>
      <c r="AJ81" s="4"/>
      <c r="AK81" s="4"/>
      <c r="AL81" s="4">
        <v>8806928.899397</v>
      </c>
      <c r="AM81" s="4">
        <f>AL81/$AL$680*$AM$680</f>
        <v>5896606.679684995</v>
      </c>
      <c r="AN81" s="4"/>
      <c r="AO81" s="4"/>
      <c r="AP81" s="4"/>
      <c r="AQ81" s="4"/>
      <c r="AR81" s="4">
        <v>241531.373038</v>
      </c>
      <c r="AS81" s="4">
        <f>AR81/$AR$680*$AS$680</f>
        <v>236778.93489560185</v>
      </c>
      <c r="AT81" s="3"/>
      <c r="AU81" s="4"/>
      <c r="AV81" s="4"/>
      <c r="AW81" s="4"/>
      <c r="AX81" s="4">
        <v>81274.567465</v>
      </c>
      <c r="AY81" s="4">
        <f>AX81/$AX$680*$AY$680</f>
        <v>79646.35077181249</v>
      </c>
      <c r="AZ81" s="3"/>
      <c r="BA81" s="4"/>
      <c r="BB81" s="3"/>
      <c r="BC81" s="4"/>
      <c r="BD81" s="4"/>
      <c r="BE81" s="4"/>
      <c r="BF81" s="4"/>
      <c r="BG81" s="4"/>
      <c r="BH81" s="4">
        <v>160528.019574</v>
      </c>
      <c r="BI81" s="4"/>
      <c r="BJ81" s="4">
        <v>16977788.684254</v>
      </c>
      <c r="BK81" s="4">
        <f>BJ81/BJ80*BI80</f>
        <v>161792.372421689</v>
      </c>
      <c r="BL81" s="4">
        <f>BH81+BK81</f>
        <v>322320.391995689</v>
      </c>
      <c r="BM81" s="4"/>
      <c r="BN81" s="4"/>
      <c r="BO81" s="4">
        <v>24011.459352</v>
      </c>
      <c r="BP81" s="4"/>
      <c r="BQ81" s="4">
        <f>AG81+AI81+AL81+AN81+AP81+AR81+AT81+AV81+AX81+AZ81+BB81+BD81+BF81+BH81+BK81+BM81+BO81</f>
        <v>9476066.691247689</v>
      </c>
      <c r="BT81" s="4">
        <f>AJ81+AM81+AQ81+AS81+AU81+AW81+AY81+BA81+BC81+BG81+BL81+BN81+BP81</f>
        <v>6535352.357348098</v>
      </c>
      <c r="BW81" s="52"/>
      <c r="BX81" s="4">
        <f t="shared" si="2"/>
        <v>17672253.316573687</v>
      </c>
      <c r="BY81" s="4">
        <f t="shared" si="3"/>
        <v>14888154.013731284</v>
      </c>
    </row>
    <row r="82" spans="1:77" ht="12.75">
      <c r="A82" s="5" t="s">
        <v>715</v>
      </c>
      <c r="B82" s="5" t="s">
        <v>81</v>
      </c>
      <c r="C82" s="5" t="s">
        <v>1341</v>
      </c>
      <c r="D82" s="6">
        <v>44444584.538714</v>
      </c>
      <c r="E82" s="6">
        <f>D82*RPI_inc</f>
        <v>45293844.115886874</v>
      </c>
      <c r="F82" s="6"/>
      <c r="G82" s="6"/>
      <c r="H82" s="6"/>
      <c r="I82" s="6"/>
      <c r="J82" s="6">
        <v>959325.354463</v>
      </c>
      <c r="K82" s="6">
        <f>J82*RPI_inc</f>
        <v>977656.4121915923</v>
      </c>
      <c r="L82" s="6">
        <v>3780274.691269</v>
      </c>
      <c r="M82" s="6">
        <f>L82*RPI_inc</f>
        <v>3852509.239509809</v>
      </c>
      <c r="N82" s="6"/>
      <c r="O82" s="6"/>
      <c r="P82" s="6"/>
      <c r="Q82" s="6"/>
      <c r="R82" s="6"/>
      <c r="S82" s="6"/>
      <c r="T82" s="6"/>
      <c r="U82" s="6"/>
      <c r="V82" s="6">
        <v>50095.458903</v>
      </c>
      <c r="W82" s="6">
        <f>V82*RPI_inc</f>
        <v>51052.69697121019</v>
      </c>
      <c r="X82" s="6">
        <v>3911178.109788</v>
      </c>
      <c r="Y82" s="6">
        <f>X82*RPI_inc</f>
        <v>3985913.9972361783</v>
      </c>
      <c r="Z82" s="14">
        <f>D82+F82+H82+J82+L82+N82+P82+R82+T82+V82+X82</f>
        <v>53145458.153137006</v>
      </c>
      <c r="AC82" s="14">
        <f>E82+G82+I82+K82+M82+O82+Q82+S82+U82+W82+Y82</f>
        <v>54160976.46179566</v>
      </c>
      <c r="AF82" s="51"/>
      <c r="AG82" s="6">
        <v>827414</v>
      </c>
      <c r="AH82" s="6">
        <f>AG82/$AG$680*$AH$680</f>
        <v>622985.2320700844</v>
      </c>
      <c r="AI82" s="6">
        <v>53105127.984061</v>
      </c>
      <c r="AJ82" s="6">
        <f>AI82/$AI$680*$AJ$680</f>
        <v>36400943.90681089</v>
      </c>
      <c r="AK82" s="6">
        <f>AJ82-AH82</f>
        <v>35777958.674740806</v>
      </c>
      <c r="AL82" s="6"/>
      <c r="AM82" s="6"/>
      <c r="AN82" s="6"/>
      <c r="AO82" s="6"/>
      <c r="AP82" s="6"/>
      <c r="AQ82" s="6"/>
      <c r="AR82" s="6">
        <v>1385587.833192</v>
      </c>
      <c r="AS82" s="6">
        <f>AR82/$AR$680*$AS$680</f>
        <v>1358324.6235092212</v>
      </c>
      <c r="AT82" s="6">
        <v>4781736.816341</v>
      </c>
      <c r="AU82" s="6">
        <f>AT82/$AT$680*$AU$680</f>
        <v>3946384.4030917254</v>
      </c>
      <c r="AV82" s="6"/>
      <c r="AW82" s="6"/>
      <c r="AX82" s="6"/>
      <c r="AY82" s="6"/>
      <c r="AZ82" s="6">
        <v>71064.403857</v>
      </c>
      <c r="BA82" s="6">
        <f>AZ82/$AZ$680*$BA$680</f>
        <v>69640.73157127711</v>
      </c>
      <c r="BB82" s="6">
        <v>5783360.999875</v>
      </c>
      <c r="BC82" s="6">
        <f>BB82/$BB$680*$BC$680</f>
        <v>5672208.656867104</v>
      </c>
      <c r="BD82" s="6"/>
      <c r="BE82" s="6"/>
      <c r="BF82" s="6"/>
      <c r="BG82" s="6"/>
      <c r="BH82" s="6">
        <v>975550.980426</v>
      </c>
      <c r="BI82" s="6"/>
      <c r="BJ82" s="6">
        <v>103176370.333191</v>
      </c>
      <c r="BK82" s="6">
        <f>BJ82/BJ80*BI80</f>
        <v>983234.627578311</v>
      </c>
      <c r="BL82" s="6">
        <f>BH82+BK82</f>
        <v>1958785.608004311</v>
      </c>
      <c r="BM82" s="6"/>
      <c r="BN82" s="6"/>
      <c r="BO82" s="6">
        <v>155694.357207</v>
      </c>
      <c r="BP82" s="6"/>
      <c r="BQ82" s="6">
        <f>AG82+AI82+AL82+AN82+AP82+AR82+AT82+AV82+AX82+AZ82+BB82+BD82+BF82+BH82+BK82+BM82+BO82</f>
        <v>68068772.00253731</v>
      </c>
      <c r="BT82" s="6">
        <f>AJ82+AM82+AQ82+AS82+AU82+AW82+AY82+BA82+BC82+BG82+BL82+BN82+BP82</f>
        <v>49406287.92985453</v>
      </c>
      <c r="BW82" s="52"/>
      <c r="BX82" s="6">
        <f t="shared" si="2"/>
        <v>121214230.15567431</v>
      </c>
      <c r="BY82" s="6">
        <f t="shared" si="3"/>
        <v>103567264.39165018</v>
      </c>
    </row>
    <row r="83" spans="1:77" ht="12.75">
      <c r="A83" t="s">
        <v>716</v>
      </c>
      <c r="B83" t="s">
        <v>82</v>
      </c>
      <c r="J83"/>
      <c r="K83"/>
      <c r="L83"/>
      <c r="M83"/>
      <c r="V83"/>
      <c r="X83"/>
      <c r="Z83" s="12">
        <f>Z84+Z85</f>
        <v>90628519.17263798</v>
      </c>
      <c r="AC83" s="12">
        <f>AC84+AC85</f>
        <v>92360274.31606422</v>
      </c>
      <c r="AF83" s="51"/>
      <c r="AG83"/>
      <c r="AI83"/>
      <c r="AR83"/>
      <c r="AT83"/>
      <c r="AZ83"/>
      <c r="BB83"/>
      <c r="BD83"/>
      <c r="BE83"/>
      <c r="BF83"/>
      <c r="BH83"/>
      <c r="BI83">
        <v>1043727</v>
      </c>
      <c r="BJ83" s="1">
        <v>183094490.31525</v>
      </c>
      <c r="BL83"/>
      <c r="BO83"/>
      <c r="BP83"/>
      <c r="BQ83" s="1">
        <f>BQ84+BQ85</f>
        <v>113467688.34924603</v>
      </c>
      <c r="BT83" s="1">
        <f>BT84+BT85</f>
        <v>80900660.56316227</v>
      </c>
      <c r="BW83" s="52"/>
      <c r="BX83" s="1">
        <f t="shared" si="2"/>
        <v>204096207.52188402</v>
      </c>
      <c r="BY83" s="1">
        <f t="shared" si="3"/>
        <v>173260934.8792265</v>
      </c>
    </row>
    <row r="84" spans="1:77" ht="12.75">
      <c r="A84" s="3" t="s">
        <v>717</v>
      </c>
      <c r="B84" s="3" t="s">
        <v>83</v>
      </c>
      <c r="C84" s="3" t="s">
        <v>1341</v>
      </c>
      <c r="D84" s="3"/>
      <c r="E84" s="4"/>
      <c r="F84" s="4">
        <v>11664390.590185</v>
      </c>
      <c r="G84" s="4">
        <f>F84*RPI_inc</f>
        <v>11887277.034583438</v>
      </c>
      <c r="H84" s="4"/>
      <c r="I84" s="4"/>
      <c r="J84" s="4">
        <v>143886.20778</v>
      </c>
      <c r="K84" s="4">
        <f>J84*RPI_inc</f>
        <v>146635.62576305732</v>
      </c>
      <c r="L84" s="3"/>
      <c r="M84" s="4"/>
      <c r="N84" s="4"/>
      <c r="O84" s="4"/>
      <c r="P84" s="4"/>
      <c r="Q84" s="4"/>
      <c r="R84" s="4"/>
      <c r="S84" s="4"/>
      <c r="T84" s="4">
        <v>31778.848552</v>
      </c>
      <c r="U84" s="4">
        <f>T84*RPI_inc</f>
        <v>32386.08769630573</v>
      </c>
      <c r="V84" s="3"/>
      <c r="W84" s="4"/>
      <c r="X84" s="3"/>
      <c r="Y84" s="4"/>
      <c r="Z84" s="13">
        <f>D84+F84+H84+J84+L84+N84+P84+R84+T84+V84+X84</f>
        <v>11840055.646517</v>
      </c>
      <c r="AC84" s="13">
        <f>E84+G84+I84+K84+M84+O84+Q84+S84+U84+W84+Y84</f>
        <v>12066298.748042801</v>
      </c>
      <c r="AF84" s="51"/>
      <c r="AG84" s="3"/>
      <c r="AH84" s="4"/>
      <c r="AI84" s="3"/>
      <c r="AJ84" s="4"/>
      <c r="AK84" s="4"/>
      <c r="AL84" s="4">
        <v>12886571.579417</v>
      </c>
      <c r="AM84" s="4">
        <f>AL84/$AL$680*$AM$680</f>
        <v>8628097.82177665</v>
      </c>
      <c r="AN84" s="4"/>
      <c r="AO84" s="4"/>
      <c r="AP84" s="4"/>
      <c r="AQ84" s="4"/>
      <c r="AR84" s="4">
        <v>207819.983009</v>
      </c>
      <c r="AS84" s="4">
        <f>AR84/$AR$680*$AS$680</f>
        <v>203730.8595068158</v>
      </c>
      <c r="AT84" s="3"/>
      <c r="AU84" s="4"/>
      <c r="AV84" s="4"/>
      <c r="AW84" s="4"/>
      <c r="AX84" s="4">
        <v>45080.831122</v>
      </c>
      <c r="AY84" s="4">
        <f>AX84/$AX$680*$AY$680</f>
        <v>44177.70282411989</v>
      </c>
      <c r="AZ84" s="3"/>
      <c r="BA84" s="4"/>
      <c r="BB84" s="3"/>
      <c r="BC84" s="4"/>
      <c r="BD84" s="4"/>
      <c r="BE84" s="4"/>
      <c r="BF84" s="4"/>
      <c r="BG84" s="4"/>
      <c r="BH84" s="4">
        <v>146332.054104</v>
      </c>
      <c r="BI84" s="4"/>
      <c r="BJ84" s="4">
        <v>25814457.262737</v>
      </c>
      <c r="BK84" s="4">
        <f>BJ84/BJ83*BI83</f>
        <v>147154.87063031842</v>
      </c>
      <c r="BL84" s="4">
        <f>BH84+BK84</f>
        <v>293486.9247343184</v>
      </c>
      <c r="BM84" s="4"/>
      <c r="BN84" s="4"/>
      <c r="BO84" s="4">
        <v>34686.498475</v>
      </c>
      <c r="BP84" s="4"/>
      <c r="BQ84" s="4">
        <f>AG84+AI84+AL84+AN84+AP84+AR84+AT84+AV84+AX84+AZ84+BB84+BD84+BF84+BH84+BK84+BM84+BO84</f>
        <v>13467645.816757318</v>
      </c>
      <c r="BT84" s="4">
        <f>AJ84+AM84+AQ84+AS84+AU84+AW84+AY84+BA84+BC84+BG84+BL84+BN84+BP84</f>
        <v>9169493.308841905</v>
      </c>
      <c r="BW84" s="52"/>
      <c r="BX84" s="4">
        <f t="shared" si="2"/>
        <v>25307701.463274315</v>
      </c>
      <c r="BY84" s="4">
        <f t="shared" si="3"/>
        <v>21235792.056884706</v>
      </c>
    </row>
    <row r="85" spans="1:77" ht="12.75">
      <c r="A85" s="5" t="s">
        <v>718</v>
      </c>
      <c r="B85" s="5" t="s">
        <v>84</v>
      </c>
      <c r="C85" s="5" t="s">
        <v>1341</v>
      </c>
      <c r="D85" s="6">
        <v>66662908.640477</v>
      </c>
      <c r="E85" s="6">
        <f>D85*RPI_inc</f>
        <v>67936722.18137784</v>
      </c>
      <c r="F85" s="6"/>
      <c r="G85" s="6"/>
      <c r="H85" s="6"/>
      <c r="I85" s="6"/>
      <c r="J85" s="6">
        <v>882921.227922</v>
      </c>
      <c r="K85" s="6">
        <f>J85*RPI_inc</f>
        <v>899792.3341880254</v>
      </c>
      <c r="L85" s="6">
        <v>5431493.63099</v>
      </c>
      <c r="M85" s="6">
        <f>L85*RPI_inc</f>
        <v>5535280.133492994</v>
      </c>
      <c r="N85" s="6"/>
      <c r="O85" s="6"/>
      <c r="P85" s="6"/>
      <c r="Q85" s="6"/>
      <c r="R85" s="6"/>
      <c r="S85" s="6"/>
      <c r="T85" s="6"/>
      <c r="U85" s="6"/>
      <c r="V85" s="6">
        <v>51113.659288</v>
      </c>
      <c r="W85" s="6">
        <f>V85*RPI_inc</f>
        <v>52090.353414522295</v>
      </c>
      <c r="X85" s="6">
        <v>5760026.367444</v>
      </c>
      <c r="Y85" s="6">
        <f>X85*RPI_inc</f>
        <v>5870090.565548026</v>
      </c>
      <c r="Z85" s="14">
        <f>D85+F85+H85+J85+L85+N85+P85+R85+T85+V85+X85</f>
        <v>78788463.52612099</v>
      </c>
      <c r="AC85" s="14">
        <f>E85+G85+I85+K85+M85+O85+Q85+S85+U85+W85+Y85</f>
        <v>80293975.56802142</v>
      </c>
      <c r="AF85" s="51"/>
      <c r="AG85" s="6">
        <v>1592800</v>
      </c>
      <c r="AH85" s="6">
        <f>AG85/$AG$680*$AH$680</f>
        <v>1199267.6914352796</v>
      </c>
      <c r="AI85" s="6">
        <v>79652950.564959</v>
      </c>
      <c r="AJ85" s="6">
        <f>AI85/$AI$680*$AJ$680</f>
        <v>54598165.85692616</v>
      </c>
      <c r="AK85" s="6">
        <f>AJ85-AH85</f>
        <v>53398898.16549088</v>
      </c>
      <c r="AL85" s="6"/>
      <c r="AM85" s="6"/>
      <c r="AN85" s="6"/>
      <c r="AO85" s="6"/>
      <c r="AP85" s="6"/>
      <c r="AQ85" s="6"/>
      <c r="AR85" s="6">
        <v>1275234.627527</v>
      </c>
      <c r="AS85" s="6">
        <f>AR85/$AR$680*$AS$680</f>
        <v>1250142.7580603666</v>
      </c>
      <c r="AT85" s="6">
        <v>6870393.07567</v>
      </c>
      <c r="AU85" s="6">
        <f>AT85/$AT$680*$AU$680</f>
        <v>5670159.843234657</v>
      </c>
      <c r="AV85" s="6"/>
      <c r="AW85" s="6"/>
      <c r="AX85" s="6"/>
      <c r="AY85" s="6"/>
      <c r="AZ85" s="6">
        <v>72508.80231</v>
      </c>
      <c r="BA85" s="6">
        <f>AZ85/$AZ$680*$BA$680</f>
        <v>71056.19359569304</v>
      </c>
      <c r="BB85" s="6">
        <v>8517206.559414</v>
      </c>
      <c r="BC85" s="6">
        <f>BB85/$BB$680*$BC$680</f>
        <v>8353511.527237806</v>
      </c>
      <c r="BD85" s="6"/>
      <c r="BE85" s="6"/>
      <c r="BF85" s="6"/>
      <c r="BG85" s="6"/>
      <c r="BH85" s="6">
        <v>891558.945896</v>
      </c>
      <c r="BI85" s="6"/>
      <c r="BJ85" s="6">
        <v>157280033.052514</v>
      </c>
      <c r="BK85" s="6">
        <f>BJ85/BJ83*BI83</f>
        <v>896572.1293696872</v>
      </c>
      <c r="BL85" s="6">
        <f>BH85+BK85</f>
        <v>1788131.0752656872</v>
      </c>
      <c r="BM85" s="6"/>
      <c r="BN85" s="6"/>
      <c r="BO85" s="6">
        <v>230817.827343</v>
      </c>
      <c r="BP85" s="6"/>
      <c r="BQ85" s="6">
        <f>AG85+AI85+AL85+AN85+AP85+AR85+AT85+AV85+AX85+AZ85+BB85+BD85+BF85+BH85+BK85+BM85+BO85</f>
        <v>100000042.5324887</v>
      </c>
      <c r="BT85" s="6">
        <f>AJ85+AM85+AQ85+AS85+AU85+AW85+AY85+BA85+BC85+BG85+BL85+BN85+BP85</f>
        <v>71731167.25432037</v>
      </c>
      <c r="BW85" s="52"/>
      <c r="BX85" s="6">
        <f t="shared" si="2"/>
        <v>178788506.0586097</v>
      </c>
      <c r="BY85" s="6">
        <f t="shared" si="3"/>
        <v>152025142.8223418</v>
      </c>
    </row>
    <row r="86" spans="1:77" ht="12.75">
      <c r="A86" t="s">
        <v>719</v>
      </c>
      <c r="B86" t="s">
        <v>85</v>
      </c>
      <c r="J86"/>
      <c r="K86"/>
      <c r="L86"/>
      <c r="M86"/>
      <c r="V86"/>
      <c r="X86"/>
      <c r="Z86" s="12">
        <f>Z87+Z88</f>
        <v>26908006.704360005</v>
      </c>
      <c r="AC86" s="12">
        <f>AC87+AC88</f>
        <v>27422172.437564336</v>
      </c>
      <c r="AF86" s="51"/>
      <c r="AG86"/>
      <c r="AI86"/>
      <c r="AR86"/>
      <c r="AT86"/>
      <c r="AZ86"/>
      <c r="BB86"/>
      <c r="BD86"/>
      <c r="BE86"/>
      <c r="BF86"/>
      <c r="BH86"/>
      <c r="BI86">
        <v>951748</v>
      </c>
      <c r="BJ86" s="1">
        <v>47433496.371918</v>
      </c>
      <c r="BL86"/>
      <c r="BO86"/>
      <c r="BP86"/>
      <c r="BQ86" s="1">
        <f>BQ87+BQ88</f>
        <v>35405771.551482</v>
      </c>
      <c r="BT86" s="1">
        <f>BT87+BT88</f>
        <v>26219512.82681174</v>
      </c>
      <c r="BW86" s="52"/>
      <c r="BX86" s="1">
        <f t="shared" si="2"/>
        <v>62313778.255842</v>
      </c>
      <c r="BY86" s="1">
        <f t="shared" si="3"/>
        <v>53641685.264376074</v>
      </c>
    </row>
    <row r="87" spans="1:77" ht="12.75">
      <c r="A87" s="3" t="s">
        <v>720</v>
      </c>
      <c r="B87" s="3" t="s">
        <v>86</v>
      </c>
      <c r="C87" s="3" t="s">
        <v>1341</v>
      </c>
      <c r="D87" s="3"/>
      <c r="E87" s="4"/>
      <c r="F87" s="4">
        <v>3746107.403837</v>
      </c>
      <c r="G87" s="4">
        <f>F87*RPI_inc</f>
        <v>3817689.073974013</v>
      </c>
      <c r="H87" s="4"/>
      <c r="I87" s="4"/>
      <c r="J87" s="4">
        <v>178585.961672</v>
      </c>
      <c r="K87" s="4">
        <f>J87*RPI_inc</f>
        <v>181998.43227719745</v>
      </c>
      <c r="L87" s="3"/>
      <c r="M87" s="4"/>
      <c r="N87" s="4"/>
      <c r="O87" s="4"/>
      <c r="P87" s="4"/>
      <c r="Q87" s="4"/>
      <c r="R87" s="4"/>
      <c r="S87" s="4"/>
      <c r="T87" s="4">
        <v>71467.077688</v>
      </c>
      <c r="U87" s="4">
        <f>T87*RPI_inc</f>
        <v>72832.69063745224</v>
      </c>
      <c r="V87" s="3"/>
      <c r="W87" s="4"/>
      <c r="X87" s="3"/>
      <c r="Y87" s="4"/>
      <c r="Z87" s="13">
        <f>D87+F87+H87+J87+L87+N87+P87+R87+T87+V87+X87</f>
        <v>3996160.4431970003</v>
      </c>
      <c r="AC87" s="13">
        <f>E87+G87+I87+K87+M87+O87+Q87+S87+U87+W87+Y87</f>
        <v>4072520.1968886624</v>
      </c>
      <c r="AF87" s="51"/>
      <c r="AG87" s="3"/>
      <c r="AH87" s="4"/>
      <c r="AI87" s="3"/>
      <c r="AJ87" s="4"/>
      <c r="AK87" s="4"/>
      <c r="AL87" s="4">
        <v>4138620.087393</v>
      </c>
      <c r="AM87" s="4">
        <f>AL87/$AL$680*$AM$680</f>
        <v>2770978.979252456</v>
      </c>
      <c r="AN87" s="4"/>
      <c r="AO87" s="4"/>
      <c r="AP87" s="4"/>
      <c r="AQ87" s="4"/>
      <c r="AR87" s="4">
        <v>257938.075462</v>
      </c>
      <c r="AS87" s="4">
        <f>AR87/$AR$680*$AS$680</f>
        <v>252862.8145019693</v>
      </c>
      <c r="AT87" s="3"/>
      <c r="AU87" s="4"/>
      <c r="AV87" s="4"/>
      <c r="AW87" s="4"/>
      <c r="AX87" s="4">
        <v>101381.749398</v>
      </c>
      <c r="AY87" s="4">
        <f>AX87/$AX$680*$AY$680</f>
        <v>99350.71482097241</v>
      </c>
      <c r="AZ87" s="3"/>
      <c r="BA87" s="4"/>
      <c r="BB87" s="3"/>
      <c r="BC87" s="4"/>
      <c r="BD87" s="4"/>
      <c r="BE87" s="4"/>
      <c r="BF87" s="4"/>
      <c r="BG87" s="4"/>
      <c r="BH87" s="4">
        <v>150411.700707</v>
      </c>
      <c r="BI87" s="4"/>
      <c r="BJ87" s="4">
        <v>7526844.466514</v>
      </c>
      <c r="BK87" s="4">
        <f>BJ87/BJ86*BI86</f>
        <v>151025.324195938</v>
      </c>
      <c r="BL87" s="4">
        <f>BH87+BK87</f>
        <v>301437.02490293805</v>
      </c>
      <c r="BM87" s="4"/>
      <c r="BN87" s="4"/>
      <c r="BO87" s="4">
        <v>11707.108248</v>
      </c>
      <c r="BP87" s="4"/>
      <c r="BQ87" s="4">
        <f>AG87+AI87+AL87+AN87+AP87+AR87+AT87+AV87+AX87+AZ87+BB87+BD87+BF87+BH87+BK87+BM87+BO87</f>
        <v>4811084.045403938</v>
      </c>
      <c r="BT87" s="4">
        <f>AJ87+AM87+AQ87+AS87+AU87+AW87+AY87+BA87+BC87+BG87+BL87+BN87+BP87</f>
        <v>3424629.5334783355</v>
      </c>
      <c r="BW87" s="52"/>
      <c r="BX87" s="4">
        <f t="shared" si="2"/>
        <v>8807244.488600938</v>
      </c>
      <c r="BY87" s="4">
        <f t="shared" si="3"/>
        <v>7497149.730366997</v>
      </c>
    </row>
    <row r="88" spans="1:77" ht="12.75">
      <c r="A88" s="5" t="s">
        <v>721</v>
      </c>
      <c r="B88" s="5" t="s">
        <v>87</v>
      </c>
      <c r="C88" s="5" t="s">
        <v>1341</v>
      </c>
      <c r="D88" s="6">
        <v>17320501.517976</v>
      </c>
      <c r="E88" s="6">
        <f>D88*RPI_inc</f>
        <v>17651466.515134778</v>
      </c>
      <c r="F88" s="6"/>
      <c r="G88" s="6"/>
      <c r="H88" s="6"/>
      <c r="I88" s="6"/>
      <c r="J88" s="6">
        <v>775160.30182</v>
      </c>
      <c r="K88" s="6">
        <f>J88*RPI_inc</f>
        <v>789972.2821095542</v>
      </c>
      <c r="L88" s="6">
        <v>2629677.721337</v>
      </c>
      <c r="M88" s="6">
        <f>L88*RPI_inc</f>
        <v>2679926.340216051</v>
      </c>
      <c r="N88" s="6"/>
      <c r="O88" s="6"/>
      <c r="P88" s="6"/>
      <c r="Q88" s="6"/>
      <c r="R88" s="6"/>
      <c r="S88" s="6"/>
      <c r="T88" s="6"/>
      <c r="U88" s="6"/>
      <c r="V88" s="6">
        <v>48384.882258</v>
      </c>
      <c r="W88" s="6">
        <f>V88*RPI_inc</f>
        <v>49309.434148280256</v>
      </c>
      <c r="X88" s="6">
        <v>2138121.837772</v>
      </c>
      <c r="Y88" s="6">
        <f>X88*RPI_inc</f>
        <v>2178977.6690670066</v>
      </c>
      <c r="Z88" s="14">
        <f>D88+F88+H88+J88+L88+N88+P88+R88+T88+V88+X88</f>
        <v>22911846.261163004</v>
      </c>
      <c r="AC88" s="14">
        <f>E88+G88+I88+K88+M88+O88+Q88+S88+U88+W88+Y88</f>
        <v>23349652.240675673</v>
      </c>
      <c r="AF88" s="51"/>
      <c r="AG88" s="6">
        <v>557628</v>
      </c>
      <c r="AH88" s="6">
        <f>AG88/$AG$680*$AH$680</f>
        <v>419855.1257155149</v>
      </c>
      <c r="AI88" s="6">
        <v>20695602.386811</v>
      </c>
      <c r="AJ88" s="6">
        <f>AI88/$AI$680*$AJ$680</f>
        <v>14185813.878954899</v>
      </c>
      <c r="AK88" s="6">
        <f>AJ88-AH88</f>
        <v>13765958.753239384</v>
      </c>
      <c r="AL88" s="6"/>
      <c r="AM88" s="6"/>
      <c r="AN88" s="6"/>
      <c r="AO88" s="6"/>
      <c r="AP88" s="6"/>
      <c r="AQ88" s="6"/>
      <c r="AR88" s="6">
        <v>1119591.677609</v>
      </c>
      <c r="AS88" s="6">
        <f>AR88/$AR$680*$AS$680</f>
        <v>1097562.2819008762</v>
      </c>
      <c r="AT88" s="6">
        <v>3326326.207</v>
      </c>
      <c r="AU88" s="6">
        <f>AT88/$AT$680*$AU$680</f>
        <v>2745228.850329084</v>
      </c>
      <c r="AV88" s="6"/>
      <c r="AW88" s="6"/>
      <c r="AX88" s="6"/>
      <c r="AY88" s="6"/>
      <c r="AZ88" s="6">
        <v>68637.814457</v>
      </c>
      <c r="BA88" s="6">
        <f>AZ88/$AZ$680*$BA$680</f>
        <v>67262.7553712775</v>
      </c>
      <c r="BB88" s="6">
        <v>3161587.14905</v>
      </c>
      <c r="BC88" s="6">
        <f>BB88/$BB$680*$BC$680</f>
        <v>3100823.551680208</v>
      </c>
      <c r="BD88" s="6"/>
      <c r="BE88" s="6"/>
      <c r="BF88" s="6"/>
      <c r="BG88" s="6"/>
      <c r="BH88" s="6">
        <v>797469.299293</v>
      </c>
      <c r="BI88" s="6"/>
      <c r="BJ88" s="6">
        <v>39906651.905404</v>
      </c>
      <c r="BK88" s="6">
        <f>BJ88/BJ86*BI86</f>
        <v>800722.675804062</v>
      </c>
      <c r="BL88" s="6">
        <f>BH88+BK88</f>
        <v>1598191.975097062</v>
      </c>
      <c r="BM88" s="6"/>
      <c r="BN88" s="6"/>
      <c r="BO88" s="6">
        <v>67122.296054</v>
      </c>
      <c r="BP88" s="6"/>
      <c r="BQ88" s="6">
        <f>AG88+AI88+AL88+AN88+AP88+AR88+AT88+AV88+AX88+AZ88+BB88+BD88+BF88+BH88+BK88+BM88+BO88</f>
        <v>30594687.50607806</v>
      </c>
      <c r="BT88" s="6">
        <f>AJ88+AM88+AQ88+AS88+AU88+AW88+AY88+BA88+BC88+BG88+BL88+BN88+BP88</f>
        <v>22794883.293333404</v>
      </c>
      <c r="BW88" s="52"/>
      <c r="BX88" s="6">
        <f t="shared" si="2"/>
        <v>53506533.76724106</v>
      </c>
      <c r="BY88" s="6">
        <f t="shared" si="3"/>
        <v>46144535.53400908</v>
      </c>
    </row>
    <row r="89" spans="1:77" ht="12.75">
      <c r="A89" t="s">
        <v>722</v>
      </c>
      <c r="B89" t="s">
        <v>88</v>
      </c>
      <c r="J89"/>
      <c r="K89"/>
      <c r="L89"/>
      <c r="M89"/>
      <c r="V89"/>
      <c r="X89"/>
      <c r="Z89" s="12">
        <f>Z90+Z91</f>
        <v>66582983.28836</v>
      </c>
      <c r="AC89" s="12">
        <f>AC90+AC91</f>
        <v>67855269.59323311</v>
      </c>
      <c r="AF89" s="51"/>
      <c r="AG89"/>
      <c r="AI89"/>
      <c r="AR89"/>
      <c r="AT89"/>
      <c r="AZ89"/>
      <c r="BB89"/>
      <c r="BD89"/>
      <c r="BE89"/>
      <c r="BF89"/>
      <c r="BH89"/>
      <c r="BI89">
        <v>1131338</v>
      </c>
      <c r="BJ89" s="1">
        <v>133487227.363121</v>
      </c>
      <c r="BL89"/>
      <c r="BO89"/>
      <c r="BP89"/>
      <c r="BQ89" s="1">
        <f>BQ90+BQ91</f>
        <v>82782958.807859</v>
      </c>
      <c r="BT89" s="1">
        <f>BT90+BT91</f>
        <v>58417185.70041644</v>
      </c>
      <c r="BW89" s="52"/>
      <c r="BX89" s="1">
        <f t="shared" si="2"/>
        <v>149365942.096219</v>
      </c>
      <c r="BY89" s="1">
        <f t="shared" si="3"/>
        <v>126272455.29364955</v>
      </c>
    </row>
    <row r="90" spans="1:77" ht="12.75">
      <c r="A90" s="3" t="s">
        <v>723</v>
      </c>
      <c r="B90" s="3" t="s">
        <v>89</v>
      </c>
      <c r="C90" s="3" t="s">
        <v>1341</v>
      </c>
      <c r="D90" s="3"/>
      <c r="E90" s="4"/>
      <c r="F90" s="4">
        <v>8969435.216664</v>
      </c>
      <c r="G90" s="4">
        <f>F90*RPI_inc</f>
        <v>9140825.698511083</v>
      </c>
      <c r="H90" s="4"/>
      <c r="I90" s="4"/>
      <c r="J90" s="4">
        <v>160956.808884</v>
      </c>
      <c r="K90" s="4">
        <f>J90*RPI_inc</f>
        <v>164032.41669707006</v>
      </c>
      <c r="L90" s="3"/>
      <c r="M90" s="4"/>
      <c r="N90" s="4"/>
      <c r="O90" s="4"/>
      <c r="P90" s="4"/>
      <c r="Q90" s="4"/>
      <c r="R90" s="4"/>
      <c r="S90" s="4"/>
      <c r="T90" s="4">
        <v>49233.654098</v>
      </c>
      <c r="U90" s="4">
        <f>T90*RPI_inc</f>
        <v>50174.424558471335</v>
      </c>
      <c r="V90" s="3"/>
      <c r="W90" s="4"/>
      <c r="X90" s="3"/>
      <c r="Y90" s="4"/>
      <c r="Z90" s="13">
        <f>D90+F90+H90+J90+L90+N90+P90+R90+T90+V90+X90</f>
        <v>9179625.679646</v>
      </c>
      <c r="AC90" s="13">
        <f>E90+G90+I90+K90+M90+O90+Q90+S90+U90+W90+Y90</f>
        <v>9355032.539766625</v>
      </c>
      <c r="AF90" s="51"/>
      <c r="AG90" s="3"/>
      <c r="AH90" s="4"/>
      <c r="AI90" s="3"/>
      <c r="AJ90" s="4"/>
      <c r="AK90" s="4"/>
      <c r="AL90" s="4">
        <v>9909241.983353</v>
      </c>
      <c r="AM90" s="4">
        <f>AL90/$AL$680*$AM$680</f>
        <v>6634651.322512093</v>
      </c>
      <c r="AN90" s="4"/>
      <c r="AO90" s="4"/>
      <c r="AP90" s="4"/>
      <c r="AQ90" s="4"/>
      <c r="AR90" s="4">
        <v>232475.661173</v>
      </c>
      <c r="AS90" s="4">
        <f>AR90/$AR$680*$AS$680</f>
        <v>227901.4057235269</v>
      </c>
      <c r="AT90" s="3"/>
      <c r="AU90" s="4"/>
      <c r="AV90" s="4"/>
      <c r="AW90" s="4"/>
      <c r="AX90" s="4">
        <v>69841.864859</v>
      </c>
      <c r="AY90" s="4">
        <f>AX90/$AX$680*$AY$680</f>
        <v>68442.68558565914</v>
      </c>
      <c r="AZ90" s="3"/>
      <c r="BA90" s="4"/>
      <c r="BB90" s="3"/>
      <c r="BC90" s="4"/>
      <c r="BD90" s="4"/>
      <c r="BE90" s="4"/>
      <c r="BF90" s="4"/>
      <c r="BG90" s="4"/>
      <c r="BH90" s="4"/>
      <c r="BI90" s="4"/>
      <c r="BJ90" s="4">
        <v>19245262.283369</v>
      </c>
      <c r="BK90" s="4">
        <f>BJ90/BJ89*BI89</f>
        <v>163108.46341810672</v>
      </c>
      <c r="BL90" s="4">
        <f>BH90+BK90</f>
        <v>163108.46341810672</v>
      </c>
      <c r="BM90" s="4"/>
      <c r="BN90" s="4"/>
      <c r="BO90" s="4">
        <v>26892.531728</v>
      </c>
      <c r="BP90" s="4"/>
      <c r="BQ90" s="4">
        <f>AG90+AI90+AL90+AN90+AP90+AR90+AT90+AV90+AX90+AZ90+BB90+BD90+BF90+BH90+BK90+BM90+BO90</f>
        <v>10401560.504531108</v>
      </c>
      <c r="BT90" s="4">
        <f>AJ90+AM90+AQ90+AS90+AU90+AW90+AY90+BA90+BC90+BG90+BL90+BN90+BP90</f>
        <v>7094103.877239386</v>
      </c>
      <c r="BW90" s="52"/>
      <c r="BX90" s="4">
        <f t="shared" si="2"/>
        <v>19581186.184177108</v>
      </c>
      <c r="BY90" s="4">
        <f t="shared" si="3"/>
        <v>16449136.41700601</v>
      </c>
    </row>
    <row r="91" spans="1:77" ht="12.75">
      <c r="A91" s="5" t="s">
        <v>724</v>
      </c>
      <c r="B91" s="5" t="s">
        <v>90</v>
      </c>
      <c r="C91" s="5" t="s">
        <v>1341</v>
      </c>
      <c r="D91" s="6">
        <v>49203013.172976</v>
      </c>
      <c r="E91" s="6">
        <f>D91*RPI_inc</f>
        <v>50143198.13806471</v>
      </c>
      <c r="F91" s="6"/>
      <c r="G91" s="6"/>
      <c r="H91" s="6"/>
      <c r="I91" s="6"/>
      <c r="J91" s="6">
        <v>948697.92656</v>
      </c>
      <c r="K91" s="6">
        <f>J91*RPI_inc</f>
        <v>966825.9124178344</v>
      </c>
      <c r="L91" s="6">
        <v>4430985.447692</v>
      </c>
      <c r="M91" s="6">
        <f>L91*RPI_inc</f>
        <v>4515653.959431338</v>
      </c>
      <c r="N91" s="6"/>
      <c r="O91" s="6"/>
      <c r="P91" s="6"/>
      <c r="Q91" s="6"/>
      <c r="R91" s="6"/>
      <c r="S91" s="6"/>
      <c r="T91" s="6"/>
      <c r="U91" s="6"/>
      <c r="V91" s="6">
        <v>49565.994704</v>
      </c>
      <c r="W91" s="6">
        <f>V91*RPI_inc</f>
        <v>50513.11562191082</v>
      </c>
      <c r="X91" s="6">
        <v>2771095.066782</v>
      </c>
      <c r="Y91" s="6">
        <f>X91*RPI_inc</f>
        <v>2824045.9279307006</v>
      </c>
      <c r="Z91" s="14">
        <f>D91+F91+H91+J91+L91+N91+P91+R91+T91+V91+X91</f>
        <v>57403357.608714</v>
      </c>
      <c r="AC91" s="14">
        <f>E91+G91+I91+K91+M91+O91+Q91+S91+U91+W91+Y91</f>
        <v>58500237.05346649</v>
      </c>
      <c r="AF91" s="51"/>
      <c r="AG91" s="6">
        <v>1311276</v>
      </c>
      <c r="AH91" s="6">
        <f>AG91/$AG$680*$AH$680</f>
        <v>987299.6869377749</v>
      </c>
      <c r="AI91" s="6">
        <v>58790791.698735</v>
      </c>
      <c r="AJ91" s="6">
        <f>AI91/$AI$680*$AJ$680</f>
        <v>40298185.7327407</v>
      </c>
      <c r="AK91" s="6">
        <f>AJ91-AH91</f>
        <v>39310886.04580293</v>
      </c>
      <c r="AL91" s="6"/>
      <c r="AM91" s="6"/>
      <c r="AN91" s="6"/>
      <c r="AO91" s="6"/>
      <c r="AP91" s="6"/>
      <c r="AQ91" s="6"/>
      <c r="AR91" s="6">
        <v>1370238.259941</v>
      </c>
      <c r="AS91" s="6">
        <f>AR91/$AR$680*$AS$680</f>
        <v>1343277.0727096738</v>
      </c>
      <c r="AT91" s="6">
        <v>5604832.446922</v>
      </c>
      <c r="AU91" s="6">
        <f>AT91/$AT$680*$AU$680</f>
        <v>4625688.154748927</v>
      </c>
      <c r="AV91" s="6"/>
      <c r="AW91" s="6"/>
      <c r="AX91" s="6"/>
      <c r="AY91" s="6"/>
      <c r="AZ91" s="6">
        <v>70313.316662</v>
      </c>
      <c r="BA91" s="6">
        <f>AZ91/$AZ$680*$BA$680</f>
        <v>68904.6913191296</v>
      </c>
      <c r="BB91" s="6">
        <v>4097548.791262</v>
      </c>
      <c r="BC91" s="6">
        <f>BB91/$BB$680*$BC$680</f>
        <v>4018796.6350767324</v>
      </c>
      <c r="BD91" s="6"/>
      <c r="BE91" s="6"/>
      <c r="BF91" s="6"/>
      <c r="BG91" s="6"/>
      <c r="BH91" s="6"/>
      <c r="BI91" s="6"/>
      <c r="BJ91" s="6">
        <v>114241965.079752</v>
      </c>
      <c r="BK91" s="6">
        <f>BJ91/BJ89*BI89</f>
        <v>968229.5365818932</v>
      </c>
      <c r="BL91" s="6">
        <f>BH91+BK91</f>
        <v>968229.5365818932</v>
      </c>
      <c r="BM91" s="6"/>
      <c r="BN91" s="6"/>
      <c r="BO91" s="6">
        <v>168168.253224</v>
      </c>
      <c r="BP91" s="6"/>
      <c r="BQ91" s="6">
        <f>AG91+AI91+AL91+AN91+AP91+AR91+AT91+AV91+AX91+AZ91+BB91+BD91+BF91+BH91+BK91+BM91+BO91</f>
        <v>72381398.30332789</v>
      </c>
      <c r="BT91" s="6">
        <f>AJ91+AM91+AQ91+AS91+AU91+AW91+AY91+BA91+BC91+BG91+BL91+BN91+BP91</f>
        <v>51323081.823177055</v>
      </c>
      <c r="BW91" s="52"/>
      <c r="BX91" s="6">
        <f t="shared" si="2"/>
        <v>129784755.91204189</v>
      </c>
      <c r="BY91" s="6">
        <f t="shared" si="3"/>
        <v>109823318.87664354</v>
      </c>
    </row>
    <row r="92" spans="1:77" ht="12.75">
      <c r="A92" t="s">
        <v>725</v>
      </c>
      <c r="B92" t="s">
        <v>91</v>
      </c>
      <c r="J92"/>
      <c r="K92"/>
      <c r="L92"/>
      <c r="M92"/>
      <c r="V92"/>
      <c r="X92"/>
      <c r="Z92" s="12">
        <f>Z93+Z94</f>
        <v>70958151.45612599</v>
      </c>
      <c r="AC92" s="12">
        <f>AC93+AC94</f>
        <v>72314039.70051056</v>
      </c>
      <c r="AF92" s="51"/>
      <c r="AG92"/>
      <c r="AI92"/>
      <c r="AR92"/>
      <c r="AT92"/>
      <c r="AZ92"/>
      <c r="BB92"/>
      <c r="BD92"/>
      <c r="BE92"/>
      <c r="BF92"/>
      <c r="BH92"/>
      <c r="BI92"/>
      <c r="BJ92" s="1">
        <v>137176780.241876</v>
      </c>
      <c r="BL92"/>
      <c r="BO92"/>
      <c r="BP92"/>
      <c r="BQ92" s="1">
        <f>BQ93+BQ94</f>
        <v>88543816.62704599</v>
      </c>
      <c r="BT92" s="1">
        <f>BT93+BT94</f>
        <v>62764170.52325093</v>
      </c>
      <c r="BW92" s="52"/>
      <c r="BX92" s="1">
        <f t="shared" si="2"/>
        <v>159501968.08317196</v>
      </c>
      <c r="BY92" s="1">
        <f t="shared" si="3"/>
        <v>135078210.2237615</v>
      </c>
    </row>
    <row r="93" spans="1:77" ht="12.75">
      <c r="A93" s="3" t="s">
        <v>726</v>
      </c>
      <c r="B93" s="3" t="s">
        <v>92</v>
      </c>
      <c r="C93" s="3" t="s">
        <v>1341</v>
      </c>
      <c r="D93" s="3"/>
      <c r="E93" s="4"/>
      <c r="F93" s="4">
        <v>9281832.676231</v>
      </c>
      <c r="G93" s="4">
        <f>F93*RPI_inc</f>
        <v>9459192.53628637</v>
      </c>
      <c r="H93" s="4"/>
      <c r="I93" s="4"/>
      <c r="J93" s="4">
        <v>136070.802017</v>
      </c>
      <c r="K93" s="4">
        <f>J93*RPI_inc</f>
        <v>138670.88103643313</v>
      </c>
      <c r="L93" s="3"/>
      <c r="M93" s="4"/>
      <c r="N93" s="4"/>
      <c r="O93" s="4"/>
      <c r="P93" s="4"/>
      <c r="Q93" s="4"/>
      <c r="R93" s="4"/>
      <c r="S93" s="4"/>
      <c r="T93" s="4">
        <v>69766.275766</v>
      </c>
      <c r="U93" s="4">
        <f>T93*RPI_inc</f>
        <v>71099.3893156688</v>
      </c>
      <c r="V93" s="3"/>
      <c r="W93" s="4"/>
      <c r="X93" s="3"/>
      <c r="Y93" s="4"/>
      <c r="Z93" s="13">
        <f>D93+F93+H93+J93+L93+N93+P93+R93+T93+V93+X93</f>
        <v>9487669.754014</v>
      </c>
      <c r="AC93" s="13">
        <f>E93+G93+I93+K93+M93+O93+Q93+S93+U93+W93+Y93</f>
        <v>9668962.806638472</v>
      </c>
      <c r="AF93" s="51"/>
      <c r="AG93" s="3"/>
      <c r="AH93" s="4"/>
      <c r="AI93" s="3"/>
      <c r="AJ93" s="4"/>
      <c r="AK93" s="4"/>
      <c r="AL93" s="4">
        <v>10254372.077618</v>
      </c>
      <c r="AM93" s="4">
        <f>AL93/$AL$680*$AM$680</f>
        <v>6865730.333419363</v>
      </c>
      <c r="AN93" s="4"/>
      <c r="AO93" s="4"/>
      <c r="AP93" s="4"/>
      <c r="AQ93" s="4"/>
      <c r="AR93" s="4">
        <v>196531.913651</v>
      </c>
      <c r="AS93" s="4">
        <f>AR93/$AR$680*$AS$680</f>
        <v>192664.89732560294</v>
      </c>
      <c r="AT93" s="3"/>
      <c r="AU93" s="4"/>
      <c r="AV93" s="4"/>
      <c r="AW93" s="4"/>
      <c r="AX93" s="4">
        <v>98969.026228</v>
      </c>
      <c r="AY93" s="4">
        <f>AX93/$AX$680*$AY$680</f>
        <v>96986.32701914432</v>
      </c>
      <c r="AZ93" s="3"/>
      <c r="BA93" s="4"/>
      <c r="BB93" s="3"/>
      <c r="BC93" s="4"/>
      <c r="BD93" s="4"/>
      <c r="BE93" s="4"/>
      <c r="BF93" s="4"/>
      <c r="BG93" s="4"/>
      <c r="BH93" s="4">
        <v>136096.62357</v>
      </c>
      <c r="BI93" s="4"/>
      <c r="BJ93" s="4">
        <v>19618086.122222</v>
      </c>
      <c r="BK93" s="4"/>
      <c r="BL93" s="4">
        <f>BH93+BK93</f>
        <v>136096.62357</v>
      </c>
      <c r="BM93" s="4"/>
      <c r="BN93" s="4"/>
      <c r="BO93" s="4">
        <v>27794.974304</v>
      </c>
      <c r="BP93" s="4"/>
      <c r="BQ93" s="4">
        <f>AG93+AI93+AL93+AN93+AP93+AR93+AT93+AV93+AX93+AZ93+BB93+BD93+BF93+BH93+BK93+BM93+BO93</f>
        <v>10713764.615371</v>
      </c>
      <c r="BT93" s="4">
        <f>AJ93+AM93+AQ93+AS93+AU93+AW93+AY93+BA93+BC93+BG93+BL93+BN93+BP93</f>
        <v>7291478.181334111</v>
      </c>
      <c r="BW93" s="52"/>
      <c r="BX93" s="4">
        <f t="shared" si="2"/>
        <v>20201434.369385</v>
      </c>
      <c r="BY93" s="4">
        <f t="shared" si="3"/>
        <v>16960440.987972584</v>
      </c>
    </row>
    <row r="94" spans="1:77" ht="12.75">
      <c r="A94" s="5" t="s">
        <v>727</v>
      </c>
      <c r="B94" s="5" t="s">
        <v>93</v>
      </c>
      <c r="C94" s="5" t="s">
        <v>1341</v>
      </c>
      <c r="D94" s="6">
        <v>52043327.568766</v>
      </c>
      <c r="E94" s="6">
        <f>D94*RPI_inc</f>
        <v>53037786.05734114</v>
      </c>
      <c r="F94" s="6"/>
      <c r="G94" s="6"/>
      <c r="H94" s="6"/>
      <c r="I94" s="6"/>
      <c r="J94" s="6">
        <v>816129.018732</v>
      </c>
      <c r="K94" s="6">
        <f>J94*RPI_inc</f>
        <v>831723.8407459873</v>
      </c>
      <c r="L94" s="6">
        <v>3957631.463873</v>
      </c>
      <c r="M94" s="6">
        <f>L94*RPI_inc</f>
        <v>4033254.995029809</v>
      </c>
      <c r="N94" s="6"/>
      <c r="O94" s="6"/>
      <c r="P94" s="6"/>
      <c r="Q94" s="6"/>
      <c r="R94" s="6"/>
      <c r="S94" s="6"/>
      <c r="T94" s="6"/>
      <c r="U94" s="6"/>
      <c r="V94" s="6">
        <v>50258.370965</v>
      </c>
      <c r="W94" s="6">
        <f>V94*RPI_inc</f>
        <v>51218.72200254777</v>
      </c>
      <c r="X94" s="6">
        <v>4603135.279776</v>
      </c>
      <c r="Y94" s="6">
        <f>X94*RPI_inc</f>
        <v>4691093.278752612</v>
      </c>
      <c r="Z94" s="14">
        <f>D94+F94+H94+J94+L94+N94+P94+R94+T94+V94+X94</f>
        <v>61470481.70211199</v>
      </c>
      <c r="AC94" s="14">
        <f>E94+G94+I94+K94+M94+O94+Q94+S94+U94+W94+Y94</f>
        <v>62645076.8938721</v>
      </c>
      <c r="AF94" s="51"/>
      <c r="AG94" s="6">
        <v>1587175</v>
      </c>
      <c r="AH94" s="6">
        <f>AG94/$AG$680*$AH$680</f>
        <v>1195032.4574044386</v>
      </c>
      <c r="AI94" s="6">
        <v>62184574.339948</v>
      </c>
      <c r="AJ94" s="6">
        <f>AI94/$AI$680*$AJ$680</f>
        <v>42624456.21252904</v>
      </c>
      <c r="AK94" s="6">
        <f>AJ94-AH94</f>
        <v>41429423.7551246</v>
      </c>
      <c r="AL94" s="6"/>
      <c r="AM94" s="6"/>
      <c r="AN94" s="6"/>
      <c r="AO94" s="6"/>
      <c r="AP94" s="6"/>
      <c r="AQ94" s="6"/>
      <c r="AR94" s="6">
        <v>1178764.256996</v>
      </c>
      <c r="AS94" s="6">
        <f>AR94/$AR$680*$AS$680</f>
        <v>1155570.5652391862</v>
      </c>
      <c r="AT94" s="6">
        <v>5006078.558265</v>
      </c>
      <c r="AU94" s="6">
        <f>AT94/$AT$680*$AU$680</f>
        <v>4131534.440681784</v>
      </c>
      <c r="AV94" s="6"/>
      <c r="AW94" s="6"/>
      <c r="AX94" s="6"/>
      <c r="AY94" s="6"/>
      <c r="AZ94" s="6">
        <v>71295.50761</v>
      </c>
      <c r="BA94" s="6">
        <f>AZ94/$AZ$680*$BA$680</f>
        <v>69867.20549569324</v>
      </c>
      <c r="BB94" s="6">
        <v>6806540.716614</v>
      </c>
      <c r="BC94" s="6">
        <f>BB94/$BB$680*$BC$680</f>
        <v>6675723.541541125</v>
      </c>
      <c r="BD94" s="6"/>
      <c r="BE94" s="6"/>
      <c r="BF94" s="6"/>
      <c r="BG94" s="6"/>
      <c r="BH94" s="6">
        <v>815540.37643</v>
      </c>
      <c r="BI94" s="6"/>
      <c r="BJ94" s="6">
        <v>117558694.119654</v>
      </c>
      <c r="BK94" s="6"/>
      <c r="BL94" s="6">
        <f>BH94+BK94</f>
        <v>815540.37643</v>
      </c>
      <c r="BM94" s="6"/>
      <c r="BN94" s="6"/>
      <c r="BO94" s="6">
        <v>180083.255812</v>
      </c>
      <c r="BP94" s="6"/>
      <c r="BQ94" s="6">
        <f>AG94+AI94+AL94+AN94+AP94+AR94+AT94+AV94+AX94+AZ94+BB94+BD94+BF94+BH94+BK94+BM94+BO94</f>
        <v>77830052.01167499</v>
      </c>
      <c r="BT94" s="6">
        <f>AJ94+AM94+AQ94+AS94+AU94+AW94+AY94+BA94+BC94+BG94+BL94+BN94+BP94</f>
        <v>55472692.34191682</v>
      </c>
      <c r="BW94" s="52"/>
      <c r="BX94" s="6">
        <f t="shared" si="2"/>
        <v>139300533.71378696</v>
      </c>
      <c r="BY94" s="6">
        <f t="shared" si="3"/>
        <v>118117769.23578891</v>
      </c>
    </row>
    <row r="95" spans="1:77" ht="12.75">
      <c r="A95" t="s">
        <v>728</v>
      </c>
      <c r="B95" t="s">
        <v>94</v>
      </c>
      <c r="J95"/>
      <c r="K95"/>
      <c r="L95"/>
      <c r="M95"/>
      <c r="V95"/>
      <c r="X95"/>
      <c r="Z95" s="12">
        <f>Z96+Z97</f>
        <v>124023091.126148</v>
      </c>
      <c r="AC95" s="12">
        <f>AC96+AC97</f>
        <v>126392959.10945019</v>
      </c>
      <c r="AF95" s="51"/>
      <c r="AG95"/>
      <c r="AI95"/>
      <c r="AR95"/>
      <c r="AT95"/>
      <c r="AZ95"/>
      <c r="BB95"/>
      <c r="BD95"/>
      <c r="BE95"/>
      <c r="BF95"/>
      <c r="BH95"/>
      <c r="BI95"/>
      <c r="BJ95" s="1">
        <v>240770011.496968</v>
      </c>
      <c r="BL95"/>
      <c r="BO95"/>
      <c r="BP95"/>
      <c r="BQ95" s="1">
        <f>BQ96+BQ97</f>
        <v>151709709.904517</v>
      </c>
      <c r="BT95" s="1">
        <f>BT96+BT97</f>
        <v>106370550.80807732</v>
      </c>
      <c r="BW95" s="52"/>
      <c r="BX95" s="1">
        <f t="shared" si="2"/>
        <v>275732801.030665</v>
      </c>
      <c r="BY95" s="1">
        <f t="shared" si="3"/>
        <v>232763509.9175275</v>
      </c>
    </row>
    <row r="96" spans="1:77" ht="12.75">
      <c r="A96" s="3" t="s">
        <v>729</v>
      </c>
      <c r="B96" s="3" t="s">
        <v>95</v>
      </c>
      <c r="C96" s="3" t="s">
        <v>1341</v>
      </c>
      <c r="D96" s="3"/>
      <c r="E96" s="4"/>
      <c r="F96" s="4">
        <v>18830176.394679</v>
      </c>
      <c r="G96" s="4">
        <f>F96*RPI_inc</f>
        <v>19189988.682475414</v>
      </c>
      <c r="H96" s="4"/>
      <c r="I96" s="4"/>
      <c r="J96" s="4">
        <v>275375.411223</v>
      </c>
      <c r="K96" s="4">
        <f>J96*RPI_inc</f>
        <v>280637.36175592354</v>
      </c>
      <c r="L96" s="3"/>
      <c r="M96" s="4"/>
      <c r="N96" s="4"/>
      <c r="O96" s="4"/>
      <c r="P96" s="4"/>
      <c r="Q96" s="4"/>
      <c r="R96" s="4"/>
      <c r="S96" s="4"/>
      <c r="T96" s="4">
        <v>48788.08961</v>
      </c>
      <c r="U96" s="4">
        <f>T96*RPI_inc</f>
        <v>49720.34609936306</v>
      </c>
      <c r="V96" s="3"/>
      <c r="W96" s="4"/>
      <c r="X96" s="3"/>
      <c r="Y96" s="4"/>
      <c r="Z96" s="13">
        <f>D96+F96+H96+J96+L96+N96+P96+R96+T96+V96+X96</f>
        <v>19154339.895512</v>
      </c>
      <c r="AC96" s="13">
        <f>E96+G96+I96+K96+M96+O96+Q96+S96+U96+W96+Y96</f>
        <v>19520346.3903307</v>
      </c>
      <c r="AF96" s="51"/>
      <c r="AG96" s="3"/>
      <c r="AH96" s="4"/>
      <c r="AI96" s="3"/>
      <c r="AJ96" s="4"/>
      <c r="AK96" s="4"/>
      <c r="AL96" s="4">
        <v>20803179.907853</v>
      </c>
      <c r="AM96" s="4">
        <f>AL96/$AL$680*$AM$680</f>
        <v>13928597.698992848</v>
      </c>
      <c r="AN96" s="4"/>
      <c r="AO96" s="4"/>
      <c r="AP96" s="4"/>
      <c r="AQ96" s="4"/>
      <c r="AR96" s="4">
        <v>397734.530392</v>
      </c>
      <c r="AS96" s="4">
        <f>AR96/$AR$680*$AS$680</f>
        <v>389908.59569453786</v>
      </c>
      <c r="AT96" s="3"/>
      <c r="AU96" s="4"/>
      <c r="AV96" s="4"/>
      <c r="AW96" s="4"/>
      <c r="AX96" s="4">
        <v>69209.796097</v>
      </c>
      <c r="AY96" s="4">
        <f>AX96/$AX$680*$AY$680</f>
        <v>67823.27939377955</v>
      </c>
      <c r="AZ96" s="3"/>
      <c r="BA96" s="4"/>
      <c r="BB96" s="3"/>
      <c r="BC96" s="4"/>
      <c r="BD96" s="4"/>
      <c r="BE96" s="4"/>
      <c r="BF96" s="4"/>
      <c r="BG96" s="4"/>
      <c r="BH96" s="4"/>
      <c r="BI96" s="4"/>
      <c r="BJ96" s="4">
        <v>39666665.462125</v>
      </c>
      <c r="BK96" s="4"/>
      <c r="BL96" s="4"/>
      <c r="BM96" s="4"/>
      <c r="BN96" s="4"/>
      <c r="BO96" s="4">
        <v>56114.3462</v>
      </c>
      <c r="BP96" s="4"/>
      <c r="BQ96" s="4">
        <f>AG96+AI96+AL96+AN96+AP96+AR96+AT96+AV96+AX96+AZ96+BB96+BD96+BF96+BH96+BK96+BM96+BO96</f>
        <v>21326238.580542</v>
      </c>
      <c r="BT96" s="4">
        <f>AJ96+AM96+AQ96+AS96+AU96+AW96+AY96+BA96+BC96+BG96+BL96+BN96+BP96</f>
        <v>14386329.574081166</v>
      </c>
      <c r="BW96" s="52"/>
      <c r="BX96" s="4">
        <f t="shared" si="2"/>
        <v>40480578.476054</v>
      </c>
      <c r="BY96" s="4">
        <f t="shared" si="3"/>
        <v>33906675.96441186</v>
      </c>
    </row>
    <row r="97" spans="1:77" ht="12.75">
      <c r="A97" s="5" t="s">
        <v>730</v>
      </c>
      <c r="B97" s="5" t="s">
        <v>96</v>
      </c>
      <c r="C97" s="5" t="s">
        <v>1341</v>
      </c>
      <c r="D97" s="6">
        <v>89421196.978679</v>
      </c>
      <c r="E97" s="6">
        <f>D97*RPI_inc</f>
        <v>91129882.27126522</v>
      </c>
      <c r="F97" s="6"/>
      <c r="G97" s="6"/>
      <c r="H97" s="6"/>
      <c r="I97" s="6"/>
      <c r="J97" s="6">
        <v>1384072.912884</v>
      </c>
      <c r="K97" s="6">
        <f>J97*RPI_inc</f>
        <v>1410520.165996433</v>
      </c>
      <c r="L97" s="6">
        <v>8873803.175088</v>
      </c>
      <c r="M97" s="6">
        <f>L97*RPI_inc</f>
        <v>9043366.293083312</v>
      </c>
      <c r="N97" s="6"/>
      <c r="O97" s="6"/>
      <c r="P97" s="6"/>
      <c r="Q97" s="6"/>
      <c r="R97" s="6"/>
      <c r="S97" s="6"/>
      <c r="T97" s="6"/>
      <c r="U97" s="6"/>
      <c r="V97" s="6">
        <v>53720.252271</v>
      </c>
      <c r="W97" s="6">
        <f>V97*RPI_inc</f>
        <v>54746.75390675159</v>
      </c>
      <c r="X97" s="6">
        <v>5135957.911714</v>
      </c>
      <c r="Y97" s="6">
        <f>X97*RPI_inc</f>
        <v>5234097.23486777</v>
      </c>
      <c r="Z97" s="14">
        <f>D97+F97+H97+J97+L97+N97+P97+R97+T97+V97+X97</f>
        <v>104868751.230636</v>
      </c>
      <c r="AC97" s="14">
        <f>E97+G97+I97+K97+M97+O97+Q97+S97+U97+W97+Y97</f>
        <v>106872612.71911949</v>
      </c>
      <c r="AF97" s="51"/>
      <c r="AG97" s="6">
        <v>2335977</v>
      </c>
      <c r="AH97" s="6">
        <f>AG97/$AG$680*$AH$680</f>
        <v>1758828.3174509734</v>
      </c>
      <c r="AI97" s="6">
        <v>106845955.684529</v>
      </c>
      <c r="AJ97" s="6">
        <f>AI97/$AI$680*$AJ$680</f>
        <v>73237628.5903967</v>
      </c>
      <c r="AK97" s="6">
        <f>AJ97-AH97</f>
        <v>71478800.27294573</v>
      </c>
      <c r="AL97" s="6"/>
      <c r="AM97" s="6"/>
      <c r="AN97" s="6"/>
      <c r="AO97" s="6"/>
      <c r="AP97" s="6"/>
      <c r="AQ97" s="6"/>
      <c r="AR97" s="6">
        <v>1999065.884605</v>
      </c>
      <c r="AS97" s="6">
        <f>AR97/$AR$680*$AS$680</f>
        <v>1959731.7109957233</v>
      </c>
      <c r="AT97" s="6">
        <v>11224631.755275</v>
      </c>
      <c r="AU97" s="6">
        <f>AT97/$AT$680*$AU$680</f>
        <v>9263728.513473758</v>
      </c>
      <c r="AV97" s="6"/>
      <c r="AW97" s="6"/>
      <c r="AX97" s="6"/>
      <c r="AY97" s="6"/>
      <c r="AZ97" s="6">
        <v>76206.462348</v>
      </c>
      <c r="BA97" s="6">
        <f>AZ97/$AZ$680*$BA$680</f>
        <v>74679.7763765515</v>
      </c>
      <c r="BB97" s="6">
        <v>7594412.182169</v>
      </c>
      <c r="BC97" s="6">
        <f>BB97/$BB$680*$BC$680</f>
        <v>7448452.642753419</v>
      </c>
      <c r="BD97" s="6"/>
      <c r="BE97" s="6"/>
      <c r="BF97" s="6"/>
      <c r="BG97" s="6"/>
      <c r="BH97" s="6"/>
      <c r="BI97" s="6"/>
      <c r="BJ97" s="6">
        <v>201103346.034843</v>
      </c>
      <c r="BK97" s="6"/>
      <c r="BL97" s="6"/>
      <c r="BM97" s="6"/>
      <c r="BN97" s="6"/>
      <c r="BO97" s="6">
        <v>307222.355049</v>
      </c>
      <c r="BP97" s="6"/>
      <c r="BQ97" s="6">
        <f>AG97+AI97+AL97+AN97+AP97+AR97+AT97+AV97+AX97+AZ97+BB97+BD97+BF97+BH97+BK97+BM97+BO97</f>
        <v>130383471.32397501</v>
      </c>
      <c r="BT97" s="6">
        <f>AJ97+AM97+AQ97+AS97+AU97+AW97+AY97+BA97+BC97+BG97+BL97+BN97+BP97</f>
        <v>91984221.23399615</v>
      </c>
      <c r="BW97" s="52"/>
      <c r="BX97" s="6">
        <f t="shared" si="2"/>
        <v>235252222.55461103</v>
      </c>
      <c r="BY97" s="6">
        <f t="shared" si="3"/>
        <v>198856833.95311564</v>
      </c>
    </row>
    <row r="98" spans="1:77" ht="12.75">
      <c r="A98" t="s">
        <v>731</v>
      </c>
      <c r="B98" t="s">
        <v>97</v>
      </c>
      <c r="J98"/>
      <c r="K98"/>
      <c r="L98"/>
      <c r="M98"/>
      <c r="V98"/>
      <c r="X98"/>
      <c r="Z98" s="12">
        <f>Z99+Z100</f>
        <v>37608807.852267995</v>
      </c>
      <c r="AC98" s="12">
        <f>AC99+AC100</f>
        <v>38327447.492757194</v>
      </c>
      <c r="AF98" s="51"/>
      <c r="AG98"/>
      <c r="AI98"/>
      <c r="AR98"/>
      <c r="AT98"/>
      <c r="AZ98"/>
      <c r="BB98"/>
      <c r="BD98"/>
      <c r="BE98"/>
      <c r="BF98"/>
      <c r="BH98"/>
      <c r="BI98">
        <v>841202</v>
      </c>
      <c r="BJ98" s="1">
        <v>74115159.246436</v>
      </c>
      <c r="BL98"/>
      <c r="BO98"/>
      <c r="BP98"/>
      <c r="BQ98" s="1">
        <f>BQ99+BQ100</f>
        <v>46642006.669859</v>
      </c>
      <c r="BT98" s="1">
        <f>BT99+BT100</f>
        <v>32823024.707114495</v>
      </c>
      <c r="BW98" s="52"/>
      <c r="BX98" s="1">
        <f t="shared" si="2"/>
        <v>84250814.522127</v>
      </c>
      <c r="BY98" s="1">
        <f t="shared" si="3"/>
        <v>71150472.19987169</v>
      </c>
    </row>
    <row r="99" spans="1:77" ht="12.75">
      <c r="A99" s="3" t="s">
        <v>732</v>
      </c>
      <c r="B99" s="3" t="s">
        <v>98</v>
      </c>
      <c r="C99" s="3" t="s">
        <v>1341</v>
      </c>
      <c r="D99" s="3"/>
      <c r="E99" s="4"/>
      <c r="F99" s="4">
        <v>5864226.701581</v>
      </c>
      <c r="G99" s="4">
        <f>F99*RPI_inc</f>
        <v>5976281.988872357</v>
      </c>
      <c r="H99" s="4"/>
      <c r="I99" s="4"/>
      <c r="J99" s="4">
        <v>141107.883509</v>
      </c>
      <c r="K99" s="4">
        <f>J99*RPI_inc</f>
        <v>143804.2124932484</v>
      </c>
      <c r="L99" s="3"/>
      <c r="M99" s="4"/>
      <c r="N99" s="4"/>
      <c r="O99" s="4"/>
      <c r="P99" s="4"/>
      <c r="Q99" s="4"/>
      <c r="R99" s="4"/>
      <c r="S99" s="4"/>
      <c r="T99" s="4">
        <v>42523.306286</v>
      </c>
      <c r="U99" s="4">
        <f>T99*RPI_inc</f>
        <v>43335.85353987261</v>
      </c>
      <c r="V99" s="3"/>
      <c r="W99" s="4"/>
      <c r="X99" s="3"/>
      <c r="Y99" s="4"/>
      <c r="Z99" s="13">
        <f>D99+F99+H99+J99+L99+N99+P99+R99+T99+V99+X99</f>
        <v>6047857.891376</v>
      </c>
      <c r="AC99" s="13">
        <f>E99+G99+I99+K99+M99+O99+Q99+S99+U99+W99+Y99</f>
        <v>6163422.054905478</v>
      </c>
      <c r="AF99" s="51"/>
      <c r="AG99" s="3"/>
      <c r="AH99" s="4"/>
      <c r="AI99" s="3"/>
      <c r="AJ99" s="4"/>
      <c r="AK99" s="4"/>
      <c r="AL99" s="4">
        <v>6478673.408917</v>
      </c>
      <c r="AM99" s="4">
        <f>AL99/$AL$680*$AM$680</f>
        <v>4337742.399752221</v>
      </c>
      <c r="AN99" s="4"/>
      <c r="AO99" s="4"/>
      <c r="AP99" s="4"/>
      <c r="AQ99" s="4"/>
      <c r="AR99" s="4">
        <v>203807.150147</v>
      </c>
      <c r="AS99" s="4">
        <f>AR99/$AR$680*$AS$680</f>
        <v>199796.98425480476</v>
      </c>
      <c r="AT99" s="3"/>
      <c r="AU99" s="4"/>
      <c r="AV99" s="4"/>
      <c r="AW99" s="4"/>
      <c r="AX99" s="4">
        <v>60322.701318</v>
      </c>
      <c r="AY99" s="4">
        <f>AX99/$AX$680*$AY$680</f>
        <v>59114.22451735226</v>
      </c>
      <c r="AZ99" s="3"/>
      <c r="BA99" s="4"/>
      <c r="BB99" s="3"/>
      <c r="BC99" s="4"/>
      <c r="BD99" s="4"/>
      <c r="BE99" s="4"/>
      <c r="BF99" s="4"/>
      <c r="BG99" s="4"/>
      <c r="BH99" s="4"/>
      <c r="BI99" s="4"/>
      <c r="BJ99" s="4">
        <v>12318741.344553</v>
      </c>
      <c r="BK99" s="4">
        <f>BJ99/BJ98*BI98</f>
        <v>139816.8736582588</v>
      </c>
      <c r="BL99" s="4">
        <f>BH99+BK99</f>
        <v>139816.8736582588</v>
      </c>
      <c r="BM99" s="4"/>
      <c r="BN99" s="4"/>
      <c r="BO99" s="4">
        <v>17717.738817</v>
      </c>
      <c r="BP99" s="4"/>
      <c r="BQ99" s="4">
        <f>AG99+AI99+AL99+AN99+AP99+AR99+AT99+AV99+AX99+AZ99+BB99+BD99+BF99+BH99+BK99+BM99+BO99</f>
        <v>6900337.872857259</v>
      </c>
      <c r="BT99" s="4">
        <f>AJ99+AM99+AQ99+AS99+AU99+AW99+AY99+BA99+BC99+BG99+BL99+BN99+BP99</f>
        <v>4736470.482182636</v>
      </c>
      <c r="BW99" s="52"/>
      <c r="BX99" s="4">
        <f t="shared" si="2"/>
        <v>12948195.764233258</v>
      </c>
      <c r="BY99" s="4">
        <f t="shared" si="3"/>
        <v>10899892.537088115</v>
      </c>
    </row>
    <row r="100" spans="1:77" ht="12.75">
      <c r="A100" s="5" t="s">
        <v>733</v>
      </c>
      <c r="B100" s="5" t="s">
        <v>99</v>
      </c>
      <c r="C100" s="5" t="s">
        <v>1341</v>
      </c>
      <c r="D100" s="6">
        <v>27098243.183767</v>
      </c>
      <c r="E100" s="6">
        <f>D100*RPI_inc</f>
        <v>27616044.00893452</v>
      </c>
      <c r="F100" s="6"/>
      <c r="G100" s="6"/>
      <c r="H100" s="6"/>
      <c r="I100" s="6"/>
      <c r="J100" s="6">
        <v>679176.746423</v>
      </c>
      <c r="K100" s="6">
        <f>J100*RPI_inc</f>
        <v>692154.6460361783</v>
      </c>
      <c r="L100" s="6">
        <v>3086760.031138</v>
      </c>
      <c r="M100" s="6">
        <f>L100*RPI_inc</f>
        <v>3145742.706892229</v>
      </c>
      <c r="N100" s="6"/>
      <c r="O100" s="6"/>
      <c r="P100" s="6"/>
      <c r="Q100" s="6"/>
      <c r="R100" s="6"/>
      <c r="S100" s="6"/>
      <c r="T100" s="6"/>
      <c r="U100" s="6"/>
      <c r="V100" s="6">
        <v>55675.197009</v>
      </c>
      <c r="W100" s="6">
        <f>V100*RPI_inc</f>
        <v>56739.0542766879</v>
      </c>
      <c r="X100" s="6">
        <v>641094.802555</v>
      </c>
      <c r="Y100" s="6">
        <f>X100*RPI_inc</f>
        <v>653345.0217121019</v>
      </c>
      <c r="Z100" s="14">
        <f>D100+F100+H100+J100+L100+N100+P100+R100+T100+V100+X100</f>
        <v>31560949.960891996</v>
      </c>
      <c r="AC100" s="14">
        <f>E100+G100+I100+K100+M100+O100+Q100+S100+U100+W100+Y100</f>
        <v>32164025.437851716</v>
      </c>
      <c r="AF100" s="51"/>
      <c r="AG100" s="6">
        <v>656765</v>
      </c>
      <c r="AH100" s="6">
        <f>AG100/$AG$680*$AH$680</f>
        <v>494498.39613604435</v>
      </c>
      <c r="AI100" s="6">
        <v>32378650.56796</v>
      </c>
      <c r="AJ100" s="6">
        <f>AI100/$AI$680*$AJ$680</f>
        <v>22193966.719302364</v>
      </c>
      <c r="AK100" s="6">
        <f>AJ100-AH100</f>
        <v>21699468.32316632</v>
      </c>
      <c r="AL100" s="6"/>
      <c r="AM100" s="6"/>
      <c r="AN100" s="6"/>
      <c r="AO100" s="6"/>
      <c r="AP100" s="6"/>
      <c r="AQ100" s="6"/>
      <c r="AR100" s="6">
        <v>980959.204354</v>
      </c>
      <c r="AS100" s="6">
        <f>AR100/$AR$680*$AS$680</f>
        <v>961657.5795577256</v>
      </c>
      <c r="AT100" s="6">
        <v>3904497.765253</v>
      </c>
      <c r="AU100" s="6">
        <f>AT100/$AT$680*$AU$680</f>
        <v>3222395.8939027684</v>
      </c>
      <c r="AV100" s="6"/>
      <c r="AW100" s="6"/>
      <c r="AX100" s="6"/>
      <c r="AY100" s="6"/>
      <c r="AZ100" s="6">
        <v>78979.707376</v>
      </c>
      <c r="BA100" s="6">
        <f>AZ100/$AZ$680*$BA$680</f>
        <v>77397.46346170535</v>
      </c>
      <c r="BB100" s="6">
        <v>947970.809368</v>
      </c>
      <c r="BC100" s="6">
        <f>BB100/$BB$680*$BC$680</f>
        <v>929751.4423655559</v>
      </c>
      <c r="BD100" s="6"/>
      <c r="BE100" s="6"/>
      <c r="BF100" s="6"/>
      <c r="BG100" s="6"/>
      <c r="BH100" s="6"/>
      <c r="BI100" s="6"/>
      <c r="BJ100" s="6">
        <v>61796417.901883</v>
      </c>
      <c r="BK100" s="6">
        <f>BJ100/BJ98*BI98</f>
        <v>701385.1263417412</v>
      </c>
      <c r="BL100" s="6">
        <f>BH100+BK100</f>
        <v>701385.1263417412</v>
      </c>
      <c r="BM100" s="6"/>
      <c r="BN100" s="6"/>
      <c r="BO100" s="6">
        <v>92460.616349</v>
      </c>
      <c r="BP100" s="6"/>
      <c r="BQ100" s="6">
        <f>AG100+AI100+AL100+AN100+AP100+AR100+AT100+AV100+AX100+AZ100+BB100+BD100+BF100+BH100+BK100+BM100+BO100</f>
        <v>39741668.79700174</v>
      </c>
      <c r="BT100" s="6">
        <f>AJ100+AM100+AQ100+AS100+AU100+AW100+AY100+BA100+BC100+BG100+BL100+BN100+BP100</f>
        <v>28086554.22493186</v>
      </c>
      <c r="BW100" s="52"/>
      <c r="BX100" s="6">
        <f t="shared" si="2"/>
        <v>71302618.75789374</v>
      </c>
      <c r="BY100" s="6">
        <f t="shared" si="3"/>
        <v>60250579.66278358</v>
      </c>
    </row>
    <row r="101" spans="1:77" ht="12.75">
      <c r="A101" t="s">
        <v>734</v>
      </c>
      <c r="B101" t="s">
        <v>100</v>
      </c>
      <c r="J101"/>
      <c r="K101"/>
      <c r="L101"/>
      <c r="M101"/>
      <c r="V101"/>
      <c r="X101"/>
      <c r="Z101" s="12">
        <f>Z102+Z103</f>
        <v>73633778.65476601</v>
      </c>
      <c r="AC101" s="12">
        <f>AC102+AC103</f>
        <v>75040793.53351949</v>
      </c>
      <c r="AF101" s="51"/>
      <c r="AG101"/>
      <c r="AI101"/>
      <c r="AR101"/>
      <c r="AT101"/>
      <c r="AZ101"/>
      <c r="BB101"/>
      <c r="BD101"/>
      <c r="BE101"/>
      <c r="BF101"/>
      <c r="BH101"/>
      <c r="BI101">
        <v>1598869</v>
      </c>
      <c r="BJ101" s="1">
        <v>150013452.418241</v>
      </c>
      <c r="BL101"/>
      <c r="BO101"/>
      <c r="BP101"/>
      <c r="BQ101" s="1">
        <f>BQ102+BQ103</f>
        <v>91230320.34226698</v>
      </c>
      <c r="BT101" s="1">
        <f>BT102+BT103</f>
        <v>63937706.83686654</v>
      </c>
      <c r="BW101" s="52"/>
      <c r="BX101" s="1">
        <f t="shared" si="2"/>
        <v>164864098.997033</v>
      </c>
      <c r="BY101" s="1">
        <f t="shared" si="3"/>
        <v>138978500.37038603</v>
      </c>
    </row>
    <row r="102" spans="1:77" ht="12.75">
      <c r="A102" s="3" t="s">
        <v>735</v>
      </c>
      <c r="B102" s="3" t="s">
        <v>101</v>
      </c>
      <c r="C102" s="3" t="s">
        <v>1341</v>
      </c>
      <c r="D102" s="3"/>
      <c r="E102" s="4"/>
      <c r="F102" s="4">
        <v>10864002.537131</v>
      </c>
      <c r="G102" s="4">
        <f>F102*RPI_inc</f>
        <v>11071594.942299109</v>
      </c>
      <c r="H102" s="4"/>
      <c r="I102" s="4"/>
      <c r="J102" s="4">
        <v>252844.682243</v>
      </c>
      <c r="K102" s="4">
        <f>J102*RPI_inc</f>
        <v>257676.1092922293</v>
      </c>
      <c r="L102" s="3"/>
      <c r="M102" s="4"/>
      <c r="N102" s="4"/>
      <c r="O102" s="4"/>
      <c r="P102" s="4"/>
      <c r="Q102" s="4"/>
      <c r="R102" s="4"/>
      <c r="S102" s="4"/>
      <c r="T102" s="4">
        <v>53323.968682</v>
      </c>
      <c r="U102" s="4">
        <f>T102*RPI_inc</f>
        <v>54342.89801987261</v>
      </c>
      <c r="V102" s="3"/>
      <c r="W102" s="4"/>
      <c r="X102" s="3"/>
      <c r="Y102" s="4"/>
      <c r="Z102" s="13">
        <f>D102+F102+H102+J102+L102+N102+P102+R102+T102+V102+X102</f>
        <v>11170171.188056001</v>
      </c>
      <c r="AC102" s="13">
        <f>E102+G102+I102+K102+M102+O102+Q102+S102+U102+W102+Y102</f>
        <v>11383613.949611211</v>
      </c>
      <c r="AF102" s="51"/>
      <c r="AG102" s="3"/>
      <c r="AH102" s="4"/>
      <c r="AI102" s="3"/>
      <c r="AJ102" s="4"/>
      <c r="AK102" s="4"/>
      <c r="AL102" s="4">
        <v>12002319.816992</v>
      </c>
      <c r="AM102" s="4">
        <f>AL102/$AL$680*$AM$680</f>
        <v>8036054.340059035</v>
      </c>
      <c r="AN102" s="4"/>
      <c r="AO102" s="4"/>
      <c r="AP102" s="4"/>
      <c r="AQ102" s="4"/>
      <c r="AR102" s="4">
        <v>365192.594748</v>
      </c>
      <c r="AS102" s="4">
        <f>AR102/$AR$680*$AS$680</f>
        <v>358006.964182613</v>
      </c>
      <c r="AT102" s="3"/>
      <c r="AU102" s="4"/>
      <c r="AV102" s="4"/>
      <c r="AW102" s="4"/>
      <c r="AX102" s="4">
        <v>75644.302309</v>
      </c>
      <c r="AY102" s="4">
        <f>AX102/$AX$680*$AY$680</f>
        <v>74128.87971610737</v>
      </c>
      <c r="AZ102" s="3"/>
      <c r="BA102" s="4"/>
      <c r="BB102" s="3"/>
      <c r="BC102" s="4"/>
      <c r="BD102" s="4"/>
      <c r="BE102" s="4"/>
      <c r="BF102" s="4"/>
      <c r="BG102" s="4"/>
      <c r="BH102" s="4"/>
      <c r="BI102" s="4"/>
      <c r="BJ102" s="4">
        <v>23362470.577633</v>
      </c>
      <c r="BK102" s="4">
        <f>BJ102/BJ101*BI101</f>
        <v>249001.20201118354</v>
      </c>
      <c r="BL102" s="4">
        <f>BH102+BK102</f>
        <v>249001.20201118354</v>
      </c>
      <c r="BM102" s="4"/>
      <c r="BN102" s="4"/>
      <c r="BO102" s="4">
        <v>32724.012238</v>
      </c>
      <c r="BP102" s="4"/>
      <c r="BQ102" s="4">
        <f>AG102+AI102+AL102+AN102+AP102+AR102+AT102+AV102+AX102+AZ102+BB102+BD102+BF102+BH102+BK102+BM102+BO102</f>
        <v>12724881.928298183</v>
      </c>
      <c r="BT102" s="4">
        <f>AJ102+AM102+AQ102+AS102+AU102+AW102+AY102+BA102+BC102+BG102+BL102+BN102+BP102</f>
        <v>8717191.385968938</v>
      </c>
      <c r="BW102" s="52"/>
      <c r="BX102" s="4">
        <f t="shared" si="2"/>
        <v>23895053.116354182</v>
      </c>
      <c r="BY102" s="4">
        <f t="shared" si="3"/>
        <v>20100805.335580148</v>
      </c>
    </row>
    <row r="103" spans="1:77" ht="12.75">
      <c r="A103" s="5" t="s">
        <v>736</v>
      </c>
      <c r="B103" s="5" t="s">
        <v>102</v>
      </c>
      <c r="C103" s="5" t="s">
        <v>1341</v>
      </c>
      <c r="D103" s="6">
        <v>54137192.000671</v>
      </c>
      <c r="E103" s="6">
        <f>D103*RPI_inc</f>
        <v>55171660.6376265</v>
      </c>
      <c r="F103" s="6"/>
      <c r="G103" s="6"/>
      <c r="H103" s="6"/>
      <c r="I103" s="6"/>
      <c r="J103" s="6">
        <v>1330337.174844</v>
      </c>
      <c r="K103" s="6">
        <f>J103*RPI_inc</f>
        <v>1355757.6304142675</v>
      </c>
      <c r="L103" s="6">
        <v>6140770.011728</v>
      </c>
      <c r="M103" s="6">
        <f>L103*RPI_inc</f>
        <v>6258109.566092229</v>
      </c>
      <c r="N103" s="6"/>
      <c r="O103" s="6"/>
      <c r="P103" s="6"/>
      <c r="Q103" s="6"/>
      <c r="R103" s="6"/>
      <c r="S103" s="6"/>
      <c r="T103" s="6"/>
      <c r="U103" s="6"/>
      <c r="V103" s="6">
        <v>56367.57327</v>
      </c>
      <c r="W103" s="6">
        <f>V103*RPI_inc</f>
        <v>57444.66065732484</v>
      </c>
      <c r="X103" s="6">
        <v>798940.706197</v>
      </c>
      <c r="Y103" s="6">
        <f>X103*RPI_inc</f>
        <v>814207.0891179618</v>
      </c>
      <c r="Z103" s="14">
        <f>D103+F103+H103+J103+L103+N103+P103+R103+T103+V103+X103</f>
        <v>62463607.46671</v>
      </c>
      <c r="AC103" s="14">
        <f>E103+G103+I103+K103+M103+O103+Q103+S103+U103+W103+Y103</f>
        <v>63657179.58390828</v>
      </c>
      <c r="AF103" s="51"/>
      <c r="AG103" s="6">
        <v>1335767</v>
      </c>
      <c r="AH103" s="6">
        <f>AG103/$AG$680*$AH$680</f>
        <v>1005739.7076754328</v>
      </c>
      <c r="AI103" s="6">
        <v>64686452.573071</v>
      </c>
      <c r="AJ103" s="6">
        <f>AI103/$AI$680*$AJ$680</f>
        <v>44339370.24593304</v>
      </c>
      <c r="AK103" s="6">
        <f>AJ103-AH103</f>
        <v>43333630.53825761</v>
      </c>
      <c r="AL103" s="6"/>
      <c r="AM103" s="6"/>
      <c r="AN103" s="6"/>
      <c r="AO103" s="6"/>
      <c r="AP103" s="6"/>
      <c r="AQ103" s="6"/>
      <c r="AR103" s="6">
        <v>1921453.441142</v>
      </c>
      <c r="AS103" s="6">
        <f>AR103/$AR$680*$AS$680</f>
        <v>1883646.391450411</v>
      </c>
      <c r="AT103" s="6">
        <v>7767569.408007</v>
      </c>
      <c r="AU103" s="6">
        <f>AT103/$AT$680*$AU$680</f>
        <v>6410602.661555021</v>
      </c>
      <c r="AV103" s="6"/>
      <c r="AW103" s="6"/>
      <c r="AX103" s="6"/>
      <c r="AY103" s="6"/>
      <c r="AZ103" s="6">
        <v>79961.898324</v>
      </c>
      <c r="BA103" s="6">
        <f>AZ103/$AZ$680*$BA$680</f>
        <v>78359.97763826899</v>
      </c>
      <c r="BB103" s="6">
        <v>1181373.589167</v>
      </c>
      <c r="BC103" s="6">
        <f>BB103/$BB$680*$BC$680</f>
        <v>1158668.3763320418</v>
      </c>
      <c r="BD103" s="6"/>
      <c r="BE103" s="6"/>
      <c r="BF103" s="6"/>
      <c r="BG103" s="6"/>
      <c r="BH103" s="6"/>
      <c r="BI103" s="6"/>
      <c r="BJ103" s="6">
        <v>126650981.840608</v>
      </c>
      <c r="BK103" s="6">
        <f>BJ103/BJ101*BI101</f>
        <v>1349867.7979888166</v>
      </c>
      <c r="BL103" s="6">
        <f>BH103+BK103</f>
        <v>1349867.7979888166</v>
      </c>
      <c r="BM103" s="6"/>
      <c r="BN103" s="6"/>
      <c r="BO103" s="6">
        <v>182992.706269</v>
      </c>
      <c r="BP103" s="6"/>
      <c r="BQ103" s="6">
        <f>AG103+AI103+AL103+AN103+AP103+AR103+AT103+AV103+AX103+AZ103+BB103+BD103+BF103+BH103+BK103+BM103+BO103</f>
        <v>78505438.4139688</v>
      </c>
      <c r="BT103" s="6">
        <f>AJ103+AM103+AQ103+AS103+AU103+AW103+AY103+BA103+BC103+BG103+BL103+BN103+BP103</f>
        <v>55220515.450897604</v>
      </c>
      <c r="BW103" s="52"/>
      <c r="BX103" s="6">
        <f t="shared" si="2"/>
        <v>140969045.8806788</v>
      </c>
      <c r="BY103" s="6">
        <f t="shared" si="3"/>
        <v>118877695.0348059</v>
      </c>
    </row>
    <row r="104" spans="1:77" ht="12.75">
      <c r="A104" t="s">
        <v>737</v>
      </c>
      <c r="B104" t="s">
        <v>103</v>
      </c>
      <c r="J104"/>
      <c r="K104"/>
      <c r="L104"/>
      <c r="M104"/>
      <c r="V104"/>
      <c r="X104"/>
      <c r="Z104" s="12">
        <f>Z105+Z106</f>
        <v>141102001.96572697</v>
      </c>
      <c r="AC104" s="12">
        <f>AC105+AC106</f>
        <v>143798218.56379822</v>
      </c>
      <c r="AF104" s="51"/>
      <c r="AG104"/>
      <c r="AI104"/>
      <c r="AR104"/>
      <c r="AT104"/>
      <c r="AZ104"/>
      <c r="BB104"/>
      <c r="BD104"/>
      <c r="BE104"/>
      <c r="BF104"/>
      <c r="BH104"/>
      <c r="BI104"/>
      <c r="BJ104" s="1">
        <v>268072661.676609</v>
      </c>
      <c r="BL104"/>
      <c r="BO104"/>
      <c r="BP104"/>
      <c r="BQ104" s="1">
        <f>BQ105+BQ106</f>
        <v>175763796.25344104</v>
      </c>
      <c r="BT104" s="1">
        <f>BT105+BT106</f>
        <v>123156749.02638951</v>
      </c>
      <c r="BW104" s="52"/>
      <c r="BX104" s="1">
        <f t="shared" si="2"/>
        <v>316865798.219168</v>
      </c>
      <c r="BY104" s="1">
        <f t="shared" si="3"/>
        <v>266954967.59018773</v>
      </c>
    </row>
    <row r="105" spans="1:77" ht="12.75">
      <c r="A105" s="3" t="s">
        <v>738</v>
      </c>
      <c r="B105" s="3" t="s">
        <v>104</v>
      </c>
      <c r="C105" s="3" t="s">
        <v>1341</v>
      </c>
      <c r="D105" s="3"/>
      <c r="E105" s="4"/>
      <c r="F105" s="4">
        <v>23354558.962889</v>
      </c>
      <c r="G105" s="4">
        <f>F105*RPI_inc</f>
        <v>23800824.4207786</v>
      </c>
      <c r="H105" s="4"/>
      <c r="I105" s="4"/>
      <c r="J105" s="4">
        <v>526708.992232</v>
      </c>
      <c r="K105" s="4">
        <f>J105*RPI_inc</f>
        <v>536773.4952682803</v>
      </c>
      <c r="L105" s="3"/>
      <c r="M105" s="4"/>
      <c r="N105" s="4"/>
      <c r="O105" s="4"/>
      <c r="P105" s="4"/>
      <c r="Q105" s="4"/>
      <c r="R105" s="4"/>
      <c r="S105" s="4"/>
      <c r="T105" s="4">
        <v>356384.38928</v>
      </c>
      <c r="U105" s="4">
        <f>T105*RPI_inc</f>
        <v>363194.2820687898</v>
      </c>
      <c r="V105" s="3"/>
      <c r="W105" s="4"/>
      <c r="X105" s="3"/>
      <c r="Y105" s="4"/>
      <c r="Z105" s="13">
        <f>D105+F105+H105+J105+L105+N105+P105+R105+T105+V105+X105</f>
        <v>24237652.344401</v>
      </c>
      <c r="AC105" s="13">
        <f>E105+G105+I105+K105+M105+O105+Q105+S105+U105+W105+Y105</f>
        <v>24700792.19811567</v>
      </c>
      <c r="AF105" s="51"/>
      <c r="AG105" s="3"/>
      <c r="AH105" s="4"/>
      <c r="AI105" s="3"/>
      <c r="AJ105" s="4"/>
      <c r="AK105" s="4"/>
      <c r="AL105" s="4">
        <v>25801621.906785</v>
      </c>
      <c r="AM105" s="4">
        <f>AL105/$AL$680*$AM$680</f>
        <v>17275263.354592554</v>
      </c>
      <c r="AN105" s="4"/>
      <c r="AO105" s="4"/>
      <c r="AP105" s="4"/>
      <c r="AQ105" s="4"/>
      <c r="AR105" s="4">
        <v>760744.58772</v>
      </c>
      <c r="AS105" s="4">
        <f>AR105/$AR$680*$AS$680</f>
        <v>745775.9666674684</v>
      </c>
      <c r="AT105" s="3"/>
      <c r="AU105" s="4"/>
      <c r="AV105" s="4"/>
      <c r="AW105" s="4"/>
      <c r="AX105" s="4">
        <v>505559.678837</v>
      </c>
      <c r="AY105" s="4">
        <f>AX105/$AX$680*$AY$680</f>
        <v>495431.5325526238</v>
      </c>
      <c r="AZ105" s="3"/>
      <c r="BA105" s="4"/>
      <c r="BB105" s="3"/>
      <c r="BC105" s="4"/>
      <c r="BD105" s="4"/>
      <c r="BE105" s="4"/>
      <c r="BF105" s="4"/>
      <c r="BG105" s="4"/>
      <c r="BH105" s="4">
        <v>493179.376818</v>
      </c>
      <c r="BI105" s="4"/>
      <c r="BJ105" s="4">
        <v>47802295.539962</v>
      </c>
      <c r="BK105" s="4"/>
      <c r="BL105" s="4">
        <f>BH105+BK105</f>
        <v>493179.376818</v>
      </c>
      <c r="BM105" s="4"/>
      <c r="BN105" s="4"/>
      <c r="BO105" s="4">
        <v>71006.363161</v>
      </c>
      <c r="BP105" s="4"/>
      <c r="BQ105" s="4">
        <f>AG105+AI105+AL105+AN105+AP105+AR105+AT105+AV105+AX105+AZ105+BB105+BD105+BF105+BH105+BK105+BM105+BO105</f>
        <v>27632111.913321003</v>
      </c>
      <c r="BT105" s="4">
        <f>AJ105+AM105+AQ105+AS105+AU105+AW105+AY105+BA105+BC105+BG105+BL105+BN105+BP105</f>
        <v>19009650.230630647</v>
      </c>
      <c r="BW105" s="52"/>
      <c r="BX105" s="4">
        <f t="shared" si="2"/>
        <v>51869764.257722005</v>
      </c>
      <c r="BY105" s="4">
        <f t="shared" si="3"/>
        <v>43710442.42874631</v>
      </c>
    </row>
    <row r="106" spans="1:77" ht="12.75">
      <c r="A106" s="5" t="s">
        <v>739</v>
      </c>
      <c r="B106" s="5" t="s">
        <v>105</v>
      </c>
      <c r="C106" s="5" t="s">
        <v>1341</v>
      </c>
      <c r="D106" s="6">
        <v>100944315.408543</v>
      </c>
      <c r="E106" s="6">
        <f>D106*RPI_inc</f>
        <v>102873187.67749606</v>
      </c>
      <c r="F106" s="6"/>
      <c r="G106" s="6"/>
      <c r="H106" s="6"/>
      <c r="I106" s="6"/>
      <c r="J106" s="6">
        <v>2198688.834026</v>
      </c>
      <c r="K106" s="6">
        <f>J106*RPI_inc</f>
        <v>2240701.9964596177</v>
      </c>
      <c r="L106" s="6">
        <v>9376426.530978</v>
      </c>
      <c r="M106" s="6">
        <f>L106*RPI_inc</f>
        <v>9555593.916920254</v>
      </c>
      <c r="N106" s="6"/>
      <c r="O106" s="6"/>
      <c r="P106" s="6"/>
      <c r="Q106" s="6"/>
      <c r="R106" s="6"/>
      <c r="S106" s="6"/>
      <c r="T106" s="6"/>
      <c r="U106" s="6"/>
      <c r="V106" s="6">
        <v>59299.990377</v>
      </c>
      <c r="W106" s="6">
        <f>V106*RPI_inc</f>
        <v>60433.1112122293</v>
      </c>
      <c r="X106" s="6">
        <v>4285618.857402</v>
      </c>
      <c r="Y106" s="6">
        <f>X106*RPI_inc</f>
        <v>4367509.663594395</v>
      </c>
      <c r="Z106" s="14">
        <f>D106+F106+H106+J106+L106+N106+P106+R106+T106+V106+X106</f>
        <v>116864349.62132598</v>
      </c>
      <c r="AC106" s="14">
        <f>E106+G106+I106+K106+M106+O106+Q106+S106+U106+W106+Y106</f>
        <v>119097426.36568256</v>
      </c>
      <c r="AF106" s="51"/>
      <c r="AG106" s="6">
        <v>3445076</v>
      </c>
      <c r="AH106" s="6">
        <f>AG106/$AG$680*$AH$680</f>
        <v>2593902.775828156</v>
      </c>
      <c r="AI106" s="6">
        <v>120614487.561802</v>
      </c>
      <c r="AJ106" s="6">
        <f>AI106/$AI$680*$AJ$680</f>
        <v>82675277.56271778</v>
      </c>
      <c r="AK106" s="6">
        <f>AJ106-AH106</f>
        <v>80081374.78688963</v>
      </c>
      <c r="AL106" s="6"/>
      <c r="AM106" s="6"/>
      <c r="AN106" s="6"/>
      <c r="AO106" s="6"/>
      <c r="AP106" s="6"/>
      <c r="AQ106" s="6"/>
      <c r="AR106" s="6">
        <v>3175644.720771</v>
      </c>
      <c r="AS106" s="6">
        <f>AR106/$AR$680*$AS$680</f>
        <v>3113159.85635</v>
      </c>
      <c r="AT106" s="6">
        <v>11860408.994205</v>
      </c>
      <c r="AU106" s="6">
        <f>AT106/$AT$680*$AU$680</f>
        <v>9788437.730212705</v>
      </c>
      <c r="AV106" s="6"/>
      <c r="AW106" s="6"/>
      <c r="AX106" s="6"/>
      <c r="AY106" s="6"/>
      <c r="AZ106" s="6">
        <v>84121.765867</v>
      </c>
      <c r="BA106" s="6">
        <f>AZ106/$AZ$680*$BA$680</f>
        <v>82436.50826697974</v>
      </c>
      <c r="BB106" s="6">
        <v>6337037.144434</v>
      </c>
      <c r="BC106" s="6">
        <f>BB106/$BB$680*$BC$680</f>
        <v>6215243.515029381</v>
      </c>
      <c r="BD106" s="6"/>
      <c r="BE106" s="6"/>
      <c r="BF106" s="6"/>
      <c r="BG106" s="6"/>
      <c r="BH106" s="6">
        <v>2272543.623182</v>
      </c>
      <c r="BI106" s="6"/>
      <c r="BJ106" s="6">
        <v>220270366.136646</v>
      </c>
      <c r="BK106" s="6"/>
      <c r="BL106" s="6">
        <f>BH106+BK106</f>
        <v>2272543.623182</v>
      </c>
      <c r="BM106" s="6"/>
      <c r="BN106" s="6"/>
      <c r="BO106" s="6">
        <v>342364.529859</v>
      </c>
      <c r="BP106" s="6"/>
      <c r="BQ106" s="6">
        <f>AG106+AI106+AL106+AN106+AP106+AR106+AT106+AV106+AX106+AZ106+BB106+BD106+BF106+BH106+BK106+BM106+BO106</f>
        <v>148131684.34012002</v>
      </c>
      <c r="BT106" s="6">
        <f>AJ106+AM106+AQ106+AS106+AU106+AW106+AY106+BA106+BC106+BG106+BL106+BN106+BP106</f>
        <v>104147098.79575886</v>
      </c>
      <c r="BW106" s="52"/>
      <c r="BX106" s="6">
        <f t="shared" si="2"/>
        <v>264996033.961446</v>
      </c>
      <c r="BY106" s="6">
        <f t="shared" si="3"/>
        <v>223244525.16144142</v>
      </c>
    </row>
    <row r="107" spans="1:77" ht="12.75">
      <c r="A107" t="s">
        <v>740</v>
      </c>
      <c r="B107" t="s">
        <v>106</v>
      </c>
      <c r="J107"/>
      <c r="K107"/>
      <c r="L107"/>
      <c r="M107"/>
      <c r="V107"/>
      <c r="X107"/>
      <c r="Z107" s="12">
        <f>Z108+Z109</f>
        <v>64243404.46145599</v>
      </c>
      <c r="AC107" s="12">
        <f>AC108+AC109</f>
        <v>65470985.43842649</v>
      </c>
      <c r="AF107" s="51"/>
      <c r="AG107"/>
      <c r="AI107"/>
      <c r="AR107"/>
      <c r="AT107"/>
      <c r="AZ107"/>
      <c r="BB107"/>
      <c r="BD107"/>
      <c r="BE107"/>
      <c r="BF107"/>
      <c r="BH107"/>
      <c r="BI107"/>
      <c r="BJ107" s="1">
        <v>122804289.634634</v>
      </c>
      <c r="BL107"/>
      <c r="BO107"/>
      <c r="BP107"/>
      <c r="BQ107" s="1">
        <f>BQ108+BQ109</f>
        <v>78945053.06106299</v>
      </c>
      <c r="BT107" s="1">
        <f>BT108+BT109</f>
        <v>55968141.02777331</v>
      </c>
      <c r="BW107" s="52"/>
      <c r="BX107" s="1">
        <f t="shared" si="2"/>
        <v>143188457.522519</v>
      </c>
      <c r="BY107" s="1">
        <f t="shared" si="3"/>
        <v>121439126.4661998</v>
      </c>
    </row>
    <row r="108" spans="1:77" ht="12.75">
      <c r="A108" s="3" t="s">
        <v>741</v>
      </c>
      <c r="B108" s="3" t="s">
        <v>107</v>
      </c>
      <c r="C108" s="3" t="s">
        <v>1341</v>
      </c>
      <c r="D108" s="3"/>
      <c r="E108" s="4"/>
      <c r="F108" s="4">
        <v>8764255.635876</v>
      </c>
      <c r="G108" s="4">
        <f>F108*RPI_inc</f>
        <v>8931725.488790829</v>
      </c>
      <c r="H108" s="4"/>
      <c r="I108" s="4"/>
      <c r="J108" s="4">
        <v>175375.0041</v>
      </c>
      <c r="K108" s="4">
        <f>J108*RPI_inc</f>
        <v>178726.11882802547</v>
      </c>
      <c r="L108" s="3"/>
      <c r="M108" s="4"/>
      <c r="N108" s="4"/>
      <c r="O108" s="4"/>
      <c r="P108" s="4"/>
      <c r="Q108" s="4"/>
      <c r="R108" s="4"/>
      <c r="S108" s="4"/>
      <c r="T108" s="4">
        <v>43037.29384</v>
      </c>
      <c r="U108" s="4">
        <f>T108*RPI_inc</f>
        <v>43859.66251210191</v>
      </c>
      <c r="V108" s="3"/>
      <c r="W108" s="4"/>
      <c r="X108" s="3"/>
      <c r="Y108" s="4"/>
      <c r="Z108" s="13">
        <f>D108+F108+H108+J108+L108+N108+P108+R108+T108+V108+X108</f>
        <v>8982667.933816</v>
      </c>
      <c r="AC108" s="13">
        <f>E108+G108+I108+K108+M108+O108+Q108+S108+U108+W108+Y108</f>
        <v>9154311.270130955</v>
      </c>
      <c r="AF108" s="51"/>
      <c r="AG108" s="3"/>
      <c r="AH108" s="4"/>
      <c r="AI108" s="3"/>
      <c r="AJ108" s="4"/>
      <c r="AK108" s="4"/>
      <c r="AL108" s="4">
        <v>9682563.929835</v>
      </c>
      <c r="AM108" s="4">
        <f>AL108/$AL$680*$AM$680</f>
        <v>6482880.899498488</v>
      </c>
      <c r="AN108" s="4"/>
      <c r="AO108" s="4"/>
      <c r="AP108" s="4"/>
      <c r="AQ108" s="4"/>
      <c r="AR108" s="4">
        <v>253300.37489</v>
      </c>
      <c r="AS108" s="4">
        <f>AR108/$AR$680*$AS$680</f>
        <v>248316.3666099593</v>
      </c>
      <c r="AT108" s="3"/>
      <c r="AU108" s="4"/>
      <c r="AV108" s="4"/>
      <c r="AW108" s="4"/>
      <c r="AX108" s="4">
        <v>61051.833655</v>
      </c>
      <c r="AY108" s="4">
        <f>AX108/$AX$680*$AY$680</f>
        <v>59828.74975794221</v>
      </c>
      <c r="AZ108" s="3"/>
      <c r="BA108" s="4"/>
      <c r="BB108" s="3"/>
      <c r="BC108" s="4"/>
      <c r="BD108" s="4"/>
      <c r="BE108" s="4"/>
      <c r="BF108" s="4"/>
      <c r="BG108" s="4"/>
      <c r="BH108" s="4"/>
      <c r="BI108" s="4"/>
      <c r="BJ108" s="4">
        <v>18368577.046345</v>
      </c>
      <c r="BK108" s="4"/>
      <c r="BL108" s="4"/>
      <c r="BM108" s="4"/>
      <c r="BN108" s="4"/>
      <c r="BO108" s="4">
        <v>26315.526454</v>
      </c>
      <c r="BP108" s="4"/>
      <c r="BQ108" s="4">
        <f>AG108+AI108+AL108+AN108+AP108+AR108+AT108+AV108+AX108+AZ108+BB108+BD108+BF108+BH108+BK108+BM108+BO108</f>
        <v>10023231.664833998</v>
      </c>
      <c r="BT108" s="4">
        <f>AJ108+AM108+AQ108+AS108+AU108+AW108+AY108+BA108+BC108+BG108+BL108+BN108+BP108</f>
        <v>6791026.015866389</v>
      </c>
      <c r="BW108" s="52"/>
      <c r="BX108" s="4">
        <f t="shared" si="2"/>
        <v>19005899.59865</v>
      </c>
      <c r="BY108" s="4">
        <f t="shared" si="3"/>
        <v>15945337.285997342</v>
      </c>
    </row>
    <row r="109" spans="1:77" ht="12.75">
      <c r="A109" s="5" t="s">
        <v>742</v>
      </c>
      <c r="B109" s="5" t="s">
        <v>108</v>
      </c>
      <c r="C109" s="5" t="s">
        <v>1341</v>
      </c>
      <c r="D109" s="6">
        <v>46177549.789311</v>
      </c>
      <c r="E109" s="6">
        <f>D109*RPI_inc</f>
        <v>47059923.352164075</v>
      </c>
      <c r="F109" s="6"/>
      <c r="G109" s="6"/>
      <c r="H109" s="6"/>
      <c r="I109" s="6"/>
      <c r="J109" s="6">
        <v>965484.722159</v>
      </c>
      <c r="K109" s="6">
        <f>J109*RPI_inc</f>
        <v>983933.4748117197</v>
      </c>
      <c r="L109" s="6">
        <v>4380379.178306</v>
      </c>
      <c r="M109" s="6">
        <f>L109*RPI_inc</f>
        <v>4464080.691267261</v>
      </c>
      <c r="N109" s="6"/>
      <c r="O109" s="6"/>
      <c r="P109" s="6"/>
      <c r="Q109" s="6"/>
      <c r="R109" s="6"/>
      <c r="S109" s="6"/>
      <c r="T109" s="6"/>
      <c r="U109" s="6"/>
      <c r="V109" s="6">
        <v>52213.315702</v>
      </c>
      <c r="W109" s="6">
        <f>V109*RPI_inc</f>
        <v>53211.02237146497</v>
      </c>
      <c r="X109" s="6">
        <v>3685109.522162</v>
      </c>
      <c r="Y109" s="6">
        <f>X109*RPI_inc</f>
        <v>3755525.6276810193</v>
      </c>
      <c r="Z109" s="14">
        <f>D109+F109+H109+J109+L109+N109+P109+R109+T109+V109+X109</f>
        <v>55260736.52763999</v>
      </c>
      <c r="AC109" s="14">
        <f>E109+G109+I109+K109+M109+O109+Q109+S109+U109+W109+Y109</f>
        <v>56316674.16829553</v>
      </c>
      <c r="AF109" s="51"/>
      <c r="AG109" s="6">
        <v>1125697</v>
      </c>
      <c r="AH109" s="6">
        <f>AG109/$AG$680*$AH$680</f>
        <v>847571.5987227649</v>
      </c>
      <c r="AI109" s="6">
        <v>55175781.639171</v>
      </c>
      <c r="AJ109" s="6">
        <f>AI109/$AI$680*$AJ$680</f>
        <v>37820274.77769617</v>
      </c>
      <c r="AK109" s="6">
        <f>AJ109-AH109</f>
        <v>36972703.17897341</v>
      </c>
      <c r="AL109" s="6"/>
      <c r="AM109" s="6"/>
      <c r="AN109" s="6"/>
      <c r="AO109" s="6"/>
      <c r="AP109" s="6"/>
      <c r="AQ109" s="6"/>
      <c r="AR109" s="6">
        <v>1394484.02769</v>
      </c>
      <c r="AS109" s="6">
        <f>AR109/$AR$680*$AS$680</f>
        <v>1367045.7740221573</v>
      </c>
      <c r="AT109" s="6">
        <v>5540819.67504</v>
      </c>
      <c r="AU109" s="6">
        <f>AT109/$AT$680*$AU$680</f>
        <v>4572858.186422252</v>
      </c>
      <c r="AV109" s="6"/>
      <c r="AW109" s="6"/>
      <c r="AX109" s="6"/>
      <c r="AY109" s="6"/>
      <c r="AZ109" s="6">
        <v>74068.752638</v>
      </c>
      <c r="BA109" s="6">
        <f>AZ109/$AZ$680*$BA$680</f>
        <v>72584.89258084711</v>
      </c>
      <c r="BB109" s="6">
        <v>5449079.047922</v>
      </c>
      <c r="BC109" s="6">
        <f>BB109/$BB$680*$BC$680</f>
        <v>5344351.381185503</v>
      </c>
      <c r="BD109" s="6"/>
      <c r="BE109" s="6"/>
      <c r="BF109" s="6"/>
      <c r="BG109" s="6"/>
      <c r="BH109" s="6"/>
      <c r="BI109" s="6"/>
      <c r="BJ109" s="6">
        <v>104435712.588288</v>
      </c>
      <c r="BK109" s="6"/>
      <c r="BL109" s="6"/>
      <c r="BM109" s="6"/>
      <c r="BN109" s="6"/>
      <c r="BO109" s="6">
        <v>161891.253768</v>
      </c>
      <c r="BP109" s="6"/>
      <c r="BQ109" s="6">
        <f>AG109+AI109+AL109+AN109+AP109+AR109+AT109+AV109+AX109+AZ109+BB109+BD109+BF109+BH109+BK109+BM109+BO109</f>
        <v>68921821.396229</v>
      </c>
      <c r="BT109" s="6">
        <f>AJ109+AM109+AQ109+AS109+AU109+AW109+AY109+BA109+BC109+BG109+BL109+BN109+BP109</f>
        <v>49177115.01190692</v>
      </c>
      <c r="BW109" s="52"/>
      <c r="BX109" s="6">
        <f t="shared" si="2"/>
        <v>124182557.92386898</v>
      </c>
      <c r="BY109" s="6">
        <f t="shared" si="3"/>
        <v>105493789.18020245</v>
      </c>
    </row>
    <row r="110" spans="1:77" ht="12.75">
      <c r="A110" t="s">
        <v>872</v>
      </c>
      <c r="B110" t="s">
        <v>238</v>
      </c>
      <c r="J110"/>
      <c r="K110"/>
      <c r="L110"/>
      <c r="M110"/>
      <c r="V110"/>
      <c r="X110"/>
      <c r="Z110" s="12">
        <f>Z111+Z112</f>
        <v>14849741.995743997</v>
      </c>
      <c r="AC110" s="12">
        <f>AC111+AC112</f>
        <v>15133495.02750981</v>
      </c>
      <c r="AF110" s="51"/>
      <c r="AG110"/>
      <c r="AI110"/>
      <c r="AR110"/>
      <c r="AT110"/>
      <c r="AZ110"/>
      <c r="BB110"/>
      <c r="BD110"/>
      <c r="BE110"/>
      <c r="BF110"/>
      <c r="BH110"/>
      <c r="BI110">
        <v>51559</v>
      </c>
      <c r="BJ110" s="1">
        <v>31754167.047903</v>
      </c>
      <c r="BL110"/>
      <c r="BO110"/>
      <c r="BP110"/>
      <c r="BQ110" s="1">
        <f>BQ111+BQ112</f>
        <v>17422444.312573</v>
      </c>
      <c r="BT110" s="1">
        <f>BT111+BT112</f>
        <v>11983760.242303241</v>
      </c>
      <c r="BW110" s="52"/>
      <c r="BX110" s="1">
        <f t="shared" si="2"/>
        <v>32272186.308317</v>
      </c>
      <c r="BY110" s="1">
        <f t="shared" si="3"/>
        <v>27117255.269813053</v>
      </c>
    </row>
    <row r="111" spans="1:77" ht="12.75">
      <c r="A111" s="3" t="s">
        <v>873</v>
      </c>
      <c r="B111" s="3" t="s">
        <v>239</v>
      </c>
      <c r="C111" s="3" t="s">
        <v>1342</v>
      </c>
      <c r="D111" s="3"/>
      <c r="E111" s="4"/>
      <c r="F111" s="4">
        <v>6379585.792146</v>
      </c>
      <c r="G111" s="4">
        <f>F111*RPI_inc</f>
        <v>6501488.70537172</v>
      </c>
      <c r="H111" s="4"/>
      <c r="I111" s="4"/>
      <c r="J111" s="4">
        <v>23209.755797</v>
      </c>
      <c r="K111" s="4">
        <f>J111*RPI_inc</f>
        <v>23653.254315414015</v>
      </c>
      <c r="L111" s="3"/>
      <c r="M111" s="4"/>
      <c r="N111" s="4"/>
      <c r="O111" s="4"/>
      <c r="P111" s="4"/>
      <c r="Q111" s="4"/>
      <c r="R111" s="4"/>
      <c r="S111" s="4"/>
      <c r="T111" s="4">
        <v>162912.061474</v>
      </c>
      <c r="U111" s="4">
        <f>T111*RPI_inc</f>
        <v>166025.03080152866</v>
      </c>
      <c r="V111" s="3"/>
      <c r="W111" s="4"/>
      <c r="X111" s="3"/>
      <c r="Y111" s="4"/>
      <c r="Z111" s="13">
        <f>D111+F111+H111+J111+L111+N111+P111+R111+T111+V111+X111</f>
        <v>6565707.609417</v>
      </c>
      <c r="AC111" s="13">
        <f>E111+G111+I111+K111+M111+O111+Q111+S111+U111+W111+Y111</f>
        <v>6691166.990488663</v>
      </c>
      <c r="AF111" s="51"/>
      <c r="AG111" s="3"/>
      <c r="AH111" s="4"/>
      <c r="AI111" s="3"/>
      <c r="AJ111" s="4"/>
      <c r="AK111" s="4"/>
      <c r="AL111" s="4">
        <v>7048031.212767</v>
      </c>
      <c r="AM111" s="4">
        <f>AL111/$AL$680*$AM$680</f>
        <v>4718951.2260824265</v>
      </c>
      <c r="AN111" s="4"/>
      <c r="AO111" s="4"/>
      <c r="AP111" s="4"/>
      <c r="AQ111" s="4"/>
      <c r="AR111" s="4">
        <v>33522.678301</v>
      </c>
      <c r="AS111" s="4">
        <f>AR111/$AR$680*$AS$680</f>
        <v>32863.07680497426</v>
      </c>
      <c r="AT111" s="3"/>
      <c r="AU111" s="4"/>
      <c r="AV111" s="4"/>
      <c r="AW111" s="4"/>
      <c r="AX111" s="4">
        <v>231103.75189</v>
      </c>
      <c r="AY111" s="4">
        <f>AX111/$AX$680*$AY$680</f>
        <v>226473.92735297483</v>
      </c>
      <c r="AZ111" s="3"/>
      <c r="BA111" s="4"/>
      <c r="BB111" s="3"/>
      <c r="BC111" s="4"/>
      <c r="BD111" s="4"/>
      <c r="BE111" s="4"/>
      <c r="BF111" s="4"/>
      <c r="BG111" s="4"/>
      <c r="BH111" s="4">
        <v>22357.218113</v>
      </c>
      <c r="BI111" s="4"/>
      <c r="BJ111" s="4">
        <v>14196141.468139</v>
      </c>
      <c r="BK111" s="4">
        <f>BJ111/BJ110*BI110</f>
        <v>23050.167143468338</v>
      </c>
      <c r="BL111" s="4">
        <f>BH111+BK111</f>
        <v>45407.38525646833</v>
      </c>
      <c r="BM111" s="4"/>
      <c r="BN111" s="4"/>
      <c r="BO111" s="4">
        <v>19234.825729</v>
      </c>
      <c r="BP111" s="4"/>
      <c r="BQ111" s="4">
        <f>AG111+AI111+AL111+AN111+AP111+AR111+AT111+AV111+AX111+AZ111+BB111+BD111+BF111+BH111+BK111+BM111+BO111</f>
        <v>7377299.853943469</v>
      </c>
      <c r="BT111" s="4">
        <f>AJ111+AM111+AQ111+AS111+AU111+AW111+AY111+BA111+BC111+BG111+BL111+BN111+BP111</f>
        <v>5023695.615496844</v>
      </c>
      <c r="BW111" s="52"/>
      <c r="BX111" s="4">
        <f t="shared" si="2"/>
        <v>13943007.46336047</v>
      </c>
      <c r="BY111" s="4">
        <f t="shared" si="3"/>
        <v>11714862.605985507</v>
      </c>
    </row>
    <row r="112" spans="1:77" ht="12.75">
      <c r="A112" s="5" t="s">
        <v>874</v>
      </c>
      <c r="B112" s="5" t="s">
        <v>240</v>
      </c>
      <c r="C112" s="5" t="s">
        <v>1342</v>
      </c>
      <c r="D112" s="6">
        <v>7879401.758276</v>
      </c>
      <c r="E112" s="6">
        <f>D112*RPI_inc</f>
        <v>8029963.575313121</v>
      </c>
      <c r="F112" s="6"/>
      <c r="G112" s="6"/>
      <c r="H112" s="6"/>
      <c r="I112" s="6"/>
      <c r="J112" s="6">
        <v>26442.989579</v>
      </c>
      <c r="K112" s="6">
        <f>J112*RPI_inc</f>
        <v>26948.26963464968</v>
      </c>
      <c r="L112" s="6">
        <v>326313.143456</v>
      </c>
      <c r="M112" s="6">
        <f>L112*RPI_inc</f>
        <v>332548.42645197455</v>
      </c>
      <c r="N112" s="6"/>
      <c r="O112" s="6"/>
      <c r="P112" s="6"/>
      <c r="Q112" s="6"/>
      <c r="R112" s="6"/>
      <c r="S112" s="6"/>
      <c r="T112" s="6"/>
      <c r="U112" s="6"/>
      <c r="V112" s="6">
        <v>46592.849582</v>
      </c>
      <c r="W112" s="6">
        <f>V112*RPI_inc</f>
        <v>47483.15880968153</v>
      </c>
      <c r="X112" s="6">
        <v>5283.645434</v>
      </c>
      <c r="Y112" s="6">
        <f>X112*RPI_inc</f>
        <v>5384.606811719746</v>
      </c>
      <c r="Z112" s="14">
        <f>D112+F112+H112+J112+L112+N112+P112+R112+T112+V112+X112</f>
        <v>8284034.3863269985</v>
      </c>
      <c r="AC112" s="14">
        <f>E112+G112+I112+K112+M112+O112+Q112+S112+U112+W112+Y112</f>
        <v>8442328.037021147</v>
      </c>
      <c r="AF112" s="51"/>
      <c r="AG112" s="6">
        <v>25060</v>
      </c>
      <c r="AH112" s="6">
        <f>AG112/$AG$680*$AH$680</f>
        <v>18868.438188955366</v>
      </c>
      <c r="AI112" s="6">
        <v>9414794.696677</v>
      </c>
      <c r="AJ112" s="6">
        <f>AI112/$AI$680*$AJ$680</f>
        <v>6453377.040174736</v>
      </c>
      <c r="AK112" s="6">
        <f>AJ112-AH112</f>
        <v>6434508.6019857805</v>
      </c>
      <c r="AL112" s="6"/>
      <c r="AM112" s="6"/>
      <c r="AN112" s="6"/>
      <c r="AO112" s="6"/>
      <c r="AP112" s="6"/>
      <c r="AQ112" s="6"/>
      <c r="AR112" s="6">
        <v>38192.553198</v>
      </c>
      <c r="AS112" s="6">
        <f>AR112/$AR$680*$AS$680</f>
        <v>37441.06595106091</v>
      </c>
      <c r="AT112" s="6">
        <v>412759.309613</v>
      </c>
      <c r="AU112" s="6">
        <f>AT112/$AT$680*$AU$680</f>
        <v>340651.7264022273</v>
      </c>
      <c r="AV112" s="6"/>
      <c r="AW112" s="6"/>
      <c r="AX112" s="6"/>
      <c r="AY112" s="6"/>
      <c r="AZ112" s="6">
        <v>66095.673181</v>
      </c>
      <c r="BA112" s="6">
        <f>AZ112/$AZ$680*$BA$680</f>
        <v>64771.54220955981</v>
      </c>
      <c r="BB112" s="6">
        <v>7812.794018</v>
      </c>
      <c r="BC112" s="6">
        <f>BB112/$BB$680*$BC$680</f>
        <v>7662.637325281433</v>
      </c>
      <c r="BD112" s="6"/>
      <c r="BE112" s="6"/>
      <c r="BF112" s="6"/>
      <c r="BG112" s="6"/>
      <c r="BH112" s="6">
        <v>27651.781887</v>
      </c>
      <c r="BI112" s="6"/>
      <c r="BJ112" s="6">
        <v>17558025.579764</v>
      </c>
      <c r="BK112" s="6">
        <f>BJ112/BJ110*BI110</f>
        <v>28508.832856531662</v>
      </c>
      <c r="BL112" s="6">
        <f>BH112+BK112</f>
        <v>56160.61474353167</v>
      </c>
      <c r="BM112" s="6"/>
      <c r="BN112" s="6"/>
      <c r="BO112" s="6">
        <v>24268.817199</v>
      </c>
      <c r="BP112" s="6"/>
      <c r="BQ112" s="6">
        <f>AG112+AI112+AL112+AN112+AP112+AR112+AT112+AV112+AX112+AZ112+BB112+BD112+BF112+BH112+BK112+BM112+BO112</f>
        <v>10045144.458629532</v>
      </c>
      <c r="BT112" s="6">
        <f>AJ112+AM112+AQ112+AS112+AU112+AW112+AY112+BA112+BC112+BG112+BL112+BN112+BP112</f>
        <v>6960064.626806396</v>
      </c>
      <c r="BW112" s="52"/>
      <c r="BX112" s="6">
        <f t="shared" si="2"/>
        <v>18329178.844956532</v>
      </c>
      <c r="BY112" s="6">
        <f t="shared" si="3"/>
        <v>15402392.663827542</v>
      </c>
    </row>
    <row r="113" spans="1:77" ht="12.75">
      <c r="A113" t="s">
        <v>743</v>
      </c>
      <c r="B113" t="s">
        <v>109</v>
      </c>
      <c r="J113"/>
      <c r="K113"/>
      <c r="L113"/>
      <c r="M113"/>
      <c r="V113"/>
      <c r="X113"/>
      <c r="Z113" s="12">
        <f>Z114+Z115</f>
        <v>81478136.92605701</v>
      </c>
      <c r="AC113" s="12">
        <f>AC114+AC115</f>
        <v>83035044.0010772</v>
      </c>
      <c r="AF113" s="51"/>
      <c r="AG113"/>
      <c r="AI113"/>
      <c r="AR113"/>
      <c r="AT113"/>
      <c r="AZ113"/>
      <c r="BB113"/>
      <c r="BD113"/>
      <c r="BE113"/>
      <c r="BF113"/>
      <c r="BH113"/>
      <c r="BI113">
        <v>1031275</v>
      </c>
      <c r="BJ113" s="1">
        <v>132750657.096785</v>
      </c>
      <c r="BL113"/>
      <c r="BO113"/>
      <c r="BP113"/>
      <c r="BQ113" s="1">
        <f>BQ114+BQ115</f>
        <v>99601300.33981103</v>
      </c>
      <c r="BT113" s="1">
        <f>BT114+BT115</f>
        <v>69761339.31703663</v>
      </c>
      <c r="BW113" s="52"/>
      <c r="BX113" s="1">
        <f t="shared" si="2"/>
        <v>181079437.26586804</v>
      </c>
      <c r="BY113" s="1">
        <f t="shared" si="3"/>
        <v>152796383.31811383</v>
      </c>
    </row>
    <row r="114" spans="1:77" ht="12.75">
      <c r="A114" s="3" t="s">
        <v>744</v>
      </c>
      <c r="B114" s="3" t="s">
        <v>110</v>
      </c>
      <c r="C114" s="3" t="s">
        <v>1342</v>
      </c>
      <c r="D114" s="3"/>
      <c r="E114" s="4"/>
      <c r="F114" s="4">
        <v>24576018.705122</v>
      </c>
      <c r="G114" s="4">
        <f>F114*RPI_inc</f>
        <v>25045624.158086117</v>
      </c>
      <c r="H114" s="4"/>
      <c r="I114" s="4"/>
      <c r="J114" s="4">
        <v>347620.997235</v>
      </c>
      <c r="K114" s="4">
        <f>J114*RPI_inc</f>
        <v>354263.43667261145</v>
      </c>
      <c r="L114" s="3"/>
      <c r="M114" s="4"/>
      <c r="N114" s="4"/>
      <c r="O114" s="4"/>
      <c r="P114" s="4"/>
      <c r="Q114" s="4"/>
      <c r="R114" s="4"/>
      <c r="S114" s="4"/>
      <c r="T114" s="4">
        <v>830213.305518</v>
      </c>
      <c r="U114" s="4">
        <f>T114*RPI_inc</f>
        <v>846077.2540310828</v>
      </c>
      <c r="V114" s="3"/>
      <c r="W114" s="4"/>
      <c r="X114" s="3"/>
      <c r="Y114" s="4"/>
      <c r="Z114" s="13">
        <f>D114+F114+H114+J114+L114+N114+P114+R114+T114+V114+X114</f>
        <v>25753853.007875003</v>
      </c>
      <c r="AC114" s="13">
        <f>E114+G114+I114+K114+M114+O114+Q114+S114+U114+W114+Y114</f>
        <v>26245964.848789815</v>
      </c>
      <c r="AF114" s="51"/>
      <c r="AG114" s="3"/>
      <c r="AH114" s="4"/>
      <c r="AI114" s="3"/>
      <c r="AJ114" s="4"/>
      <c r="AK114" s="4"/>
      <c r="AL114" s="4">
        <v>27151064.749765</v>
      </c>
      <c r="AM114" s="4">
        <f>AL114/$AL$680*$AM$680</f>
        <v>18178771.691342473</v>
      </c>
      <c r="AN114" s="4"/>
      <c r="AO114" s="4"/>
      <c r="AP114" s="4"/>
      <c r="AQ114" s="4"/>
      <c r="AR114" s="4">
        <v>502081.407617</v>
      </c>
      <c r="AS114" s="4">
        <f>AR114/$AR$680*$AS$680</f>
        <v>492202.3148840962</v>
      </c>
      <c r="AT114" s="3"/>
      <c r="AU114" s="4"/>
      <c r="AV114" s="4"/>
      <c r="AW114" s="4"/>
      <c r="AX114" s="4">
        <v>1177723.785689</v>
      </c>
      <c r="AY114" s="4">
        <f>AX114/$AX$680*$AY$680</f>
        <v>1154129.817887835</v>
      </c>
      <c r="AZ114" s="3"/>
      <c r="BA114" s="4"/>
      <c r="BB114" s="3"/>
      <c r="BC114" s="4"/>
      <c r="BD114" s="4"/>
      <c r="BE114" s="4"/>
      <c r="BF114" s="4"/>
      <c r="BG114" s="4"/>
      <c r="BH114" s="4">
        <v>338850.909726</v>
      </c>
      <c r="BI114" s="4"/>
      <c r="BJ114" s="4">
        <v>44037374.639906</v>
      </c>
      <c r="BK114" s="4">
        <f>BJ114/BJ113*BI113</f>
        <v>342104.8492336911</v>
      </c>
      <c r="BL114" s="4">
        <f>BH114+BK114</f>
        <v>680955.758959691</v>
      </c>
      <c r="BM114" s="4"/>
      <c r="BN114" s="4"/>
      <c r="BO114" s="4">
        <v>75448.208163</v>
      </c>
      <c r="BP114" s="4"/>
      <c r="BQ114" s="4">
        <f>AG114+AI114+AL114+AN114+AP114+AR114+AT114+AV114+AX114+AZ114+BB114+BD114+BF114+BH114+BK114+BM114+BO114</f>
        <v>29587273.910193693</v>
      </c>
      <c r="BT114" s="4">
        <f>AJ114+AM114+AQ114+AS114+AU114+AW114+AY114+BA114+BC114+BG114+BL114+BN114+BP114</f>
        <v>20506059.583074097</v>
      </c>
      <c r="BW114" s="52"/>
      <c r="BX114" s="4">
        <f t="shared" si="2"/>
        <v>55341126.91806869</v>
      </c>
      <c r="BY114" s="4">
        <f t="shared" si="3"/>
        <v>46752024.43186391</v>
      </c>
    </row>
    <row r="115" spans="1:77" ht="12.75">
      <c r="A115" s="5" t="s">
        <v>745</v>
      </c>
      <c r="B115" s="5" t="s">
        <v>111</v>
      </c>
      <c r="C115" s="5" t="s">
        <v>1342</v>
      </c>
      <c r="D115" s="6">
        <v>49621673.92584</v>
      </c>
      <c r="E115" s="6">
        <f>D115*RPI_inc</f>
        <v>50569858.77792611</v>
      </c>
      <c r="F115" s="6"/>
      <c r="G115" s="6"/>
      <c r="H115" s="6"/>
      <c r="I115" s="6"/>
      <c r="J115" s="6">
        <v>657373.327996</v>
      </c>
      <c r="K115" s="6">
        <f>J115*RPI_inc</f>
        <v>669934.601779363</v>
      </c>
      <c r="L115" s="6">
        <v>3893693.144157</v>
      </c>
      <c r="M115" s="6">
        <f>L115*RPI_inc</f>
        <v>3968094.923981656</v>
      </c>
      <c r="N115" s="6"/>
      <c r="O115" s="6"/>
      <c r="P115" s="6"/>
      <c r="Q115" s="6"/>
      <c r="R115" s="6"/>
      <c r="S115" s="6"/>
      <c r="T115" s="6"/>
      <c r="U115" s="6"/>
      <c r="V115" s="6">
        <v>54738.452655</v>
      </c>
      <c r="W115" s="6">
        <f>V115*RPI_inc</f>
        <v>55784.410349044585</v>
      </c>
      <c r="X115" s="6">
        <v>1496805.067534</v>
      </c>
      <c r="Y115" s="6">
        <f>X115*RPI_inc</f>
        <v>1525406.4382512101</v>
      </c>
      <c r="Z115" s="14">
        <f>D115+F115+H115+J115+L115+N115+P115+R115+T115+V115+X115</f>
        <v>55724283.918182</v>
      </c>
      <c r="AC115" s="14">
        <f>E115+G115+I115+K115+M115+O115+Q115+S115+U115+W115+Y115</f>
        <v>56789079.15228739</v>
      </c>
      <c r="AF115" s="51"/>
      <c r="AG115" s="6">
        <v>1022350</v>
      </c>
      <c r="AH115" s="6">
        <f>AG115/$AG$680*$AH$680</f>
        <v>769758.4909209306</v>
      </c>
      <c r="AI115" s="6">
        <v>59291033.361324</v>
      </c>
      <c r="AJ115" s="6">
        <f>AI115/$AI$680*$AJ$680</f>
        <v>40641076.69997869</v>
      </c>
      <c r="AK115" s="6">
        <f>AJ115-AH115</f>
        <v>39871318.209057756</v>
      </c>
      <c r="AL115" s="6"/>
      <c r="AM115" s="6"/>
      <c r="AN115" s="6"/>
      <c r="AO115" s="6"/>
      <c r="AP115" s="6"/>
      <c r="AQ115" s="6"/>
      <c r="AR115" s="6">
        <v>949467.749287</v>
      </c>
      <c r="AS115" s="6">
        <f>AR115/$AR$680*$AS$680</f>
        <v>930785.7590762355</v>
      </c>
      <c r="AT115" s="6">
        <v>4925201.838362</v>
      </c>
      <c r="AU115" s="6">
        <f>AT115/$AT$680*$AU$680</f>
        <v>4064786.596068569</v>
      </c>
      <c r="AV115" s="6"/>
      <c r="AW115" s="6"/>
      <c r="AX115" s="6"/>
      <c r="AY115" s="6"/>
      <c r="AZ115" s="6">
        <v>77650.8608</v>
      </c>
      <c r="BA115" s="6">
        <f>AZ115/$AZ$680*$BA$680</f>
        <v>76095.23839998746</v>
      </c>
      <c r="BB115" s="6">
        <v>2213288.121634</v>
      </c>
      <c r="BC115" s="6">
        <f>BB115/$BB$680*$BC$680</f>
        <v>2170750.199398732</v>
      </c>
      <c r="BD115" s="6"/>
      <c r="BE115" s="6"/>
      <c r="BF115" s="6"/>
      <c r="BG115" s="6"/>
      <c r="BH115" s="6">
        <v>682615.090274</v>
      </c>
      <c r="BI115" s="6"/>
      <c r="BJ115" s="6">
        <v>88713282.456879</v>
      </c>
      <c r="BK115" s="6">
        <f>BJ115/BJ113*BI113</f>
        <v>689170.1507663089</v>
      </c>
      <c r="BL115" s="6">
        <f>BH115+BK115</f>
        <v>1371785.241040309</v>
      </c>
      <c r="BM115" s="6"/>
      <c r="BN115" s="6"/>
      <c r="BO115" s="6">
        <v>163249.25717</v>
      </c>
      <c r="BP115" s="6"/>
      <c r="BQ115" s="6">
        <f>AG115+AI115+AL115+AN115+AP115+AR115+AT115+AV115+AX115+AZ115+BB115+BD115+BF115+BH115+BK115+BM115+BO115</f>
        <v>70014026.42961733</v>
      </c>
      <c r="BT115" s="6">
        <f>AJ115+AM115+AQ115+AS115+AU115+AW115+AY115+BA115+BC115+BG115+BL115+BN115+BP115</f>
        <v>49255279.73396253</v>
      </c>
      <c r="BW115" s="52"/>
      <c r="BX115" s="6">
        <f t="shared" si="2"/>
        <v>125738310.34779933</v>
      </c>
      <c r="BY115" s="6">
        <f t="shared" si="3"/>
        <v>106044358.88624991</v>
      </c>
    </row>
    <row r="116" spans="1:77" ht="12.75">
      <c r="A116" t="s">
        <v>746</v>
      </c>
      <c r="B116" t="s">
        <v>112</v>
      </c>
      <c r="J116"/>
      <c r="K116"/>
      <c r="L116"/>
      <c r="M116"/>
      <c r="V116"/>
      <c r="X116"/>
      <c r="Z116" s="12">
        <f>Z117+Z118</f>
        <v>74353439.19386</v>
      </c>
      <c r="AC116" s="12">
        <f>AC117+AC118</f>
        <v>75774205.5478828</v>
      </c>
      <c r="AF116" s="51"/>
      <c r="AG116"/>
      <c r="AI116"/>
      <c r="AR116"/>
      <c r="AT116"/>
      <c r="AZ116"/>
      <c r="BB116"/>
      <c r="BD116"/>
      <c r="BE116"/>
      <c r="BF116"/>
      <c r="BH116"/>
      <c r="BI116">
        <v>819423</v>
      </c>
      <c r="BJ116" s="1">
        <v>153497090.995475</v>
      </c>
      <c r="BL116"/>
      <c r="BO116"/>
      <c r="BP116"/>
      <c r="BQ116" s="1">
        <f>BQ117+BQ118</f>
        <v>92057011.80175</v>
      </c>
      <c r="BT116" s="1">
        <f>BT117+BT118</f>
        <v>64644866.15898435</v>
      </c>
      <c r="BW116" s="52"/>
      <c r="BX116" s="1">
        <f t="shared" si="2"/>
        <v>166410450.99561</v>
      </c>
      <c r="BY116" s="1">
        <f t="shared" si="3"/>
        <v>140419071.70686716</v>
      </c>
    </row>
    <row r="117" spans="1:77" ht="12.75">
      <c r="A117" s="3" t="s">
        <v>747</v>
      </c>
      <c r="B117" s="3" t="s">
        <v>113</v>
      </c>
      <c r="C117" s="3" t="s">
        <v>1342</v>
      </c>
      <c r="D117" s="3"/>
      <c r="E117" s="4"/>
      <c r="F117" s="4">
        <v>12995934.749858</v>
      </c>
      <c r="G117" s="4">
        <f>F117*RPI_inc</f>
        <v>13244264.713231083</v>
      </c>
      <c r="H117" s="4"/>
      <c r="I117" s="4"/>
      <c r="J117" s="4">
        <v>139176.239151</v>
      </c>
      <c r="K117" s="4">
        <f>J117*RPI_inc</f>
        <v>141835.65773350318</v>
      </c>
      <c r="L117" s="3"/>
      <c r="M117" s="4"/>
      <c r="N117" s="4"/>
      <c r="O117" s="4"/>
      <c r="P117" s="4"/>
      <c r="Q117" s="4"/>
      <c r="R117" s="4"/>
      <c r="S117" s="4"/>
      <c r="T117" s="4">
        <v>162912.061474</v>
      </c>
      <c r="U117" s="4">
        <f>T117*RPI_inc</f>
        <v>166025.03080152866</v>
      </c>
      <c r="V117" s="3"/>
      <c r="W117" s="4"/>
      <c r="X117" s="3"/>
      <c r="Y117" s="4"/>
      <c r="Z117" s="13">
        <f>D117+F117+H117+J117+L117+N117+P117+R117+T117+V117+X117</f>
        <v>13298023.050482998</v>
      </c>
      <c r="AC117" s="13">
        <f>E117+G117+I117+K117+M117+O117+Q117+S117+U117+W117+Y117</f>
        <v>13552125.401766116</v>
      </c>
      <c r="AF117" s="51"/>
      <c r="AG117" s="3"/>
      <c r="AH117" s="4"/>
      <c r="AI117" s="3"/>
      <c r="AJ117" s="4"/>
      <c r="AK117" s="4"/>
      <c r="AL117" s="4">
        <v>14357633.354323</v>
      </c>
      <c r="AM117" s="4">
        <f>AL117/$AL$680*$AM$680</f>
        <v>9613035.112315455</v>
      </c>
      <c r="AN117" s="4"/>
      <c r="AO117" s="4"/>
      <c r="AP117" s="4"/>
      <c r="AQ117" s="4"/>
      <c r="AR117" s="4">
        <v>201017.207291</v>
      </c>
      <c r="AS117" s="4">
        <f>AR117/$AR$680*$AS$680</f>
        <v>197061.93708658725</v>
      </c>
      <c r="AT117" s="3"/>
      <c r="AU117" s="4"/>
      <c r="AV117" s="4"/>
      <c r="AW117" s="4"/>
      <c r="AX117" s="4">
        <v>231103.75189</v>
      </c>
      <c r="AY117" s="4">
        <f>AX117/$AX$680*$AY$680</f>
        <v>226473.92735297483</v>
      </c>
      <c r="AZ117" s="3"/>
      <c r="BA117" s="4"/>
      <c r="BB117" s="3"/>
      <c r="BC117" s="4"/>
      <c r="BD117" s="4"/>
      <c r="BE117" s="4"/>
      <c r="BF117" s="4"/>
      <c r="BG117" s="4"/>
      <c r="BH117" s="4">
        <v>153943.086198</v>
      </c>
      <c r="BI117" s="4"/>
      <c r="BJ117" s="4">
        <v>29257676.219386</v>
      </c>
      <c r="BK117" s="4">
        <f>BJ117/BJ116*BI116</f>
        <v>156188.05975563853</v>
      </c>
      <c r="BL117" s="4">
        <f>BH117+BK117</f>
        <v>310131.14595363854</v>
      </c>
      <c r="BM117" s="4"/>
      <c r="BN117" s="4"/>
      <c r="BO117" s="4">
        <v>38957.743953</v>
      </c>
      <c r="BP117" s="4"/>
      <c r="BQ117" s="4">
        <f>AG117+AI117+AL117+AN117+AP117+AR117+AT117+AV117+AX117+AZ117+BB117+BD117+BF117+BH117+BK117+BM117+BO117</f>
        <v>15138843.203410638</v>
      </c>
      <c r="BT117" s="4">
        <f>AJ117+AM117+AQ117+AS117+AU117+AW117+AY117+BA117+BC117+BG117+BL117+BN117+BP117</f>
        <v>10346702.122708656</v>
      </c>
      <c r="BW117" s="52"/>
      <c r="BX117" s="4">
        <f t="shared" si="2"/>
        <v>28436866.253893636</v>
      </c>
      <c r="BY117" s="4">
        <f t="shared" si="3"/>
        <v>23898827.52447477</v>
      </c>
    </row>
    <row r="118" spans="1:77" ht="12.75">
      <c r="A118" s="5" t="s">
        <v>748</v>
      </c>
      <c r="B118" s="5" t="s">
        <v>114</v>
      </c>
      <c r="C118" s="5" t="s">
        <v>1342</v>
      </c>
      <c r="D118" s="6">
        <v>52985783.581449</v>
      </c>
      <c r="E118" s="6">
        <f>D118*RPI_inc</f>
        <v>53998250.78364229</v>
      </c>
      <c r="F118" s="6"/>
      <c r="G118" s="6"/>
      <c r="H118" s="6"/>
      <c r="I118" s="6"/>
      <c r="J118" s="6">
        <v>655964.543212</v>
      </c>
      <c r="K118" s="6">
        <f>J118*RPI_inc</f>
        <v>668498.8975408918</v>
      </c>
      <c r="L118" s="6">
        <v>5149073.06754</v>
      </c>
      <c r="M118" s="6">
        <f>L118*RPI_inc</f>
        <v>5247462.99876688</v>
      </c>
      <c r="N118" s="6"/>
      <c r="O118" s="6"/>
      <c r="P118" s="6"/>
      <c r="Q118" s="6"/>
      <c r="R118" s="6"/>
      <c r="S118" s="6"/>
      <c r="T118" s="6"/>
      <c r="U118" s="6"/>
      <c r="V118" s="6">
        <v>57915.237854</v>
      </c>
      <c r="W118" s="6">
        <f>V118*RPI_inc</f>
        <v>59021.89844993631</v>
      </c>
      <c r="X118" s="6">
        <v>2206679.713322</v>
      </c>
      <c r="Y118" s="6">
        <f>X118*RPI_inc</f>
        <v>2248845.567716688</v>
      </c>
      <c r="Z118" s="14">
        <f>D118+F118+H118+J118+L118+N118+P118+R118+T118+V118+X118</f>
        <v>61055416.14337699</v>
      </c>
      <c r="AC118" s="14">
        <f>E118+G118+I118+K118+M118+O118+Q118+S118+U118+W118+Y118</f>
        <v>62222080.14611668</v>
      </c>
      <c r="AF118" s="51"/>
      <c r="AG118" s="6">
        <v>1305979</v>
      </c>
      <c r="AH118" s="6">
        <f>AG118/$AG$680*$AH$680</f>
        <v>983311.4141090879</v>
      </c>
      <c r="AI118" s="6">
        <v>63310678.85172</v>
      </c>
      <c r="AJ118" s="6">
        <f>AI118/$AI$680*$AJ$680</f>
        <v>43396345.269618265</v>
      </c>
      <c r="AK118" s="6">
        <f>AJ118-AH118</f>
        <v>42413033.85550918</v>
      </c>
      <c r="AL118" s="6"/>
      <c r="AM118" s="6"/>
      <c r="AN118" s="6"/>
      <c r="AO118" s="6"/>
      <c r="AP118" s="6"/>
      <c r="AQ118" s="6"/>
      <c r="AR118" s="6">
        <v>947432.991166</v>
      </c>
      <c r="AS118" s="6">
        <f>AR118/$AR$680*$AS$680</f>
        <v>928791.0374191662</v>
      </c>
      <c r="AT118" s="6">
        <v>6513154.272612</v>
      </c>
      <c r="AU118" s="6">
        <f>AT118/$AT$680*$AU$680</f>
        <v>5375329.388377874</v>
      </c>
      <c r="AV118" s="6"/>
      <c r="AW118" s="6"/>
      <c r="AX118" s="6"/>
      <c r="AY118" s="6"/>
      <c r="AZ118" s="6">
        <v>82157.383971</v>
      </c>
      <c r="BA118" s="6">
        <f>AZ118/$AZ$680*$BA$680</f>
        <v>80511.47991385247</v>
      </c>
      <c r="BB118" s="6">
        <v>3262961.960567</v>
      </c>
      <c r="BC118" s="6">
        <f>BB118/$BB$680*$BC$680</f>
        <v>3200250.006900179</v>
      </c>
      <c r="BD118" s="6"/>
      <c r="BE118" s="6"/>
      <c r="BF118" s="6"/>
      <c r="BG118" s="6"/>
      <c r="BH118" s="6">
        <v>653701.913802</v>
      </c>
      <c r="BI118" s="6"/>
      <c r="BJ118" s="6">
        <v>124239414.776088</v>
      </c>
      <c r="BK118" s="6">
        <f>BJ118/BJ116*BI116</f>
        <v>663234.9402443562</v>
      </c>
      <c r="BL118" s="6">
        <f>BH118+BK118</f>
        <v>1316936.8540463562</v>
      </c>
      <c r="BM118" s="6"/>
      <c r="BN118" s="6"/>
      <c r="BO118" s="6">
        <v>178867.284257</v>
      </c>
      <c r="BP118" s="6"/>
      <c r="BQ118" s="6">
        <f>AG118+AI118+AL118+AN118+AP118+AR118+AT118+AV118+AX118+AZ118+BB118+BD118+BF118+BH118+BK118+BM118+BO118</f>
        <v>76918168.59833936</v>
      </c>
      <c r="BT118" s="6">
        <f>AJ118+AM118+AQ118+AS118+AU118+AW118+AY118+BA118+BC118+BG118+BL118+BN118+BP118</f>
        <v>54298164.03627569</v>
      </c>
      <c r="BW118" s="52"/>
      <c r="BX118" s="6">
        <f t="shared" si="2"/>
        <v>137973584.74171636</v>
      </c>
      <c r="BY118" s="6">
        <f t="shared" si="3"/>
        <v>116520244.18239237</v>
      </c>
    </row>
    <row r="119" spans="1:77" ht="12.75">
      <c r="A119" t="s">
        <v>749</v>
      </c>
      <c r="B119" t="s">
        <v>115</v>
      </c>
      <c r="J119"/>
      <c r="K119"/>
      <c r="L119"/>
      <c r="M119"/>
      <c r="V119"/>
      <c r="X119"/>
      <c r="Z119" s="12">
        <f>Z120+Z121</f>
        <v>98889128.00597902</v>
      </c>
      <c r="AC119" s="12">
        <f>AC120+AC121</f>
        <v>100778729.17806779</v>
      </c>
      <c r="AF119" s="51"/>
      <c r="AG119"/>
      <c r="AI119"/>
      <c r="AR119"/>
      <c r="AT119"/>
      <c r="AZ119"/>
      <c r="BB119"/>
      <c r="BD119"/>
      <c r="BE119"/>
      <c r="BF119"/>
      <c r="BH119"/>
      <c r="BI119">
        <v>852053</v>
      </c>
      <c r="BJ119" s="1">
        <v>194008608.735448</v>
      </c>
      <c r="BL119"/>
      <c r="BO119"/>
      <c r="BP119"/>
      <c r="BQ119" s="1">
        <f>BQ120+BQ121</f>
        <v>120728656.10596101</v>
      </c>
      <c r="BT119" s="1">
        <f>BT120+BT121</f>
        <v>83472024.32174516</v>
      </c>
      <c r="BW119" s="52"/>
      <c r="BX119" s="1">
        <f t="shared" si="2"/>
        <v>219617784.11194003</v>
      </c>
      <c r="BY119" s="1">
        <f t="shared" si="3"/>
        <v>184250753.49981296</v>
      </c>
    </row>
    <row r="120" spans="1:77" ht="12.75">
      <c r="A120" s="3" t="s">
        <v>750</v>
      </c>
      <c r="B120" s="3" t="s">
        <v>116</v>
      </c>
      <c r="C120" s="3" t="s">
        <v>1342</v>
      </c>
      <c r="D120" s="3"/>
      <c r="E120" s="4"/>
      <c r="F120" s="4">
        <v>22429576.034922</v>
      </c>
      <c r="G120" s="4">
        <f>F120*RPI_inc</f>
        <v>22858166.65979312</v>
      </c>
      <c r="H120" s="4"/>
      <c r="I120" s="4"/>
      <c r="J120" s="4">
        <v>167641.479374</v>
      </c>
      <c r="K120" s="4">
        <f>J120*RPI_inc</f>
        <v>170844.81974420382</v>
      </c>
      <c r="L120" s="3"/>
      <c r="M120" s="4"/>
      <c r="N120" s="4"/>
      <c r="O120" s="4"/>
      <c r="P120" s="4"/>
      <c r="Q120" s="4"/>
      <c r="R120" s="4"/>
      <c r="S120" s="4"/>
      <c r="T120" s="4">
        <v>404982.279059</v>
      </c>
      <c r="U120" s="4">
        <f>T120*RPI_inc</f>
        <v>412720.79394547775</v>
      </c>
      <c r="V120" s="3"/>
      <c r="W120" s="4"/>
      <c r="X120" s="3"/>
      <c r="Y120" s="4"/>
      <c r="Z120" s="13">
        <f>D120+F120+H120+J120+L120+N120+P120+R120+T120+V120+X120</f>
        <v>23002199.793355</v>
      </c>
      <c r="AC120" s="13">
        <f>E120+G120+I120+K120+M120+O120+Q120+S120+U120+W120+Y120</f>
        <v>23441732.2734828</v>
      </c>
      <c r="AF120" s="51"/>
      <c r="AG120" s="3"/>
      <c r="AH120" s="4"/>
      <c r="AI120" s="3"/>
      <c r="AJ120" s="4"/>
      <c r="AK120" s="4"/>
      <c r="AL120" s="4">
        <v>24779720.366466</v>
      </c>
      <c r="AM120" s="4">
        <f>AL120/$AL$680*$AM$680</f>
        <v>16591057.598254723</v>
      </c>
      <c r="AN120" s="4"/>
      <c r="AO120" s="4"/>
      <c r="AP120" s="4"/>
      <c r="AQ120" s="4"/>
      <c r="AR120" s="4">
        <v>242130.569236</v>
      </c>
      <c r="AS120" s="4">
        <f>AR120/$AR$680*$AS$680</f>
        <v>237366.3411433758</v>
      </c>
      <c r="AT120" s="3"/>
      <c r="AU120" s="4"/>
      <c r="AV120" s="4"/>
      <c r="AW120" s="4"/>
      <c r="AX120" s="4">
        <v>574499.661304</v>
      </c>
      <c r="AY120" s="4">
        <f>AX120/$AX$680*$AY$680</f>
        <v>562990.4036365437</v>
      </c>
      <c r="AZ120" s="3"/>
      <c r="BA120" s="4"/>
      <c r="BB120" s="3"/>
      <c r="BC120" s="4"/>
      <c r="BD120" s="4"/>
      <c r="BE120" s="4"/>
      <c r="BF120" s="4"/>
      <c r="BG120" s="4"/>
      <c r="BH120" s="4">
        <v>200377.075703</v>
      </c>
      <c r="BI120" s="4"/>
      <c r="BJ120" s="4">
        <v>47135118.689537</v>
      </c>
      <c r="BK120" s="4">
        <f>BJ120/BJ119*BI119</f>
        <v>207009.47007738633</v>
      </c>
      <c r="BL120" s="4">
        <f>BH120+BK120</f>
        <v>407386.5457803863</v>
      </c>
      <c r="BM120" s="4"/>
      <c r="BN120" s="4"/>
      <c r="BO120" s="4">
        <v>67386.994781</v>
      </c>
      <c r="BP120" s="4"/>
      <c r="BQ120" s="4">
        <f>AG120+AI120+AL120+AN120+AP120+AR120+AT120+AV120+AX120+AZ120+BB120+BD120+BF120+BH120+BK120+BM120+BO120</f>
        <v>26071124.137567386</v>
      </c>
      <c r="BT120" s="4">
        <f>AJ120+AM120+AQ120+AS120+AU120+AW120+AY120+BA120+BC120+BG120+BL120+BN120+BP120</f>
        <v>17798800.88881503</v>
      </c>
      <c r="BW120" s="52"/>
      <c r="BX120" s="4">
        <f t="shared" si="2"/>
        <v>49073323.93092239</v>
      </c>
      <c r="BY120" s="4">
        <f t="shared" si="3"/>
        <v>41240533.16229783</v>
      </c>
    </row>
    <row r="121" spans="1:77" ht="12.75">
      <c r="A121" s="5" t="s">
        <v>751</v>
      </c>
      <c r="B121" s="5" t="s">
        <v>117</v>
      </c>
      <c r="C121" s="5" t="s">
        <v>1342</v>
      </c>
      <c r="D121" s="6">
        <v>68403428.848019</v>
      </c>
      <c r="E121" s="6">
        <f>D121*RPI_inc</f>
        <v>69710500.73683466</v>
      </c>
      <c r="F121" s="6"/>
      <c r="G121" s="6"/>
      <c r="H121" s="6"/>
      <c r="I121" s="6"/>
      <c r="J121" s="6">
        <v>605931.782451</v>
      </c>
      <c r="K121" s="6">
        <f>J121*RPI_inc</f>
        <v>617510.0967653503</v>
      </c>
      <c r="L121" s="6">
        <v>6027006.967438</v>
      </c>
      <c r="M121" s="6">
        <f>L121*RPI_inc</f>
        <v>6142172.7056693</v>
      </c>
      <c r="N121" s="6"/>
      <c r="O121" s="6"/>
      <c r="P121" s="6"/>
      <c r="Q121" s="6"/>
      <c r="R121" s="6"/>
      <c r="S121" s="6"/>
      <c r="T121" s="6"/>
      <c r="U121" s="6"/>
      <c r="V121" s="6">
        <v>53272.244102</v>
      </c>
      <c r="W121" s="6">
        <f>V121*RPI_inc</f>
        <v>54290.18507210191</v>
      </c>
      <c r="X121" s="6">
        <v>797288.370614</v>
      </c>
      <c r="Y121" s="6">
        <f>X121*RPI_inc</f>
        <v>812523.1802435669</v>
      </c>
      <c r="Z121" s="14">
        <f>D121+F121+H121+J121+L121+N121+P121+R121+T121+V121+X121</f>
        <v>75886928.21262401</v>
      </c>
      <c r="AC121" s="14">
        <f>E121+G121+I121+K121+M121+O121+Q121+S121+U121+W121+Y121</f>
        <v>77336996.90458499</v>
      </c>
      <c r="AF121" s="51"/>
      <c r="AG121" s="6">
        <v>1679824</v>
      </c>
      <c r="AH121" s="6">
        <f>AG121/$AG$680*$AH$680</f>
        <v>1264790.7147774845</v>
      </c>
      <c r="AI121" s="6">
        <v>81732631.348112</v>
      </c>
      <c r="AJ121" s="6">
        <f>AI121/$AI$680*$AJ$680</f>
        <v>56023684.37849617</v>
      </c>
      <c r="AK121" s="6">
        <f>AJ121-AH121</f>
        <v>54758893.663718686</v>
      </c>
      <c r="AL121" s="6"/>
      <c r="AM121" s="6"/>
      <c r="AN121" s="6"/>
      <c r="AO121" s="6"/>
      <c r="AP121" s="6"/>
      <c r="AQ121" s="6"/>
      <c r="AR121" s="6">
        <v>875168.88989</v>
      </c>
      <c r="AS121" s="6">
        <f>AR121/$AR$680*$AS$680</f>
        <v>857948.8245997691</v>
      </c>
      <c r="AT121" s="6">
        <v>7623668.506181</v>
      </c>
      <c r="AU121" s="6">
        <f>AT121/$AT$680*$AU$680</f>
        <v>6291840.735424694</v>
      </c>
      <c r="AV121" s="6"/>
      <c r="AW121" s="6"/>
      <c r="AX121" s="6"/>
      <c r="AY121" s="6"/>
      <c r="AZ121" s="6">
        <v>75570.927029</v>
      </c>
      <c r="BA121" s="6">
        <f>AZ121/$AZ$680*$BA$680</f>
        <v>74056.97308612207</v>
      </c>
      <c r="BB121" s="6">
        <v>1178930.321972</v>
      </c>
      <c r="BC121" s="6">
        <f>BB121/$BB$680*$BC$680</f>
        <v>1156272.067103754</v>
      </c>
      <c r="BD121" s="6"/>
      <c r="BE121" s="6"/>
      <c r="BF121" s="6"/>
      <c r="BG121" s="6"/>
      <c r="BH121" s="6">
        <v>624376.924297</v>
      </c>
      <c r="BI121" s="6"/>
      <c r="BJ121" s="6">
        <v>146873490.045911</v>
      </c>
      <c r="BK121" s="6">
        <f>BJ121/BJ119*BI119</f>
        <v>645043.5299226138</v>
      </c>
      <c r="BL121" s="6">
        <f>BH121+BK121</f>
        <v>1269420.4542196137</v>
      </c>
      <c r="BM121" s="6"/>
      <c r="BN121" s="6"/>
      <c r="BO121" s="6">
        <v>222317.52099</v>
      </c>
      <c r="BP121" s="6"/>
      <c r="BQ121" s="6">
        <f>AG121+AI121+AL121+AN121+AP121+AR121+AT121+AV121+AX121+AZ121+BB121+BD121+BF121+BH121+BK121+BM121+BO121</f>
        <v>94657531.96839362</v>
      </c>
      <c r="BT121" s="6">
        <f>AJ121+AM121+AQ121+AS121+AU121+AW121+AY121+BA121+BC121+BG121+BL121+BN121+BP121</f>
        <v>65673223.43293013</v>
      </c>
      <c r="BW121" s="52"/>
      <c r="BX121" s="6">
        <f t="shared" si="2"/>
        <v>170544460.18101764</v>
      </c>
      <c r="BY121" s="6">
        <f t="shared" si="3"/>
        <v>143010220.33751512</v>
      </c>
    </row>
    <row r="122" spans="1:77" ht="12.75">
      <c r="A122" t="s">
        <v>752</v>
      </c>
      <c r="B122" t="s">
        <v>118</v>
      </c>
      <c r="J122"/>
      <c r="K122"/>
      <c r="L122"/>
      <c r="M122"/>
      <c r="V122"/>
      <c r="X122"/>
      <c r="Z122" s="12">
        <f>Z123+Z124</f>
        <v>55088968.241551995</v>
      </c>
      <c r="AC122" s="12">
        <f>AC123+AC124</f>
        <v>56141623.6856581</v>
      </c>
      <c r="AF122" s="51"/>
      <c r="AG122"/>
      <c r="AI122"/>
      <c r="AR122"/>
      <c r="AT122"/>
      <c r="AZ122"/>
      <c r="BB122"/>
      <c r="BD122"/>
      <c r="BE122"/>
      <c r="BF122"/>
      <c r="BH122"/>
      <c r="BI122">
        <v>630711</v>
      </c>
      <c r="BJ122" s="1">
        <v>85508788.110033</v>
      </c>
      <c r="BL122"/>
      <c r="BO122"/>
      <c r="BP122"/>
      <c r="BQ122" s="1">
        <f>BQ123+BQ124</f>
        <v>67387074.88158599</v>
      </c>
      <c r="BT122" s="1">
        <f>BT123+BT124</f>
        <v>47429155.12947665</v>
      </c>
      <c r="BW122" s="52"/>
      <c r="BX122" s="1">
        <f t="shared" si="2"/>
        <v>122476043.12313798</v>
      </c>
      <c r="BY122" s="1">
        <f t="shared" si="3"/>
        <v>103570778.81513475</v>
      </c>
    </row>
    <row r="123" spans="1:77" ht="12.75">
      <c r="A123" s="3" t="s">
        <v>753</v>
      </c>
      <c r="B123" s="3" t="s">
        <v>119</v>
      </c>
      <c r="C123" s="3" t="s">
        <v>1342</v>
      </c>
      <c r="D123" s="3"/>
      <c r="E123" s="4"/>
      <c r="F123" s="4">
        <v>17375777.298414</v>
      </c>
      <c r="G123" s="4">
        <f>F123*RPI_inc</f>
        <v>17707798.520676687</v>
      </c>
      <c r="H123" s="4"/>
      <c r="I123" s="4"/>
      <c r="J123" s="4">
        <v>216380.838617</v>
      </c>
      <c r="K123" s="4">
        <f>J123*RPI_inc</f>
        <v>220515.50432305734</v>
      </c>
      <c r="L123" s="3"/>
      <c r="M123" s="4"/>
      <c r="N123" s="4"/>
      <c r="O123" s="4"/>
      <c r="P123" s="4"/>
      <c r="Q123" s="4"/>
      <c r="R123" s="4"/>
      <c r="S123" s="4"/>
      <c r="T123" s="4">
        <v>647971.32067</v>
      </c>
      <c r="U123" s="4">
        <f>T123*RPI_inc</f>
        <v>660352.9382624205</v>
      </c>
      <c r="V123" s="3"/>
      <c r="W123" s="4"/>
      <c r="X123" s="3"/>
      <c r="Y123" s="4"/>
      <c r="Z123" s="13">
        <f>D123+F123+H123+J123+L123+N123+P123+R123+T123+V123+X123</f>
        <v>18240129.457701</v>
      </c>
      <c r="AC123" s="13">
        <f>E123+G123+I123+K123+M123+O123+Q123+S123+U123+W123+Y123</f>
        <v>18588666.963262167</v>
      </c>
      <c r="AF123" s="51"/>
      <c r="AG123" s="3"/>
      <c r="AH123" s="4"/>
      <c r="AI123" s="3"/>
      <c r="AJ123" s="4"/>
      <c r="AK123" s="4"/>
      <c r="AL123" s="4">
        <v>19196390.602047</v>
      </c>
      <c r="AM123" s="4">
        <f>AL123/$AL$680*$AM$680</f>
        <v>12852785.158470262</v>
      </c>
      <c r="AN123" s="4"/>
      <c r="AO123" s="4"/>
      <c r="AP123" s="4"/>
      <c r="AQ123" s="4"/>
      <c r="AR123" s="4">
        <v>312526.564558</v>
      </c>
      <c r="AS123" s="4">
        <f>AR123/$AR$680*$AS$680</f>
        <v>306377.20537854295</v>
      </c>
      <c r="AT123" s="3"/>
      <c r="AU123" s="4"/>
      <c r="AV123" s="4"/>
      <c r="AW123" s="4"/>
      <c r="AX123" s="4">
        <v>919198.995878</v>
      </c>
      <c r="AY123" s="4">
        <f>AX123/$AX$680*$AY$680</f>
        <v>900784.1928697368</v>
      </c>
      <c r="AZ123" s="3"/>
      <c r="BA123" s="4"/>
      <c r="BB123" s="3"/>
      <c r="BC123" s="4"/>
      <c r="BD123" s="4"/>
      <c r="BE123" s="4"/>
      <c r="BF123" s="4"/>
      <c r="BG123" s="4"/>
      <c r="BH123" s="4">
        <v>220994.121401</v>
      </c>
      <c r="BI123" s="4"/>
      <c r="BJ123" s="4">
        <v>30198961.084074</v>
      </c>
      <c r="BK123" s="4">
        <f>BJ123/BJ122*BI122</f>
        <v>222746.89380216555</v>
      </c>
      <c r="BL123" s="4">
        <f>BH123+BK123</f>
        <v>443741.0152031656</v>
      </c>
      <c r="BM123" s="4"/>
      <c r="BN123" s="4"/>
      <c r="BO123" s="4">
        <v>53436.085227</v>
      </c>
      <c r="BP123" s="4"/>
      <c r="BQ123" s="4">
        <f>AG123+AI123+AL123+AN123+AP123+AR123+AT123+AV123+AX123+AZ123+BB123+BD123+BF123+BH123+BK123+BM123+BO123</f>
        <v>20925293.262913167</v>
      </c>
      <c r="BT123" s="4">
        <f>AJ123+AM123+AQ123+AS123+AU123+AW123+AY123+BA123+BC123+BG123+BL123+BN123+BP123</f>
        <v>14503687.571921708</v>
      </c>
      <c r="BW123" s="52"/>
      <c r="BX123" s="4">
        <f t="shared" si="2"/>
        <v>39165422.720614165</v>
      </c>
      <c r="BY123" s="4">
        <f t="shared" si="3"/>
        <v>33092354.535183877</v>
      </c>
    </row>
    <row r="124" spans="1:77" ht="12.75">
      <c r="A124" s="5" t="s">
        <v>754</v>
      </c>
      <c r="B124" s="5" t="s">
        <v>120</v>
      </c>
      <c r="C124" s="5" t="s">
        <v>1342</v>
      </c>
      <c r="D124" s="6">
        <v>31761488.990719</v>
      </c>
      <c r="E124" s="6">
        <f>D124*RPI_inc</f>
        <v>32368396.423662677</v>
      </c>
      <c r="F124" s="6"/>
      <c r="G124" s="6"/>
      <c r="H124" s="6"/>
      <c r="I124" s="6"/>
      <c r="J124" s="6">
        <v>443200.817394</v>
      </c>
      <c r="K124" s="6">
        <f>J124*RPI_inc</f>
        <v>451669.62282191083</v>
      </c>
      <c r="L124" s="6">
        <v>2879327.09387</v>
      </c>
      <c r="M124" s="6">
        <f>L124*RPI_inc</f>
        <v>2934346.0829248405</v>
      </c>
      <c r="N124" s="6"/>
      <c r="O124" s="6"/>
      <c r="P124" s="6"/>
      <c r="Q124" s="6"/>
      <c r="R124" s="6"/>
      <c r="S124" s="6"/>
      <c r="T124" s="6"/>
      <c r="U124" s="6"/>
      <c r="V124" s="6">
        <v>64798.272451</v>
      </c>
      <c r="W124" s="6">
        <f>V124*RPI_inc</f>
        <v>66036.4560010191</v>
      </c>
      <c r="X124" s="6">
        <v>1700023.609417</v>
      </c>
      <c r="Y124" s="6">
        <f>X124*RPI_inc</f>
        <v>1732508.1369854778</v>
      </c>
      <c r="Z124" s="14">
        <f>D124+F124+H124+J124+L124+N124+P124+R124+T124+V124+X124</f>
        <v>36848838.783851</v>
      </c>
      <c r="AC124" s="14">
        <f>E124+G124+I124+K124+M124+O124+Q124+S124+U124+W124+Y124</f>
        <v>37552956.722395934</v>
      </c>
      <c r="AF124" s="51"/>
      <c r="AG124" s="6">
        <v>702581</v>
      </c>
      <c r="AH124" s="6">
        <f>AG124/$AG$680*$AH$680</f>
        <v>528994.6596661792</v>
      </c>
      <c r="AI124" s="6">
        <v>37950583.976036</v>
      </c>
      <c r="AJ124" s="6">
        <f>AI124/$AI$680*$AJ$680</f>
        <v>26013252.033909563</v>
      </c>
      <c r="AK124" s="6">
        <f>AJ124-AH124</f>
        <v>25484257.374243382</v>
      </c>
      <c r="AL124" s="6"/>
      <c r="AM124" s="6"/>
      <c r="AN124" s="6"/>
      <c r="AO124" s="6"/>
      <c r="AP124" s="6"/>
      <c r="AQ124" s="6"/>
      <c r="AR124" s="6">
        <v>640130.751663</v>
      </c>
      <c r="AS124" s="6">
        <f>AR124/$AR$680*$AS$680</f>
        <v>627535.3618299508</v>
      </c>
      <c r="AT124" s="6">
        <v>3642112.14673</v>
      </c>
      <c r="AU124" s="6">
        <f>AT124/$AT$680*$AU$680</f>
        <v>3005848.1096340623</v>
      </c>
      <c r="AV124" s="6"/>
      <c r="AW124" s="6"/>
      <c r="AX124" s="6"/>
      <c r="AY124" s="6"/>
      <c r="AZ124" s="6">
        <v>91921.51751</v>
      </c>
      <c r="BA124" s="6">
        <f>AZ124/$AZ$680*$BA$680</f>
        <v>90080.0031956899</v>
      </c>
      <c r="BB124" s="6">
        <v>2513782.283902</v>
      </c>
      <c r="BC124" s="6">
        <f>BB124/$BB$680*$BC$680</f>
        <v>2465469.064188846</v>
      </c>
      <c r="BD124" s="6"/>
      <c r="BE124" s="6"/>
      <c r="BF124" s="6"/>
      <c r="BG124" s="6"/>
      <c r="BH124" s="6">
        <v>404753.878599</v>
      </c>
      <c r="BI124" s="6"/>
      <c r="BJ124" s="6">
        <v>55309827.025959</v>
      </c>
      <c r="BK124" s="6">
        <f>BJ124/BJ122*BI122</f>
        <v>407964.10619783436</v>
      </c>
      <c r="BL124" s="6">
        <f>BH124+BK124</f>
        <v>812717.9847968344</v>
      </c>
      <c r="BM124" s="6"/>
      <c r="BN124" s="6"/>
      <c r="BO124" s="6">
        <v>107951.958035</v>
      </c>
      <c r="BP124" s="6">
        <v>-89435</v>
      </c>
      <c r="BQ124" s="6">
        <f>AG124+AI124+AL124+AN124+AP124+AR124+AT124+AV124+AX124+AZ124+BB124+BD124+BF124+BH124+BK124+BM124+BO124</f>
        <v>46461781.618672825</v>
      </c>
      <c r="BT124" s="6">
        <f>AJ124+AM124+AQ124+AS124+AU124+AW124+AY124+BA124+BC124+BG124+BL124+BN124+BP124</f>
        <v>32925467.55755494</v>
      </c>
      <c r="BW124" s="52"/>
      <c r="BX124" s="6">
        <f t="shared" si="2"/>
        <v>83310620.40252382</v>
      </c>
      <c r="BY124" s="6">
        <f t="shared" si="3"/>
        <v>70478424.27995087</v>
      </c>
    </row>
    <row r="125" spans="1:77" ht="12.75">
      <c r="A125" t="s">
        <v>755</v>
      </c>
      <c r="B125" t="s">
        <v>121</v>
      </c>
      <c r="J125"/>
      <c r="K125"/>
      <c r="L125"/>
      <c r="M125"/>
      <c r="V125"/>
      <c r="X125"/>
      <c r="Z125" s="12">
        <f>Z126+Z127</f>
        <v>75927213.39842801</v>
      </c>
      <c r="AC125" s="12">
        <f>AC126+AC127</f>
        <v>77378051.87100942</v>
      </c>
      <c r="AF125" s="51"/>
      <c r="AG125"/>
      <c r="AI125"/>
      <c r="AR125"/>
      <c r="AT125"/>
      <c r="AZ125"/>
      <c r="BB125"/>
      <c r="BD125"/>
      <c r="BE125"/>
      <c r="BF125"/>
      <c r="BH125"/>
      <c r="BI125">
        <v>862225</v>
      </c>
      <c r="BJ125" s="1">
        <v>133313847.260741</v>
      </c>
      <c r="BL125"/>
      <c r="BO125"/>
      <c r="BP125"/>
      <c r="BQ125" s="1">
        <f>BQ126+BQ127</f>
        <v>93853673.58311698</v>
      </c>
      <c r="BT125" s="1">
        <f>BT126+BT127</f>
        <v>65948613.67800228</v>
      </c>
      <c r="BW125" s="52"/>
      <c r="BX125" s="1">
        <f t="shared" si="2"/>
        <v>169780886.98154497</v>
      </c>
      <c r="BY125" s="1">
        <f t="shared" si="3"/>
        <v>143326665.5490117</v>
      </c>
    </row>
    <row r="126" spans="1:77" ht="12.75">
      <c r="A126" s="3" t="s">
        <v>756</v>
      </c>
      <c r="B126" s="3" t="s">
        <v>122</v>
      </c>
      <c r="C126" s="3" t="s">
        <v>1342</v>
      </c>
      <c r="D126" s="3"/>
      <c r="E126" s="4"/>
      <c r="F126" s="4">
        <v>18686224.613779</v>
      </c>
      <c r="G126" s="4">
        <f>F126*RPI_inc</f>
        <v>19043286.230602805</v>
      </c>
      <c r="H126" s="4"/>
      <c r="I126" s="4"/>
      <c r="J126" s="4">
        <v>235527.619372</v>
      </c>
      <c r="K126" s="4">
        <f>J126*RPI_inc</f>
        <v>240028.1471307006</v>
      </c>
      <c r="L126" s="3"/>
      <c r="M126" s="4"/>
      <c r="N126" s="4"/>
      <c r="O126" s="4"/>
      <c r="P126" s="4"/>
      <c r="Q126" s="4"/>
      <c r="R126" s="4"/>
      <c r="S126" s="4"/>
      <c r="T126" s="4">
        <v>354359.392356</v>
      </c>
      <c r="U126" s="4">
        <f>T126*RPI_inc</f>
        <v>361130.590936051</v>
      </c>
      <c r="V126" s="3"/>
      <c r="W126" s="4"/>
      <c r="X126" s="3"/>
      <c r="Y126" s="4"/>
      <c r="Z126" s="13">
        <f>D126+F126+H126+J126+L126+N126+P126+R126+T126+V126+X126</f>
        <v>19276111.625507</v>
      </c>
      <c r="AC126" s="13">
        <f>E126+G126+I126+K126+M126+O126+Q126+S126+U126+W126+Y126</f>
        <v>19644444.968669556</v>
      </c>
      <c r="AF126" s="51"/>
      <c r="AG126" s="3"/>
      <c r="AH126" s="4"/>
      <c r="AI126" s="3"/>
      <c r="AJ126" s="4"/>
      <c r="AK126" s="4"/>
      <c r="AL126" s="4">
        <v>20644145.03036</v>
      </c>
      <c r="AM126" s="4">
        <f>AL126/$AL$680*$AM$680</f>
        <v>13822117.207139175</v>
      </c>
      <c r="AN126" s="4"/>
      <c r="AO126" s="4"/>
      <c r="AP126" s="4"/>
      <c r="AQ126" s="4"/>
      <c r="AR126" s="4">
        <v>340180.943059</v>
      </c>
      <c r="AS126" s="4">
        <f>AR126/$AR$680*$AS$680</f>
        <v>333487.44867449946</v>
      </c>
      <c r="AT126" s="3"/>
      <c r="AU126" s="4"/>
      <c r="AV126" s="4"/>
      <c r="AW126" s="4"/>
      <c r="AX126" s="4">
        <v>502687.059201</v>
      </c>
      <c r="AY126" s="4">
        <f>AX126/$AX$680*$AY$680</f>
        <v>492616.46163561917</v>
      </c>
      <c r="AZ126" s="3"/>
      <c r="BA126" s="4"/>
      <c r="BB126" s="3"/>
      <c r="BC126" s="4"/>
      <c r="BD126" s="4"/>
      <c r="BE126" s="4"/>
      <c r="BF126" s="4"/>
      <c r="BG126" s="4"/>
      <c r="BH126" s="4">
        <v>237439.494521</v>
      </c>
      <c r="BI126" s="4"/>
      <c r="BJ126" s="4">
        <v>36629589.413914</v>
      </c>
      <c r="BK126" s="4">
        <f>BJ126/BJ125*BI125</f>
        <v>236906.7308562531</v>
      </c>
      <c r="BL126" s="4">
        <f>BH126+BK126</f>
        <v>474346.2253772531</v>
      </c>
      <c r="BM126" s="4"/>
      <c r="BN126" s="4"/>
      <c r="BO126" s="4">
        <v>56471.087338</v>
      </c>
      <c r="BP126" s="4"/>
      <c r="BQ126" s="4">
        <f>AG126+AI126+AL126+AN126+AP126+AR126+AT126+AV126+AX126+AZ126+BB126+BD126+BF126+BH126+BK126+BM126+BO126</f>
        <v>22017830.345335253</v>
      </c>
      <c r="BT126" s="4">
        <f>AJ126+AM126+AQ126+AS126+AU126+AW126+AY126+BA126+BC126+BG126+BL126+BN126+BP126</f>
        <v>15122567.342826547</v>
      </c>
      <c r="BW126" s="52"/>
      <c r="BX126" s="4">
        <f t="shared" si="2"/>
        <v>41293941.97084226</v>
      </c>
      <c r="BY126" s="4">
        <f t="shared" si="3"/>
        <v>34767012.3114961</v>
      </c>
    </row>
    <row r="127" spans="1:77" ht="12.75">
      <c r="A127" s="5" t="s">
        <v>757</v>
      </c>
      <c r="B127" s="5" t="s">
        <v>123</v>
      </c>
      <c r="C127" s="5" t="s">
        <v>1342</v>
      </c>
      <c r="D127" s="6">
        <v>48877733.907931</v>
      </c>
      <c r="E127" s="6">
        <f>D127*RPI_inc</f>
        <v>49811703.34566216</v>
      </c>
      <c r="F127" s="6"/>
      <c r="G127" s="6"/>
      <c r="H127" s="6"/>
      <c r="I127" s="6"/>
      <c r="J127" s="6">
        <v>626012.046447</v>
      </c>
      <c r="K127" s="6">
        <f>J127*RPI_inc</f>
        <v>637974.0600733758</v>
      </c>
      <c r="L127" s="6">
        <v>4199633.531111</v>
      </c>
      <c r="M127" s="6">
        <f>L127*RPI_inc</f>
        <v>4279881.305590828</v>
      </c>
      <c r="N127" s="6"/>
      <c r="O127" s="6"/>
      <c r="P127" s="6"/>
      <c r="Q127" s="6"/>
      <c r="R127" s="6"/>
      <c r="S127" s="6"/>
      <c r="T127" s="6"/>
      <c r="U127" s="6"/>
      <c r="V127" s="6">
        <v>54494.084563</v>
      </c>
      <c r="W127" s="6">
        <f>V127*RPI_inc</f>
        <v>55535.37280305732</v>
      </c>
      <c r="X127" s="6">
        <v>2893228.202869</v>
      </c>
      <c r="Y127" s="6">
        <f>X127*RPI_inc</f>
        <v>2948512.818210446</v>
      </c>
      <c r="Z127" s="14">
        <f>D127+F127+H127+J127+L127+N127+P127+R127+T127+V127+X127</f>
        <v>56651101.772921</v>
      </c>
      <c r="AC127" s="14">
        <f>E127+G127+I127+K127+M127+O127+Q127+S127+U127+W127+Y127</f>
        <v>57733606.90233987</v>
      </c>
      <c r="AF127" s="51"/>
      <c r="AG127" s="6">
        <v>1443897</v>
      </c>
      <c r="AH127" s="6">
        <f>AG127/$AG$680*$AH$680</f>
        <v>1087154.082031847</v>
      </c>
      <c r="AI127" s="6">
        <v>58402127.991333</v>
      </c>
      <c r="AJ127" s="6">
        <f>AI127/$AI$680*$AJ$680</f>
        <v>40031775.946175456</v>
      </c>
      <c r="AK127" s="6">
        <f>AJ127-AH127</f>
        <v>38944621.86414361</v>
      </c>
      <c r="AL127" s="6"/>
      <c r="AM127" s="6"/>
      <c r="AN127" s="6"/>
      <c r="AO127" s="6"/>
      <c r="AP127" s="6"/>
      <c r="AQ127" s="6"/>
      <c r="AR127" s="6">
        <v>904171.531539</v>
      </c>
      <c r="AS127" s="6">
        <f>AR127/$AR$680*$AS$680</f>
        <v>886380.8022448787</v>
      </c>
      <c r="AT127" s="6">
        <v>5312191.285262</v>
      </c>
      <c r="AU127" s="6">
        <f>AT127/$AT$680*$AU$680</f>
        <v>4384170.363110745</v>
      </c>
      <c r="AV127" s="6"/>
      <c r="AW127" s="6"/>
      <c r="AX127" s="6"/>
      <c r="AY127" s="6"/>
      <c r="AZ127" s="6">
        <v>77304.205171</v>
      </c>
      <c r="BA127" s="6">
        <f>AZ127/$AZ$680*$BA$680</f>
        <v>75755.52751385325</v>
      </c>
      <c r="BB127" s="6">
        <v>4278143.997159</v>
      </c>
      <c r="BC127" s="6">
        <f>BB127/$BB$680*$BC$680</f>
        <v>4195920.9215080645</v>
      </c>
      <c r="BD127" s="6"/>
      <c r="BE127" s="6"/>
      <c r="BF127" s="6"/>
      <c r="BG127" s="6"/>
      <c r="BH127" s="6">
        <v>626724.505479</v>
      </c>
      <c r="BI127" s="6"/>
      <c r="BJ127" s="6">
        <v>96684257.846826</v>
      </c>
      <c r="BK127" s="6">
        <f>BJ127/BJ125*BI125</f>
        <v>625318.2691437405</v>
      </c>
      <c r="BL127" s="6">
        <f>BH127+BK127</f>
        <v>1252042.7746227407</v>
      </c>
      <c r="BM127" s="6"/>
      <c r="BN127" s="6"/>
      <c r="BO127" s="6">
        <v>165964.452695</v>
      </c>
      <c r="BP127" s="6"/>
      <c r="BQ127" s="6">
        <f>AG127+AI127+AL127+AN127+AP127+AR127+AT127+AV127+AX127+AZ127+BB127+BD127+BF127+BH127+BK127+BM127+BO127</f>
        <v>71835843.23778173</v>
      </c>
      <c r="BT127" s="6">
        <f>AJ127+AM127+AQ127+AS127+AU127+AW127+AY127+BA127+BC127+BG127+BL127+BN127+BP127</f>
        <v>50826046.33517574</v>
      </c>
      <c r="BW127" s="52"/>
      <c r="BX127" s="6">
        <f t="shared" si="2"/>
        <v>128486945.01070273</v>
      </c>
      <c r="BY127" s="6">
        <f t="shared" si="3"/>
        <v>108559653.2375156</v>
      </c>
    </row>
    <row r="128" spans="1:77" ht="12.75">
      <c r="A128" t="s">
        <v>758</v>
      </c>
      <c r="B128" t="s">
        <v>124</v>
      </c>
      <c r="J128"/>
      <c r="K128"/>
      <c r="L128"/>
      <c r="M128"/>
      <c r="V128"/>
      <c r="X128"/>
      <c r="Z128" s="12">
        <f>Z129+Z130</f>
        <v>46961093.09221199</v>
      </c>
      <c r="AC128" s="12">
        <f>AC129+AC130</f>
        <v>47858438.82008866</v>
      </c>
      <c r="AF128" s="51"/>
      <c r="AG128"/>
      <c r="AI128"/>
      <c r="AR128"/>
      <c r="AT128"/>
      <c r="AZ128"/>
      <c r="BB128"/>
      <c r="BD128"/>
      <c r="BE128"/>
      <c r="BF128"/>
      <c r="BH128"/>
      <c r="BI128">
        <v>804877</v>
      </c>
      <c r="BJ128" s="1">
        <v>61586522.997945</v>
      </c>
      <c r="BL128"/>
      <c r="BO128"/>
      <c r="BP128"/>
      <c r="BQ128" s="1">
        <f>BQ129+BQ130</f>
        <v>57599164.06876299</v>
      </c>
      <c r="BT128" s="1">
        <f>BT129+BT130</f>
        <v>41013879.40770759</v>
      </c>
      <c r="BW128" s="52"/>
      <c r="BX128" s="1">
        <f t="shared" si="2"/>
        <v>104560257.16097498</v>
      </c>
      <c r="BY128" s="1">
        <f t="shared" si="3"/>
        <v>88872318.22779626</v>
      </c>
    </row>
    <row r="129" spans="1:77" ht="12.75">
      <c r="A129" s="3" t="s">
        <v>759</v>
      </c>
      <c r="B129" s="3" t="s">
        <v>125</v>
      </c>
      <c r="C129" s="3" t="s">
        <v>1342</v>
      </c>
      <c r="D129" s="3"/>
      <c r="E129" s="4"/>
      <c r="F129" s="4">
        <v>19590226.422326</v>
      </c>
      <c r="G129" s="4">
        <f>F129*RPI_inc</f>
        <v>19964561.95905834</v>
      </c>
      <c r="H129" s="4"/>
      <c r="I129" s="4"/>
      <c r="J129" s="4">
        <v>356191.321939</v>
      </c>
      <c r="K129" s="4">
        <f>J129*RPI_inc</f>
        <v>362997.52554292994</v>
      </c>
      <c r="L129" s="3"/>
      <c r="M129" s="4"/>
      <c r="N129" s="4"/>
      <c r="O129" s="4"/>
      <c r="P129" s="4"/>
      <c r="Q129" s="4"/>
      <c r="R129" s="4"/>
      <c r="S129" s="4"/>
      <c r="T129" s="4">
        <v>890960.769561</v>
      </c>
      <c r="U129" s="4">
        <f>T129*RPI_inc</f>
        <v>907985.4976417834</v>
      </c>
      <c r="V129" s="3"/>
      <c r="W129" s="4"/>
      <c r="X129" s="3"/>
      <c r="Y129" s="4"/>
      <c r="Z129" s="13">
        <f>D129+F129+H129+J129+L129+N129+P129+R129+T129+V129+X129</f>
        <v>20837378.513825998</v>
      </c>
      <c r="AC129" s="13">
        <f>E129+G129+I129+K129+M129+O129+Q129+S129+U129+W129+Y129</f>
        <v>21235544.982243054</v>
      </c>
      <c r="AF129" s="51"/>
      <c r="AG129" s="3"/>
      <c r="AH129" s="4"/>
      <c r="AI129" s="3"/>
      <c r="AJ129" s="4"/>
      <c r="AK129" s="4"/>
      <c r="AL129" s="4">
        <v>21642867.07449</v>
      </c>
      <c r="AM129" s="4">
        <f>AL129/$AL$680*$AM$680</f>
        <v>14490803.322791684</v>
      </c>
      <c r="AN129" s="4"/>
      <c r="AO129" s="4"/>
      <c r="AP129" s="4"/>
      <c r="AQ129" s="4"/>
      <c r="AR129" s="4">
        <v>514459.833332</v>
      </c>
      <c r="AS129" s="4">
        <f>AR129/$AR$680*$AS$680</f>
        <v>504337.17926886043</v>
      </c>
      <c r="AT129" s="3"/>
      <c r="AU129" s="4"/>
      <c r="AV129" s="4"/>
      <c r="AW129" s="4"/>
      <c r="AX129" s="4">
        <v>1263898.908212</v>
      </c>
      <c r="AY129" s="4">
        <f>AX129/$AX$680*$AY$680</f>
        <v>1238578.5482883565</v>
      </c>
      <c r="AZ129" s="3"/>
      <c r="BA129" s="4"/>
      <c r="BB129" s="3"/>
      <c r="BC129" s="4"/>
      <c r="BD129" s="4"/>
      <c r="BE129" s="4"/>
      <c r="BF129" s="4"/>
      <c r="BG129" s="4"/>
      <c r="BH129" s="4">
        <v>385821.436598</v>
      </c>
      <c r="BI129" s="4"/>
      <c r="BJ129" s="4">
        <v>29554569.217966</v>
      </c>
      <c r="BK129" s="4">
        <f>BJ129/BJ128*BI128</f>
        <v>386249.9756520199</v>
      </c>
      <c r="BL129" s="4">
        <f>BH129+BK129</f>
        <v>772071.4122500198</v>
      </c>
      <c r="BM129" s="4"/>
      <c r="BN129" s="4"/>
      <c r="BO129" s="4">
        <v>61044.957863</v>
      </c>
      <c r="BP129" s="4"/>
      <c r="BQ129" s="4">
        <f>AG129+AI129+AL129+AN129+AP129+AR129+AT129+AV129+AX129+AZ129+BB129+BD129+BF129+BH129+BK129+BM129+BO129</f>
        <v>24254342.186147016</v>
      </c>
      <c r="BT129" s="4">
        <f>AJ129+AM129+AQ129+AS129+AU129+AW129+AY129+BA129+BC129+BG129+BL129+BN129+BP129</f>
        <v>17005790.462598924</v>
      </c>
      <c r="BW129" s="52"/>
      <c r="BX129" s="4">
        <f t="shared" si="2"/>
        <v>45091720.69997302</v>
      </c>
      <c r="BY129" s="4">
        <f t="shared" si="3"/>
        <v>38241335.44484198</v>
      </c>
    </row>
    <row r="130" spans="1:77" ht="12.75">
      <c r="A130" s="5" t="s">
        <v>760</v>
      </c>
      <c r="B130" s="5" t="s">
        <v>126</v>
      </c>
      <c r="C130" s="5" t="s">
        <v>1342</v>
      </c>
      <c r="D130" s="6">
        <v>21857905.160083</v>
      </c>
      <c r="E130" s="6">
        <f>D130*RPI_inc</f>
        <v>22275572.137664203</v>
      </c>
      <c r="F130" s="6"/>
      <c r="G130" s="6"/>
      <c r="H130" s="6"/>
      <c r="I130" s="6"/>
      <c r="J130" s="6">
        <v>436885.364605</v>
      </c>
      <c r="K130" s="6">
        <f>J130*RPI_inc</f>
        <v>445233.4925910828</v>
      </c>
      <c r="L130" s="6">
        <v>2212636.836598</v>
      </c>
      <c r="M130" s="6">
        <f>L130*RPI_inc</f>
        <v>2254916.521373758</v>
      </c>
      <c r="N130" s="6"/>
      <c r="O130" s="6"/>
      <c r="P130" s="6"/>
      <c r="Q130" s="6"/>
      <c r="R130" s="6"/>
      <c r="S130" s="6"/>
      <c r="T130" s="6"/>
      <c r="U130" s="6"/>
      <c r="V130" s="6">
        <v>53557.34021</v>
      </c>
      <c r="W130" s="6">
        <f>V130*RPI_inc</f>
        <v>54580.728876433124</v>
      </c>
      <c r="X130" s="6">
        <v>1562729.87689</v>
      </c>
      <c r="Y130" s="6">
        <f>X130*RPI_inc</f>
        <v>1592590.9573401273</v>
      </c>
      <c r="Z130" s="14">
        <f>D130+F130+H130+J130+L130+N130+P130+R130+T130+V130+X130</f>
        <v>26123714.578385998</v>
      </c>
      <c r="AC130" s="14">
        <f>E130+G130+I130+K130+M130+O130+Q130+S130+U130+W130+Y130</f>
        <v>26622893.83784561</v>
      </c>
      <c r="AF130" s="51"/>
      <c r="AG130" s="6">
        <v>497771</v>
      </c>
      <c r="AH130" s="6">
        <f>AG130/$AG$680*$AH$680</f>
        <v>374786.9651139067</v>
      </c>
      <c r="AI130" s="6">
        <v>26117171.822781</v>
      </c>
      <c r="AJ130" s="6">
        <f>AI130/$AI$680*$AJ$680</f>
        <v>17902032.112810906</v>
      </c>
      <c r="AK130" s="6">
        <f>AJ130-AH130</f>
        <v>17527245.147696998</v>
      </c>
      <c r="AL130" s="6"/>
      <c r="AM130" s="6"/>
      <c r="AN130" s="6"/>
      <c r="AO130" s="6"/>
      <c r="AP130" s="6"/>
      <c r="AQ130" s="6"/>
      <c r="AR130" s="6">
        <v>631009.117898</v>
      </c>
      <c r="AS130" s="6">
        <f>AR130/$AR$680*$AS$680</f>
        <v>618593.207855425</v>
      </c>
      <c r="AT130" s="6">
        <v>2798803.760793</v>
      </c>
      <c r="AU130" s="6">
        <f>AT130/$AT$680*$AU$680</f>
        <v>2309862.699085088</v>
      </c>
      <c r="AV130" s="6"/>
      <c r="AW130" s="6"/>
      <c r="AX130" s="6"/>
      <c r="AY130" s="6"/>
      <c r="AZ130" s="6">
        <v>75975.358595</v>
      </c>
      <c r="BA130" s="6">
        <f>AZ130/$AZ$680*$BA$680</f>
        <v>74453.30245213537</v>
      </c>
      <c r="BB130" s="6">
        <v>2310769.484194</v>
      </c>
      <c r="BC130" s="6">
        <f>BB130/$BB$680*$BC$680</f>
        <v>2266358.0351551343</v>
      </c>
      <c r="BD130" s="6"/>
      <c r="BE130" s="6"/>
      <c r="BF130" s="6"/>
      <c r="BG130" s="6"/>
      <c r="BH130" s="6">
        <v>418162.563402</v>
      </c>
      <c r="BI130" s="6"/>
      <c r="BJ130" s="6">
        <v>32031953.779979</v>
      </c>
      <c r="BK130" s="6">
        <f>BJ130/BJ128*BI128</f>
        <v>418627.02434798004</v>
      </c>
      <c r="BL130" s="6">
        <f>BH130+BK130</f>
        <v>836789.58774998</v>
      </c>
      <c r="BM130" s="6"/>
      <c r="BN130" s="6"/>
      <c r="BO130" s="6">
        <v>76531.750605</v>
      </c>
      <c r="BP130" s="6"/>
      <c r="BQ130" s="6">
        <f>AG130+AI130+AL130+AN130+AP130+AR130+AT130+AV130+AX130+AZ130+BB130+BD130+BF130+BH130+BK130+BM130+BO130</f>
        <v>33344821.882615976</v>
      </c>
      <c r="BT130" s="6">
        <f>AJ130+AM130+AQ130+AS130+AU130+AW130+AY130+BA130+BC130+BG130+BL130+BN130+BP130</f>
        <v>24008088.945108667</v>
      </c>
      <c r="BW130" s="52"/>
      <c r="BX130" s="6">
        <f aca="true" t="shared" si="4" ref="BX130:BX193">Z130+BQ130</f>
        <v>59468536.46100198</v>
      </c>
      <c r="BY130" s="6">
        <f aca="true" t="shared" si="5" ref="BY130:BY193">AC130+BT130</f>
        <v>50630982.782954276</v>
      </c>
    </row>
    <row r="131" spans="1:77" ht="12.75">
      <c r="A131" t="s">
        <v>761</v>
      </c>
      <c r="B131" t="s">
        <v>127</v>
      </c>
      <c r="J131"/>
      <c r="K131"/>
      <c r="L131"/>
      <c r="M131"/>
      <c r="V131"/>
      <c r="X131"/>
      <c r="Z131" s="12">
        <f>Z132+Z133</f>
        <v>99326929.701184</v>
      </c>
      <c r="AC131" s="12">
        <f>AC132+AC133</f>
        <v>101224896.51076077</v>
      </c>
      <c r="AF131" s="51"/>
      <c r="AG131"/>
      <c r="AI131"/>
      <c r="AR131"/>
      <c r="AT131"/>
      <c r="AZ131"/>
      <c r="BB131"/>
      <c r="BD131"/>
      <c r="BE131"/>
      <c r="BF131"/>
      <c r="BH131"/>
      <c r="BI131">
        <v>1034215</v>
      </c>
      <c r="BJ131" s="1">
        <v>181057547.697269</v>
      </c>
      <c r="BL131"/>
      <c r="BO131"/>
      <c r="BP131"/>
      <c r="BQ131" s="1">
        <f>BQ132+BQ133</f>
        <v>122810685.02277601</v>
      </c>
      <c r="BT131" s="1">
        <f>BT132+BT133</f>
        <v>86436261.82406199</v>
      </c>
      <c r="BW131" s="52"/>
      <c r="BX131" s="1">
        <f t="shared" si="4"/>
        <v>222137614.72396</v>
      </c>
      <c r="BY131" s="1">
        <f t="shared" si="5"/>
        <v>187661158.33482277</v>
      </c>
    </row>
    <row r="132" spans="1:77" ht="12.75">
      <c r="A132" s="3" t="s">
        <v>762</v>
      </c>
      <c r="B132" s="3" t="s">
        <v>128</v>
      </c>
      <c r="C132" s="3" t="s">
        <v>1342</v>
      </c>
      <c r="D132" s="3"/>
      <c r="E132" s="4"/>
      <c r="F132" s="4">
        <v>22476873.170047</v>
      </c>
      <c r="G132" s="4">
        <f>F132*RPI_inc</f>
        <v>22906367.561831336</v>
      </c>
      <c r="H132" s="4"/>
      <c r="I132" s="4"/>
      <c r="J132" s="4">
        <v>242939.752535</v>
      </c>
      <c r="K132" s="4">
        <f>J132*RPI_inc</f>
        <v>247581.91341146498</v>
      </c>
      <c r="L132" s="3"/>
      <c r="M132" s="4"/>
      <c r="N132" s="4"/>
      <c r="O132" s="4"/>
      <c r="P132" s="4"/>
      <c r="Q132" s="4"/>
      <c r="R132" s="4"/>
      <c r="S132" s="4"/>
      <c r="T132" s="4">
        <v>1133950.218452</v>
      </c>
      <c r="U132" s="4">
        <f>T132*RPI_inc</f>
        <v>1155618.0570211466</v>
      </c>
      <c r="V132" s="3"/>
      <c r="W132" s="4"/>
      <c r="X132" s="3"/>
      <c r="Y132" s="4"/>
      <c r="Z132" s="13">
        <f>D132+F132+H132+J132+L132+N132+P132+R132+T132+V132+X132</f>
        <v>23853763.141034</v>
      </c>
      <c r="AC132" s="13">
        <f>E132+G132+I132+K132+M132+O132+Q132+S132+U132+W132+Y132</f>
        <v>24309567.53226395</v>
      </c>
      <c r="AF132" s="51"/>
      <c r="AG132" s="3"/>
      <c r="AH132" s="4"/>
      <c r="AI132" s="3"/>
      <c r="AJ132" s="4"/>
      <c r="AK132" s="4"/>
      <c r="AL132" s="4">
        <v>24831973.239222</v>
      </c>
      <c r="AM132" s="4">
        <f>AL132/$AL$680*$AM$680</f>
        <v>16626043.07866968</v>
      </c>
      <c r="AN132" s="4"/>
      <c r="AO132" s="4"/>
      <c r="AP132" s="4"/>
      <c r="AQ132" s="4"/>
      <c r="AR132" s="4">
        <v>350886.551414</v>
      </c>
      <c r="AS132" s="4">
        <f>AR132/$AR$680*$AS$680</f>
        <v>343982.4105166099</v>
      </c>
      <c r="AT132" s="3"/>
      <c r="AU132" s="4"/>
      <c r="AV132" s="4"/>
      <c r="AW132" s="4"/>
      <c r="AX132" s="4">
        <v>1608598.820546</v>
      </c>
      <c r="AY132" s="4">
        <f>AX132/$AX$680*$AY$680</f>
        <v>1576372.9037069757</v>
      </c>
      <c r="AZ132" s="3"/>
      <c r="BA132" s="4"/>
      <c r="BB132" s="3"/>
      <c r="BC132" s="4"/>
      <c r="BD132" s="4"/>
      <c r="BE132" s="4"/>
      <c r="BF132" s="4"/>
      <c r="BG132" s="4"/>
      <c r="BH132" s="4">
        <v>252435.699607</v>
      </c>
      <c r="BI132" s="4"/>
      <c r="BJ132" s="4">
        <v>45677936.282463</v>
      </c>
      <c r="BK132" s="4">
        <f>BJ132/BJ131*BI131</f>
        <v>260915.9765675984</v>
      </c>
      <c r="BL132" s="4">
        <f>BH132+BK132</f>
        <v>513351.6761745984</v>
      </c>
      <c r="BM132" s="4"/>
      <c r="BN132" s="4"/>
      <c r="BO132" s="4">
        <v>69881.725519</v>
      </c>
      <c r="BP132" s="4"/>
      <c r="BQ132" s="4">
        <f>AG132+AI132+AL132+AN132+AP132+AR132+AT132+AV132+AX132+AZ132+BB132+BD132+BF132+BH132+BK132+BM132+BO132</f>
        <v>27374692.012875605</v>
      </c>
      <c r="BT132" s="4">
        <f>AJ132+AM132+AQ132+AS132+AU132+AW132+AY132+BA132+BC132+BG132+BL132+BN132+BP132</f>
        <v>19059750.069067866</v>
      </c>
      <c r="BW132" s="52"/>
      <c r="BX132" s="4">
        <f t="shared" si="4"/>
        <v>51228455.15390961</v>
      </c>
      <c r="BY132" s="4">
        <f t="shared" si="5"/>
        <v>43369317.601331815</v>
      </c>
    </row>
    <row r="133" spans="1:77" ht="12.75">
      <c r="A133" s="5" t="s">
        <v>763</v>
      </c>
      <c r="B133" s="5" t="s">
        <v>129</v>
      </c>
      <c r="C133" s="5" t="s">
        <v>1342</v>
      </c>
      <c r="D133" s="6">
        <v>65224265.868351</v>
      </c>
      <c r="E133" s="6">
        <f>D133*RPI_inc</f>
        <v>66470589.41997554</v>
      </c>
      <c r="F133" s="6"/>
      <c r="G133" s="6"/>
      <c r="H133" s="6"/>
      <c r="I133" s="6"/>
      <c r="J133" s="6">
        <v>760043.016017</v>
      </c>
      <c r="K133" s="6">
        <f>J133*RPI_inc</f>
        <v>774566.1309727388</v>
      </c>
      <c r="L133" s="6">
        <v>5903301.270706</v>
      </c>
      <c r="M133" s="6">
        <f>L133*RPI_inc</f>
        <v>6016103.205815031</v>
      </c>
      <c r="N133" s="6"/>
      <c r="O133" s="6"/>
      <c r="P133" s="6"/>
      <c r="Q133" s="6"/>
      <c r="R133" s="6"/>
      <c r="S133" s="6"/>
      <c r="T133" s="6"/>
      <c r="U133" s="6"/>
      <c r="V133" s="6">
        <v>61132.751068</v>
      </c>
      <c r="W133" s="6">
        <f>V133*RPI_inc</f>
        <v>62300.892808152865</v>
      </c>
      <c r="X133" s="6">
        <v>3524423.654008</v>
      </c>
      <c r="Y133" s="6">
        <f>X133*RPI_inc</f>
        <v>3591769.3289253507</v>
      </c>
      <c r="Z133" s="14">
        <f>D133+F133+H133+J133+L133+N133+P133+R133+T133+V133+X133</f>
        <v>75473166.56015</v>
      </c>
      <c r="AC133" s="14">
        <f>E133+G133+I133+K133+M133+O133+Q133+S133+U133+W133+Y133</f>
        <v>76915328.97849682</v>
      </c>
      <c r="AF133" s="51"/>
      <c r="AG133" s="6">
        <v>1896305</v>
      </c>
      <c r="AH133" s="6">
        <f>AG133/$AG$680*$AH$680</f>
        <v>1427785.8611295694</v>
      </c>
      <c r="AI133" s="6">
        <v>77933971.541304</v>
      </c>
      <c r="AJ133" s="6">
        <f>AI133/$AI$680*$AJ$680</f>
        <v>53419890.58686503</v>
      </c>
      <c r="AK133" s="6">
        <f>AJ133-AH133</f>
        <v>51992104.72573546</v>
      </c>
      <c r="AL133" s="6"/>
      <c r="AM133" s="6"/>
      <c r="AN133" s="6"/>
      <c r="AO133" s="6"/>
      <c r="AP133" s="6"/>
      <c r="AQ133" s="6"/>
      <c r="AR133" s="6">
        <v>1097757.242417</v>
      </c>
      <c r="AS133" s="6">
        <f>AR133/$AR$680*$AS$680</f>
        <v>1076157.4670986377</v>
      </c>
      <c r="AT133" s="6">
        <v>7467190.966118</v>
      </c>
      <c r="AU133" s="6">
        <f>AT133/$AT$680*$AU$680</f>
        <v>6162699.2650224585</v>
      </c>
      <c r="AV133" s="6"/>
      <c r="AW133" s="6"/>
      <c r="AX133" s="6"/>
      <c r="AY133" s="6"/>
      <c r="AZ133" s="6">
        <v>86721.683081</v>
      </c>
      <c r="BA133" s="6">
        <f>AZ133/$AZ$680*$BA$680</f>
        <v>84984.33990955647</v>
      </c>
      <c r="BB133" s="6">
        <v>5211476.88381</v>
      </c>
      <c r="BC133" s="6">
        <f>BB133/$BB$680*$BC$680</f>
        <v>5111315.772273042</v>
      </c>
      <c r="BD133" s="6"/>
      <c r="BE133" s="6"/>
      <c r="BF133" s="6"/>
      <c r="BG133" s="6"/>
      <c r="BH133" s="6">
        <v>748165.300393</v>
      </c>
      <c r="BI133" s="6"/>
      <c r="BJ133" s="6">
        <v>135379611.414806</v>
      </c>
      <c r="BK133" s="6">
        <f>BJ133/BJ131*BI131</f>
        <v>773299.0234324017</v>
      </c>
      <c r="BL133" s="6">
        <f>BH133+BK133</f>
        <v>1521464.3238254017</v>
      </c>
      <c r="BM133" s="6"/>
      <c r="BN133" s="6"/>
      <c r="BO133" s="6">
        <v>221105.369345</v>
      </c>
      <c r="BP133" s="6"/>
      <c r="BQ133" s="6">
        <f>AG133+AI133+AL133+AN133+AP133+AR133+AT133+AV133+AX133+AZ133+BB133+BD133+BF133+BH133+BK133+BM133+BO133</f>
        <v>95435993.0099004</v>
      </c>
      <c r="BT133" s="6">
        <f>AJ133+AM133+AQ133+AS133+AU133+AW133+AY133+BA133+BC133+BG133+BL133+BN133+BP133</f>
        <v>67376511.75499412</v>
      </c>
      <c r="BW133" s="52"/>
      <c r="BX133" s="6">
        <f t="shared" si="4"/>
        <v>170909159.57005042</v>
      </c>
      <c r="BY133" s="6">
        <f t="shared" si="5"/>
        <v>144291840.73349094</v>
      </c>
    </row>
    <row r="134" spans="1:77" ht="12.75">
      <c r="A134" t="s">
        <v>764</v>
      </c>
      <c r="B134" t="s">
        <v>130</v>
      </c>
      <c r="J134"/>
      <c r="K134"/>
      <c r="L134"/>
      <c r="M134"/>
      <c r="V134"/>
      <c r="X134"/>
      <c r="Z134" s="12">
        <f>Z135+Z136</f>
        <v>84743713.760736</v>
      </c>
      <c r="AC134" s="12">
        <f>AC135+AC136</f>
        <v>86363020.39310674</v>
      </c>
      <c r="AF134" s="51"/>
      <c r="AG134"/>
      <c r="AI134"/>
      <c r="AR134"/>
      <c r="AT134"/>
      <c r="AZ134"/>
      <c r="BB134"/>
      <c r="BD134"/>
      <c r="BE134"/>
      <c r="BF134"/>
      <c r="BH134"/>
      <c r="BI134">
        <v>968432</v>
      </c>
      <c r="BJ134" s="1">
        <v>170214711.459038</v>
      </c>
      <c r="BL134"/>
      <c r="BO134"/>
      <c r="BP134"/>
      <c r="BQ134" s="1">
        <f>BQ135+BQ136</f>
        <v>104501973.69331202</v>
      </c>
      <c r="BT134" s="1">
        <f>BT135+BT136</f>
        <v>72975900.38282375</v>
      </c>
      <c r="BW134" s="52"/>
      <c r="BX134" s="1">
        <f t="shared" si="4"/>
        <v>189245687.45404804</v>
      </c>
      <c r="BY134" s="1">
        <f t="shared" si="5"/>
        <v>159338920.7759305</v>
      </c>
    </row>
    <row r="135" spans="1:77" ht="12.75">
      <c r="A135" s="3" t="s">
        <v>765</v>
      </c>
      <c r="B135" s="3" t="s">
        <v>131</v>
      </c>
      <c r="C135" s="3" t="s">
        <v>1342</v>
      </c>
      <c r="D135" s="3"/>
      <c r="E135" s="4"/>
      <c r="F135" s="4">
        <v>15530997.524647</v>
      </c>
      <c r="G135" s="4">
        <f>F135*RPI_inc</f>
        <v>15827768.177984202</v>
      </c>
      <c r="H135" s="4"/>
      <c r="I135" s="4"/>
      <c r="J135" s="4">
        <v>186084.81413</v>
      </c>
      <c r="K135" s="4">
        <f>J135*RPI_inc</f>
        <v>189640.57490955415</v>
      </c>
      <c r="L135" s="3"/>
      <c r="M135" s="4"/>
      <c r="N135" s="4"/>
      <c r="O135" s="4"/>
      <c r="P135" s="4"/>
      <c r="Q135" s="4"/>
      <c r="R135" s="4"/>
      <c r="S135" s="4"/>
      <c r="T135" s="4">
        <v>202491.139529</v>
      </c>
      <c r="U135" s="4">
        <f>T135*RPI_inc</f>
        <v>206360.3969722293</v>
      </c>
      <c r="V135" s="3"/>
      <c r="W135" s="4"/>
      <c r="X135" s="3"/>
      <c r="Y135" s="4"/>
      <c r="Z135" s="13">
        <f>D135+F135+H135+J135+L135+N135+P135+R135+T135+V135+X135</f>
        <v>15919573.478306</v>
      </c>
      <c r="AC135" s="13">
        <f>E135+G135+I135+K135+M135+O135+Q135+S135+U135+W135+Y135</f>
        <v>16223769.149865987</v>
      </c>
      <c r="AF135" s="51"/>
      <c r="AG135" s="3"/>
      <c r="AH135" s="4"/>
      <c r="AI135" s="3"/>
      <c r="AJ135" s="4"/>
      <c r="AK135" s="4"/>
      <c r="AL135" s="4">
        <v>17158316.995106</v>
      </c>
      <c r="AM135" s="4">
        <f>AL135/$AL$680*$AM$680</f>
        <v>11488209.767700294</v>
      </c>
      <c r="AN135" s="4"/>
      <c r="AO135" s="4"/>
      <c r="AP135" s="4"/>
      <c r="AQ135" s="4"/>
      <c r="AR135" s="4">
        <v>268768.935586</v>
      </c>
      <c r="AS135" s="4">
        <f>AR135/$AR$680*$AS$680</f>
        <v>263480.56362460804</v>
      </c>
      <c r="AT135" s="3"/>
      <c r="AU135" s="4"/>
      <c r="AV135" s="4"/>
      <c r="AW135" s="4"/>
      <c r="AX135" s="4">
        <v>287249.830652</v>
      </c>
      <c r="AY135" s="4">
        <f>AX135/$AX$680*$AY$680</f>
        <v>281495.20181827183</v>
      </c>
      <c r="AZ135" s="3"/>
      <c r="BA135" s="4"/>
      <c r="BB135" s="3"/>
      <c r="BC135" s="4"/>
      <c r="BD135" s="4"/>
      <c r="BE135" s="4"/>
      <c r="BF135" s="4"/>
      <c r="BG135" s="4"/>
      <c r="BH135" s="4"/>
      <c r="BI135" s="4"/>
      <c r="BJ135" s="4">
        <v>34231435.057022</v>
      </c>
      <c r="BK135" s="4">
        <f>BJ135/BJ134*BI134</f>
        <v>194758.8244927915</v>
      </c>
      <c r="BL135" s="4">
        <f>BH135+BK135</f>
        <v>194758.8244927915</v>
      </c>
      <c r="BM135" s="4"/>
      <c r="BN135" s="4"/>
      <c r="BO135" s="4">
        <v>46637.809624</v>
      </c>
      <c r="BP135" s="4"/>
      <c r="BQ135" s="4">
        <f>AG135+AI135+AL135+AN135+AP135+AR135+AT135+AV135+AX135+AZ135+BB135+BD135+BF135+BH135+BK135+BM135+BO135</f>
        <v>17955732.395460792</v>
      </c>
      <c r="BT135" s="4">
        <f>AJ135+AM135+AQ135+AS135+AU135+AW135+AY135+BA135+BC135+BG135+BL135+BN135+BP135</f>
        <v>12227944.357635966</v>
      </c>
      <c r="BW135" s="52"/>
      <c r="BX135" s="4">
        <f t="shared" si="4"/>
        <v>33875305.873766795</v>
      </c>
      <c r="BY135" s="4">
        <f t="shared" si="5"/>
        <v>28451713.507501952</v>
      </c>
    </row>
    <row r="136" spans="1:77" ht="12.75">
      <c r="A136" s="5" t="s">
        <v>766</v>
      </c>
      <c r="B136" s="5" t="s">
        <v>132</v>
      </c>
      <c r="C136" s="5" t="s">
        <v>1342</v>
      </c>
      <c r="D136" s="6">
        <v>59413445.427908</v>
      </c>
      <c r="E136" s="6">
        <f>D136*RPI_inc</f>
        <v>60548734.19404637</v>
      </c>
      <c r="F136" s="6"/>
      <c r="G136" s="6"/>
      <c r="H136" s="6"/>
      <c r="I136" s="6"/>
      <c r="J136" s="6">
        <v>752830.342566</v>
      </c>
      <c r="K136" s="6">
        <f>J136*RPI_inc</f>
        <v>767215.6357360509</v>
      </c>
      <c r="L136" s="6">
        <v>5301953.428816</v>
      </c>
      <c r="M136" s="6">
        <f>L136*RPI_inc</f>
        <v>5403264.6408315925</v>
      </c>
      <c r="N136" s="6"/>
      <c r="O136" s="6"/>
      <c r="P136" s="6"/>
      <c r="Q136" s="6"/>
      <c r="R136" s="6"/>
      <c r="S136" s="6"/>
      <c r="T136" s="6"/>
      <c r="U136" s="6"/>
      <c r="V136" s="6">
        <v>58444.702054</v>
      </c>
      <c r="W136" s="6">
        <f>V136*RPI_inc</f>
        <v>59561.479800254776</v>
      </c>
      <c r="X136" s="6">
        <v>3297466.381086</v>
      </c>
      <c r="Y136" s="6">
        <f>X136*RPI_inc</f>
        <v>3360475.2928264965</v>
      </c>
      <c r="Z136" s="14">
        <f>D136+F136+H136+J136+L136+N136+P136+R136+T136+V136+X136</f>
        <v>68824140.28243001</v>
      </c>
      <c r="AC136" s="14">
        <f>E136+G136+I136+K136+M136+O136+Q136+S136+U136+W136+Y136</f>
        <v>70139251.24324076</v>
      </c>
      <c r="AF136" s="51"/>
      <c r="AG136" s="6">
        <v>1827432</v>
      </c>
      <c r="AH136" s="6">
        <f>AG136/$AG$680*$AH$680</f>
        <v>1375929.2791907056</v>
      </c>
      <c r="AI136" s="6">
        <v>70990845.255281</v>
      </c>
      <c r="AJ136" s="6">
        <f>AI136/$AI$680*$AJ$680</f>
        <v>48660720.23798113</v>
      </c>
      <c r="AK136" s="6">
        <f>AJ136-AH136</f>
        <v>47284790.95879043</v>
      </c>
      <c r="AL136" s="6"/>
      <c r="AM136" s="6"/>
      <c r="AN136" s="6"/>
      <c r="AO136" s="6"/>
      <c r="AP136" s="6"/>
      <c r="AQ136" s="6"/>
      <c r="AR136" s="6">
        <v>1087339.720841</v>
      </c>
      <c r="AS136" s="6">
        <f>AR136/$AR$680*$AS$680</f>
        <v>1065944.9235603325</v>
      </c>
      <c r="AT136" s="6">
        <v>6706535.36571</v>
      </c>
      <c r="AU136" s="6">
        <f>AT136/$AT$680*$AU$680</f>
        <v>5534927.492365275</v>
      </c>
      <c r="AV136" s="6"/>
      <c r="AW136" s="6"/>
      <c r="AX136" s="6"/>
      <c r="AY136" s="6"/>
      <c r="AZ136" s="6">
        <v>82908.471167</v>
      </c>
      <c r="BA136" s="6">
        <f>AZ136/$AZ$680*$BA$680</f>
        <v>81247.52016697993</v>
      </c>
      <c r="BB136" s="6">
        <v>4875880.855195</v>
      </c>
      <c r="BC136" s="6">
        <f>BB136/$BB$680*$BC$680</f>
        <v>4782169.675606871</v>
      </c>
      <c r="BD136" s="6"/>
      <c r="BE136" s="6"/>
      <c r="BF136" s="6"/>
      <c r="BG136" s="6"/>
      <c r="BH136" s="6"/>
      <c r="BI136" s="6"/>
      <c r="BJ136" s="6">
        <v>135983276.402016</v>
      </c>
      <c r="BK136" s="6">
        <f>BJ136/BJ134*BI134</f>
        <v>773673.1755072087</v>
      </c>
      <c r="BL136" s="6">
        <f>BH136+BK136</f>
        <v>773673.1755072087</v>
      </c>
      <c r="BM136" s="6"/>
      <c r="BN136" s="6"/>
      <c r="BO136" s="6">
        <v>201626.45415</v>
      </c>
      <c r="BP136" s="6">
        <v>-150727</v>
      </c>
      <c r="BQ136" s="6">
        <f>AG136+AI136+AL136+AN136+AP136+AR136+AT136+AV136+AX136+AZ136+BB136+BD136+BF136+BH136+BK136+BM136+BO136</f>
        <v>86546241.29785122</v>
      </c>
      <c r="BT136" s="6">
        <f>AJ136+AM136+AQ136+AS136+AU136+AW136+AY136+BA136+BC136+BG136+BL136+BN136+BP136</f>
        <v>60747956.02518779</v>
      </c>
      <c r="BW136" s="52"/>
      <c r="BX136" s="6">
        <f t="shared" si="4"/>
        <v>155370381.58028123</v>
      </c>
      <c r="BY136" s="6">
        <f t="shared" si="5"/>
        <v>130887207.26842855</v>
      </c>
    </row>
    <row r="137" spans="1:77" ht="12.75">
      <c r="A137" t="s">
        <v>767</v>
      </c>
      <c r="B137" t="s">
        <v>133</v>
      </c>
      <c r="J137"/>
      <c r="K137"/>
      <c r="L137"/>
      <c r="M137"/>
      <c r="V137"/>
      <c r="X137"/>
      <c r="Z137" s="12">
        <f>Z138+Z139</f>
        <v>103193253.926979</v>
      </c>
      <c r="AC137" s="12">
        <f>AC138+AC139</f>
        <v>105165099.5434181</v>
      </c>
      <c r="AF137" s="51"/>
      <c r="AG137"/>
      <c r="AI137"/>
      <c r="AR137"/>
      <c r="AT137"/>
      <c r="AZ137"/>
      <c r="BB137"/>
      <c r="BD137"/>
      <c r="BE137"/>
      <c r="BF137"/>
      <c r="BH137"/>
      <c r="BI137">
        <v>940894</v>
      </c>
      <c r="BJ137" s="1">
        <v>191648561.902884</v>
      </c>
      <c r="BL137"/>
      <c r="BO137"/>
      <c r="BP137"/>
      <c r="BQ137" s="1">
        <f>BQ138+BQ139</f>
        <v>126848932.37773201</v>
      </c>
      <c r="BT137" s="1">
        <f>BT138+BT139</f>
        <v>89293805.06185164</v>
      </c>
      <c r="BW137" s="52"/>
      <c r="BX137" s="1">
        <f t="shared" si="4"/>
        <v>230042186.304711</v>
      </c>
      <c r="BY137" s="1">
        <f t="shared" si="5"/>
        <v>194458904.60526973</v>
      </c>
    </row>
    <row r="138" spans="1:77" ht="12.75">
      <c r="A138" s="3" t="s">
        <v>768</v>
      </c>
      <c r="B138" s="3" t="s">
        <v>134</v>
      </c>
      <c r="C138" s="3" t="s">
        <v>1342</v>
      </c>
      <c r="D138" s="3"/>
      <c r="E138" s="4"/>
      <c r="F138" s="4">
        <v>25548020.469796</v>
      </c>
      <c r="G138" s="4">
        <f>F138*RPI_inc</f>
        <v>26036199.20488764</v>
      </c>
      <c r="H138" s="4"/>
      <c r="I138" s="4"/>
      <c r="J138" s="4">
        <v>251347.004759</v>
      </c>
      <c r="K138" s="4">
        <f>J138*RPI_inc</f>
        <v>256149.81376713375</v>
      </c>
      <c r="L138" s="3"/>
      <c r="M138" s="4"/>
      <c r="N138" s="4"/>
      <c r="O138" s="4"/>
      <c r="P138" s="4"/>
      <c r="Q138" s="4"/>
      <c r="R138" s="4"/>
      <c r="S138" s="4"/>
      <c r="T138" s="4">
        <v>627722.573269</v>
      </c>
      <c r="U138" s="4">
        <f>T138*RPI_inc</f>
        <v>639717.2721212739</v>
      </c>
      <c r="V138" s="3"/>
      <c r="W138" s="4"/>
      <c r="X138" s="3"/>
      <c r="Y138" s="4"/>
      <c r="Z138" s="13">
        <f>D138+F138+H138+J138+L138+N138+P138+R138+T138+V138+X138</f>
        <v>26427090.047823995</v>
      </c>
      <c r="AC138" s="13">
        <f>E138+G138+I138+K138+M138+O138+Q138+S138+U138+W138+Y138</f>
        <v>26932066.290776048</v>
      </c>
      <c r="AF138" s="51"/>
      <c r="AG138" s="3"/>
      <c r="AH138" s="4"/>
      <c r="AI138" s="3"/>
      <c r="AJ138" s="4"/>
      <c r="AK138" s="4"/>
      <c r="AL138" s="4">
        <v>28224911.704645</v>
      </c>
      <c r="AM138" s="4">
        <f>AL138/$AL$680*$AM$680</f>
        <v>18897757.071994103</v>
      </c>
      <c r="AN138" s="4"/>
      <c r="AO138" s="4"/>
      <c r="AP138" s="4"/>
      <c r="AQ138" s="4"/>
      <c r="AR138" s="4">
        <v>363029.445728</v>
      </c>
      <c r="AS138" s="4">
        <f>AR138/$AR$680*$AS$680</f>
        <v>355886.37788140617</v>
      </c>
      <c r="AT138" s="3"/>
      <c r="AU138" s="4"/>
      <c r="AV138" s="4"/>
      <c r="AW138" s="4"/>
      <c r="AX138" s="4">
        <v>890474.532797</v>
      </c>
      <c r="AY138" s="4">
        <f>AX138/$AX$680*$AY$680</f>
        <v>872635.1822549893</v>
      </c>
      <c r="AZ138" s="3"/>
      <c r="BA138" s="4"/>
      <c r="BB138" s="3"/>
      <c r="BC138" s="4"/>
      <c r="BD138" s="4"/>
      <c r="BE138" s="4"/>
      <c r="BF138" s="4"/>
      <c r="BG138" s="4"/>
      <c r="BH138" s="4">
        <v>256062.881715</v>
      </c>
      <c r="BI138" s="4"/>
      <c r="BJ138" s="4">
        <v>52828896.883465</v>
      </c>
      <c r="BK138" s="4">
        <f>BJ138/BJ137*BI137</f>
        <v>259362.19719435793</v>
      </c>
      <c r="BL138" s="4">
        <f>BH138+BK138</f>
        <v>515425.0789093579</v>
      </c>
      <c r="BM138" s="4"/>
      <c r="BN138" s="4"/>
      <c r="BO138" s="4">
        <v>77420.516086</v>
      </c>
      <c r="BP138" s="4"/>
      <c r="BQ138" s="4">
        <f>AG138+AI138+AL138+AN138+AP138+AR138+AT138+AV138+AX138+AZ138+BB138+BD138+BF138+BH138+BK138+BM138+BO138</f>
        <v>30071261.27816536</v>
      </c>
      <c r="BT138" s="4">
        <f>AJ138+AM138+AQ138+AS138+AU138+AW138+AY138+BA138+BC138+BG138+BL138+BN138+BP138</f>
        <v>20641703.711039856</v>
      </c>
      <c r="BW138" s="52"/>
      <c r="BX138" s="4">
        <f t="shared" si="4"/>
        <v>56498351.32598935</v>
      </c>
      <c r="BY138" s="4">
        <f t="shared" si="5"/>
        <v>47573770.0018159</v>
      </c>
    </row>
    <row r="139" spans="1:77" ht="12.75">
      <c r="A139" s="5" t="s">
        <v>769</v>
      </c>
      <c r="B139" s="5" t="s">
        <v>135</v>
      </c>
      <c r="C139" s="5" t="s">
        <v>1342</v>
      </c>
      <c r="D139" s="6">
        <v>65741555.947745</v>
      </c>
      <c r="E139" s="6">
        <f>D139*RPI_inc</f>
        <v>66997764.02317962</v>
      </c>
      <c r="F139" s="6"/>
      <c r="G139" s="6"/>
      <c r="H139" s="6"/>
      <c r="I139" s="6"/>
      <c r="J139" s="6">
        <v>668051.286972</v>
      </c>
      <c r="K139" s="6">
        <f>J139*RPI_inc</f>
        <v>680816.5981880255</v>
      </c>
      <c r="L139" s="6">
        <v>5871091.524824</v>
      </c>
      <c r="M139" s="6">
        <f>L139*RPI_inc</f>
        <v>5983277.987081784</v>
      </c>
      <c r="N139" s="6"/>
      <c r="O139" s="6"/>
      <c r="P139" s="6"/>
      <c r="Q139" s="6"/>
      <c r="R139" s="6"/>
      <c r="S139" s="6"/>
      <c r="T139" s="6"/>
      <c r="U139" s="6"/>
      <c r="V139" s="6">
        <v>74450.812094</v>
      </c>
      <c r="W139" s="6">
        <f>V139*RPI_inc</f>
        <v>75873.4390766879</v>
      </c>
      <c r="X139" s="6">
        <v>4411014.30752</v>
      </c>
      <c r="Y139" s="6">
        <f>X139*RPI_inc</f>
        <v>4495301.205115924</v>
      </c>
      <c r="Z139" s="14">
        <f>D139+F139+H139+J139+L139+N139+P139+R139+T139+V139+X139</f>
        <v>76766163.87915501</v>
      </c>
      <c r="AC139" s="14">
        <f>E139+G139+I139+K139+M139+O139+Q139+S139+U139+W139+Y139</f>
        <v>78233033.25264205</v>
      </c>
      <c r="AF139" s="51"/>
      <c r="AG139" s="6">
        <v>1626913</v>
      </c>
      <c r="AH139" s="6">
        <f>AG139/$AG$680*$AH$680</f>
        <v>1224952.4093897822</v>
      </c>
      <c r="AI139" s="6">
        <v>78552061.60011</v>
      </c>
      <c r="AJ139" s="6">
        <f>AI139/$AI$680*$AJ$680</f>
        <v>53843560.812586114</v>
      </c>
      <c r="AK139" s="6">
        <f>AJ139-AH139</f>
        <v>52618608.403196335</v>
      </c>
      <c r="AL139" s="6"/>
      <c r="AM139" s="6"/>
      <c r="AN139" s="6"/>
      <c r="AO139" s="6"/>
      <c r="AP139" s="6"/>
      <c r="AQ139" s="6"/>
      <c r="AR139" s="6">
        <v>964890.306371</v>
      </c>
      <c r="AS139" s="6">
        <f>AR139/$AR$680*$AS$680</f>
        <v>945904.8576586859</v>
      </c>
      <c r="AT139" s="6">
        <v>7426448.284617</v>
      </c>
      <c r="AU139" s="6">
        <f>AT139/$AT$680*$AU$680</f>
        <v>6129074.185058582</v>
      </c>
      <c r="AV139" s="6"/>
      <c r="AW139" s="6"/>
      <c r="AX139" s="6"/>
      <c r="AY139" s="6"/>
      <c r="AZ139" s="6">
        <v>105614.414838</v>
      </c>
      <c r="BA139" s="6">
        <f>AZ139/$AZ$680*$BA$680</f>
        <v>103498.583180842</v>
      </c>
      <c r="BB139" s="6">
        <v>6522456.252287</v>
      </c>
      <c r="BC139" s="6">
        <f>BB139/$BB$680*$BC$680</f>
        <v>6397098.991236917</v>
      </c>
      <c r="BD139" s="6"/>
      <c r="BE139" s="6"/>
      <c r="BF139" s="6"/>
      <c r="BG139" s="6"/>
      <c r="BH139" s="6">
        <v>672862.118285</v>
      </c>
      <c r="BI139" s="6"/>
      <c r="BJ139" s="6">
        <v>138819665.019419</v>
      </c>
      <c r="BK139" s="6">
        <f>BJ139/BJ137*BI137</f>
        <v>681531.8028056421</v>
      </c>
      <c r="BL139" s="6">
        <f>BH139+BK139</f>
        <v>1354393.921090642</v>
      </c>
      <c r="BM139" s="6"/>
      <c r="BN139" s="6"/>
      <c r="BO139" s="6">
        <v>224893.320253</v>
      </c>
      <c r="BP139" s="6">
        <v>-121430</v>
      </c>
      <c r="BQ139" s="6">
        <f>AG139+AI139+AL139+AN139+AP139+AR139+AT139+AV139+AX139+AZ139+BB139+BD139+BF139+BH139+BK139+BM139+BO139</f>
        <v>96777671.09956665</v>
      </c>
      <c r="BT139" s="6">
        <f>AJ139+AM139+AQ139+AS139+AU139+AW139+AY139+BA139+BC139+BG139+BL139+BN139+BP139</f>
        <v>68652101.35081178</v>
      </c>
      <c r="BW139" s="52"/>
      <c r="BX139" s="6">
        <f t="shared" si="4"/>
        <v>173543834.97872168</v>
      </c>
      <c r="BY139" s="6">
        <f t="shared" si="5"/>
        <v>146885134.60345381</v>
      </c>
    </row>
    <row r="140" spans="1:77" ht="12.75">
      <c r="A140" t="s">
        <v>770</v>
      </c>
      <c r="B140" t="s">
        <v>136</v>
      </c>
      <c r="J140"/>
      <c r="K140"/>
      <c r="L140"/>
      <c r="M140"/>
      <c r="V140"/>
      <c r="X140"/>
      <c r="Z140" s="12">
        <f>Z141+Z142</f>
        <v>99321567.76833999</v>
      </c>
      <c r="AC140" s="12">
        <f>AC141+AC142</f>
        <v>101219432.12060127</v>
      </c>
      <c r="AF140" s="51"/>
      <c r="AG140"/>
      <c r="AI140"/>
      <c r="AR140"/>
      <c r="AT140"/>
      <c r="AZ140"/>
      <c r="BB140"/>
      <c r="BD140"/>
      <c r="BE140"/>
      <c r="BF140"/>
      <c r="BH140"/>
      <c r="BI140">
        <v>871270</v>
      </c>
      <c r="BJ140" s="1">
        <v>201815736.179404</v>
      </c>
      <c r="BL140"/>
      <c r="BO140"/>
      <c r="BP140"/>
      <c r="BQ140" s="1">
        <f>BQ141+BQ142</f>
        <v>120866255.00120199</v>
      </c>
      <c r="BT140" s="1">
        <f>BT141+BT142</f>
        <v>83588411.8426076</v>
      </c>
      <c r="BW140" s="52"/>
      <c r="BX140" s="1">
        <f t="shared" si="4"/>
        <v>220187822.76954198</v>
      </c>
      <c r="BY140" s="1">
        <f t="shared" si="5"/>
        <v>184807843.96320885</v>
      </c>
    </row>
    <row r="141" spans="1:77" ht="12.75">
      <c r="A141" s="3" t="s">
        <v>771</v>
      </c>
      <c r="B141" s="3" t="s">
        <v>137</v>
      </c>
      <c r="C141" s="3" t="s">
        <v>1342</v>
      </c>
      <c r="D141" s="3"/>
      <c r="E141" s="4"/>
      <c r="F141" s="4">
        <v>28435469.729657</v>
      </c>
      <c r="G141" s="4">
        <f>F141*RPI_inc</f>
        <v>28978822.654427517</v>
      </c>
      <c r="H141" s="4"/>
      <c r="I141" s="4"/>
      <c r="J141" s="4">
        <v>221763.553783</v>
      </c>
      <c r="K141" s="4">
        <f>J141*RPI_inc</f>
        <v>226001.0739189809</v>
      </c>
      <c r="L141" s="3"/>
      <c r="M141" s="4"/>
      <c r="N141" s="4"/>
      <c r="O141" s="4"/>
      <c r="P141" s="4"/>
      <c r="Q141" s="4"/>
      <c r="R141" s="4"/>
      <c r="S141" s="4"/>
      <c r="T141" s="4">
        <v>708718.784712</v>
      </c>
      <c r="U141" s="4">
        <f>T141*RPI_inc</f>
        <v>722261.181872102</v>
      </c>
      <c r="V141" s="3"/>
      <c r="W141" s="4"/>
      <c r="X141" s="3"/>
      <c r="Y141" s="4"/>
      <c r="Z141" s="13">
        <f>D141+F141+H141+J141+L141+N141+P141+R141+T141+V141+X141</f>
        <v>29365952.068152003</v>
      </c>
      <c r="AC141" s="13">
        <f>E141+G141+I141+K141+M141+O141+Q141+S141+U141+W141+Y141</f>
        <v>29927084.9102186</v>
      </c>
      <c r="AF141" s="51"/>
      <c r="AG141" s="3"/>
      <c r="AH141" s="4"/>
      <c r="AI141" s="3"/>
      <c r="AJ141" s="4"/>
      <c r="AK141" s="4"/>
      <c r="AL141" s="4">
        <v>31414904.467786</v>
      </c>
      <c r="AM141" s="4">
        <f>AL141/$AL$680*$AM$680</f>
        <v>21033590.442531694</v>
      </c>
      <c r="AN141" s="4"/>
      <c r="AO141" s="4"/>
      <c r="AP141" s="4"/>
      <c r="AQ141" s="4"/>
      <c r="AR141" s="4">
        <v>320301.012099</v>
      </c>
      <c r="AS141" s="4">
        <f>AR141/$AR$680*$AS$680</f>
        <v>313998.68073806114</v>
      </c>
      <c r="AT141" s="3"/>
      <c r="AU141" s="4"/>
      <c r="AV141" s="4"/>
      <c r="AW141" s="4"/>
      <c r="AX141" s="4">
        <v>1005374.118402</v>
      </c>
      <c r="AY141" s="4">
        <f>AX141/$AX$680*$AY$680</f>
        <v>985232.9232712383</v>
      </c>
      <c r="AZ141" s="3"/>
      <c r="BA141" s="4"/>
      <c r="BB141" s="3"/>
      <c r="BC141" s="4"/>
      <c r="BD141" s="4"/>
      <c r="BE141" s="4"/>
      <c r="BF141" s="4"/>
      <c r="BG141" s="4"/>
      <c r="BH141" s="4">
        <v>261229.196479</v>
      </c>
      <c r="BI141" s="4"/>
      <c r="BJ141" s="4">
        <v>62289587.319655</v>
      </c>
      <c r="BK141" s="4">
        <f>BJ141/BJ140*BI140</f>
        <v>268913.8605908887</v>
      </c>
      <c r="BL141" s="4">
        <f>BH141+BK141</f>
        <v>530143.0570698887</v>
      </c>
      <c r="BM141" s="4"/>
      <c r="BN141" s="4"/>
      <c r="BO141" s="4">
        <v>86030.174354</v>
      </c>
      <c r="BP141" s="4"/>
      <c r="BQ141" s="4">
        <f>AG141+AI141+AL141+AN141+AP141+AR141+AT141+AV141+AX141+AZ141+BB141+BD141+BF141+BH141+BK141+BM141+BO141</f>
        <v>33356752.82971089</v>
      </c>
      <c r="BT141" s="4">
        <f>AJ141+AM141+AQ141+AS141+AU141+AW141+AY141+BA141+BC141+BG141+BL141+BN141+BP141</f>
        <v>22862965.103610884</v>
      </c>
      <c r="BW141" s="52"/>
      <c r="BX141" s="4">
        <f t="shared" si="4"/>
        <v>62722704.8978629</v>
      </c>
      <c r="BY141" s="4">
        <f t="shared" si="5"/>
        <v>52790050.013829485</v>
      </c>
    </row>
    <row r="142" spans="1:77" ht="12.75">
      <c r="A142" s="5" t="s">
        <v>772</v>
      </c>
      <c r="B142" s="5" t="s">
        <v>138</v>
      </c>
      <c r="C142" s="5" t="s">
        <v>1342</v>
      </c>
      <c r="D142" s="6">
        <v>62423814.684352</v>
      </c>
      <c r="E142" s="6">
        <f>D142*RPI_inc</f>
        <v>63616626.42991287</v>
      </c>
      <c r="F142" s="6"/>
      <c r="G142" s="6"/>
      <c r="H142" s="6"/>
      <c r="I142" s="6"/>
      <c r="J142" s="6">
        <v>579945.028339</v>
      </c>
      <c r="K142" s="6">
        <f>J142*RPI_inc</f>
        <v>591026.7804728661</v>
      </c>
      <c r="L142" s="6">
        <v>6122985.484646</v>
      </c>
      <c r="M142" s="6">
        <f>L142*RPI_inc</f>
        <v>6239985.207282548</v>
      </c>
      <c r="N142" s="6"/>
      <c r="O142" s="6"/>
      <c r="P142" s="6"/>
      <c r="Q142" s="6"/>
      <c r="R142" s="6"/>
      <c r="S142" s="6"/>
      <c r="T142" s="6"/>
      <c r="U142" s="6"/>
      <c r="V142" s="6">
        <v>59666.542515</v>
      </c>
      <c r="W142" s="6">
        <f>V142*RPI_inc</f>
        <v>60806.667531210194</v>
      </c>
      <c r="X142" s="6">
        <v>769203.960336</v>
      </c>
      <c r="Y142" s="6">
        <f>X142*RPI_inc</f>
        <v>783902.1251831846</v>
      </c>
      <c r="Z142" s="14">
        <f>D142+F142+H142+J142+L142+N142+P142+R142+T142+V142+X142</f>
        <v>69955615.700188</v>
      </c>
      <c r="AC142" s="14">
        <f>E142+G142+I142+K142+M142+O142+Q142+S142+U142+W142+Y142</f>
        <v>71292347.21038267</v>
      </c>
      <c r="AF142" s="51"/>
      <c r="AG142" s="6">
        <v>1724489</v>
      </c>
      <c r="AH142" s="6">
        <f>AG142/$AG$680*$AH$680</f>
        <v>1298420.3553085974</v>
      </c>
      <c r="AI142" s="6">
        <v>74587819.921644</v>
      </c>
      <c r="AJ142" s="6">
        <f>AI142/$AI$680*$AJ$680</f>
        <v>51126268.82123279</v>
      </c>
      <c r="AK142" s="6">
        <f>AJ142-AH142</f>
        <v>49827848.46592419</v>
      </c>
      <c r="AL142" s="6"/>
      <c r="AM142" s="6"/>
      <c r="AN142" s="6"/>
      <c r="AO142" s="6"/>
      <c r="AP142" s="6"/>
      <c r="AQ142" s="6"/>
      <c r="AR142" s="6">
        <v>837635.293854</v>
      </c>
      <c r="AS142" s="6">
        <f>AR142/$AR$680*$AS$680</f>
        <v>821153.7499872149</v>
      </c>
      <c r="AT142" s="6">
        <v>7745073.442805</v>
      </c>
      <c r="AU142" s="6">
        <f>AT142/$AT$680*$AU$680</f>
        <v>6392036.661456003</v>
      </c>
      <c r="AV142" s="6"/>
      <c r="AW142" s="6"/>
      <c r="AX142" s="6"/>
      <c r="AY142" s="6"/>
      <c r="AZ142" s="6">
        <v>84641.74931</v>
      </c>
      <c r="BA142" s="6">
        <f>AZ142/$AZ$680*$BA$680</f>
        <v>82946.07459569108</v>
      </c>
      <c r="BB142" s="6">
        <v>1137402.608698</v>
      </c>
      <c r="BC142" s="6">
        <f>BB142/$BB$680*$BC$680</f>
        <v>1115542.488794918</v>
      </c>
      <c r="BD142" s="6"/>
      <c r="BE142" s="6"/>
      <c r="BF142" s="6"/>
      <c r="BG142" s="6"/>
      <c r="BH142" s="6">
        <v>585142.803521</v>
      </c>
      <c r="BI142" s="6"/>
      <c r="BJ142" s="6">
        <v>139526148.859748</v>
      </c>
      <c r="BK142" s="6">
        <f>BJ142/BJ140*BI140</f>
        <v>602356.139409107</v>
      </c>
      <c r="BL142" s="6">
        <f>BH142+BK142</f>
        <v>1187498.942930107</v>
      </c>
      <c r="BM142" s="6"/>
      <c r="BN142" s="6"/>
      <c r="BO142" s="6">
        <v>204941.21225</v>
      </c>
      <c r="BP142" s="6"/>
      <c r="BQ142" s="6">
        <f>AG142+AI142+AL142+AN142+AP142+AR142+AT142+AV142+AX142+AZ142+BB142+BD142+BF142+BH142+BK142+BM142+BO142</f>
        <v>87509502.1714911</v>
      </c>
      <c r="BT142" s="6">
        <f>AJ142+AM142+AQ142+AS142+AU142+AW142+AY142+BA142+BC142+BG142+BL142+BN142+BP142</f>
        <v>60725446.73899672</v>
      </c>
      <c r="BW142" s="52"/>
      <c r="BX142" s="6">
        <f t="shared" si="4"/>
        <v>157465117.8716791</v>
      </c>
      <c r="BY142" s="6">
        <f t="shared" si="5"/>
        <v>132017793.94937938</v>
      </c>
    </row>
    <row r="143" spans="1:77" ht="12.75">
      <c r="A143" t="s">
        <v>773</v>
      </c>
      <c r="B143" t="s">
        <v>139</v>
      </c>
      <c r="J143"/>
      <c r="K143"/>
      <c r="L143"/>
      <c r="M143"/>
      <c r="V143"/>
      <c r="X143"/>
      <c r="Z143" s="12">
        <f>Z144+Z145</f>
        <v>65825251.13729101</v>
      </c>
      <c r="AC143" s="12">
        <f>AC144+AC145</f>
        <v>67083058.48386345</v>
      </c>
      <c r="AF143" s="51"/>
      <c r="AG143"/>
      <c r="AI143"/>
      <c r="AR143"/>
      <c r="AT143"/>
      <c r="AZ143"/>
      <c r="BB143"/>
      <c r="BD143"/>
      <c r="BE143"/>
      <c r="BF143"/>
      <c r="BH143"/>
      <c r="BI143">
        <v>511728</v>
      </c>
      <c r="BJ143" s="1">
        <v>97828107.396753</v>
      </c>
      <c r="BL143"/>
      <c r="BO143"/>
      <c r="BP143"/>
      <c r="BQ143" s="1">
        <f>BQ144+BQ145</f>
        <v>80074088.689952</v>
      </c>
      <c r="BT143" s="1">
        <f>BT144+BT145</f>
        <v>56632395.37034234</v>
      </c>
      <c r="BW143" s="52"/>
      <c r="BX143" s="1">
        <f t="shared" si="4"/>
        <v>145899339.827243</v>
      </c>
      <c r="BY143" s="1">
        <f t="shared" si="5"/>
        <v>123715453.85420579</v>
      </c>
    </row>
    <row r="144" spans="1:77" ht="12.75">
      <c r="A144" s="3" t="s">
        <v>774</v>
      </c>
      <c r="B144" s="3" t="s">
        <v>140</v>
      </c>
      <c r="C144" s="3" t="s">
        <v>1342</v>
      </c>
      <c r="D144" s="3"/>
      <c r="E144" s="4"/>
      <c r="F144" s="4">
        <v>22655704.312105</v>
      </c>
      <c r="G144" s="4">
        <f>F144*RPI_inc</f>
        <v>23088615.859470062</v>
      </c>
      <c r="H144" s="4"/>
      <c r="I144" s="4"/>
      <c r="J144" s="4">
        <v>181866.833334</v>
      </c>
      <c r="K144" s="4">
        <f>J144*RPI_inc</f>
        <v>185341.9957543949</v>
      </c>
      <c r="L144" s="3"/>
      <c r="M144" s="4"/>
      <c r="N144" s="4"/>
      <c r="O144" s="4"/>
      <c r="P144" s="4"/>
      <c r="Q144" s="4"/>
      <c r="R144" s="4"/>
      <c r="S144" s="4"/>
      <c r="T144" s="4">
        <v>295636.925237</v>
      </c>
      <c r="U144" s="4">
        <f>T144*RPI_inc</f>
        <v>301286.03845808917</v>
      </c>
      <c r="V144" s="3"/>
      <c r="W144" s="4"/>
      <c r="X144" s="3"/>
      <c r="Y144" s="4"/>
      <c r="Z144" s="13">
        <f>D144+F144+H144+J144+L144+N144+P144+R144+T144+V144+X144</f>
        <v>23133208.070676</v>
      </c>
      <c r="AC144" s="13">
        <f>E144+G144+I144+K144+M144+O144+Q144+S144+U144+W144+Y144</f>
        <v>23575243.893682547</v>
      </c>
      <c r="AF144" s="51"/>
      <c r="AG144" s="3"/>
      <c r="AH144" s="4"/>
      <c r="AI144" s="3"/>
      <c r="AJ144" s="4"/>
      <c r="AK144" s="4"/>
      <c r="AL144" s="4">
        <v>25029542.095901</v>
      </c>
      <c r="AM144" s="4">
        <f>AL144/$AL$680*$AM$680</f>
        <v>16758323.678785674</v>
      </c>
      <c r="AN144" s="4"/>
      <c r="AO144" s="4"/>
      <c r="AP144" s="4"/>
      <c r="AQ144" s="4"/>
      <c r="AR144" s="4">
        <v>262676.755448</v>
      </c>
      <c r="AS144" s="4">
        <f>AR144/$AR$680*$AS$680</f>
        <v>257508.25490908214</v>
      </c>
      <c r="AT144" s="3"/>
      <c r="AU144" s="4"/>
      <c r="AV144" s="4"/>
      <c r="AW144" s="4"/>
      <c r="AX144" s="4">
        <v>419384.556313</v>
      </c>
      <c r="AY144" s="4">
        <f>AX144/$AX$680*$AY$680</f>
        <v>410982.8021511223</v>
      </c>
      <c r="AZ144" s="3"/>
      <c r="BA144" s="4"/>
      <c r="BB144" s="3"/>
      <c r="BC144" s="4"/>
      <c r="BD144" s="4"/>
      <c r="BE144" s="4"/>
      <c r="BF144" s="4"/>
      <c r="BG144" s="4"/>
      <c r="BH144" s="4"/>
      <c r="BI144" s="4"/>
      <c r="BJ144" s="4">
        <v>38368517.02449</v>
      </c>
      <c r="BK144" s="4">
        <f>BJ144/BJ143*BI143</f>
        <v>200701.4650736246</v>
      </c>
      <c r="BL144" s="4">
        <f>BH144+BK144</f>
        <v>200701.4650736246</v>
      </c>
      <c r="BM144" s="4"/>
      <c r="BN144" s="4"/>
      <c r="BO144" s="4">
        <v>67770.795207</v>
      </c>
      <c r="BP144" s="4"/>
      <c r="BQ144" s="4">
        <f>AG144+AI144+AL144+AN144+AP144+AR144+AT144+AV144+AX144+AZ144+BB144+BD144+BF144+BH144+BK144+BM144+BO144</f>
        <v>25980075.667942625</v>
      </c>
      <c r="BT144" s="4">
        <f>AJ144+AM144+AQ144+AS144+AU144+AW144+AY144+BA144+BC144+BG144+BL144+BN144+BP144</f>
        <v>17627516.2009195</v>
      </c>
      <c r="BW144" s="52"/>
      <c r="BX144" s="4">
        <f t="shared" si="4"/>
        <v>49113283.73861863</v>
      </c>
      <c r="BY144" s="4">
        <f t="shared" si="5"/>
        <v>41202760.09460205</v>
      </c>
    </row>
    <row r="145" spans="1:77" ht="12.75">
      <c r="A145" s="5" t="s">
        <v>775</v>
      </c>
      <c r="B145" s="5" t="s">
        <v>141</v>
      </c>
      <c r="C145" s="5" t="s">
        <v>1342</v>
      </c>
      <c r="D145" s="6">
        <v>34011533.3083</v>
      </c>
      <c r="E145" s="6">
        <f>D145*RPI_inc</f>
        <v>34661435.218649685</v>
      </c>
      <c r="F145" s="6"/>
      <c r="G145" s="6"/>
      <c r="H145" s="6"/>
      <c r="I145" s="6"/>
      <c r="J145" s="6">
        <v>305335.53403</v>
      </c>
      <c r="K145" s="6">
        <f>J145*RPI_inc</f>
        <v>311169.9709859872</v>
      </c>
      <c r="L145" s="6">
        <v>4274805.115666</v>
      </c>
      <c r="M145" s="6">
        <f>L145*RPI_inc</f>
        <v>4356489.289850701</v>
      </c>
      <c r="N145" s="6"/>
      <c r="O145" s="6"/>
      <c r="P145" s="6"/>
      <c r="Q145" s="6"/>
      <c r="R145" s="6"/>
      <c r="S145" s="6"/>
      <c r="T145" s="6"/>
      <c r="U145" s="6"/>
      <c r="V145" s="6">
        <v>63006.239775</v>
      </c>
      <c r="W145" s="6">
        <f>V145*RPI_inc</f>
        <v>64210.18066242038</v>
      </c>
      <c r="X145" s="6">
        <v>4037362.868844</v>
      </c>
      <c r="Y145" s="6">
        <f>X145*RPI_inc</f>
        <v>4114509.930032102</v>
      </c>
      <c r="Z145" s="14">
        <f>D145+F145+H145+J145+L145+N145+P145+R145+T145+V145+X145</f>
        <v>42692043.06661501</v>
      </c>
      <c r="AC145" s="14">
        <f>E145+G145+I145+K145+M145+O145+Q145+S145+U145+W145+Y145</f>
        <v>43507814.5901809</v>
      </c>
      <c r="AF145" s="51"/>
      <c r="AG145" s="6">
        <v>1111230</v>
      </c>
      <c r="AH145" s="6">
        <f>AG145/$AG$680*$AH$680</f>
        <v>836678.9532606893</v>
      </c>
      <c r="AI145" s="6">
        <v>40639075.559321</v>
      </c>
      <c r="AJ145" s="6">
        <f>AI145/$AI$680*$AJ$680</f>
        <v>27856080.307413835</v>
      </c>
      <c r="AK145" s="6">
        <f>AJ145-AH145</f>
        <v>27019401.354153145</v>
      </c>
      <c r="AL145" s="6"/>
      <c r="AM145" s="6"/>
      <c r="AN145" s="6"/>
      <c r="AO145" s="6"/>
      <c r="AP145" s="6"/>
      <c r="AQ145" s="6"/>
      <c r="AR145" s="6">
        <v>441007.004583</v>
      </c>
      <c r="AS145" s="6">
        <f>AR145/$AR$680*$AS$680</f>
        <v>432329.62870721566</v>
      </c>
      <c r="AT145" s="6">
        <v>5407277.162021</v>
      </c>
      <c r="AU145" s="6">
        <f>AT145/$AT$680*$AU$680</f>
        <v>4462645.075418973</v>
      </c>
      <c r="AV145" s="6"/>
      <c r="AW145" s="6"/>
      <c r="AX145" s="6"/>
      <c r="AY145" s="6"/>
      <c r="AZ145" s="6">
        <v>89379.376233</v>
      </c>
      <c r="BA145" s="6">
        <f>AZ145/$AZ$680*$BA$680</f>
        <v>87588.79003299226</v>
      </c>
      <c r="BB145" s="6">
        <v>5969947.239063</v>
      </c>
      <c r="BC145" s="6">
        <f>BB145/$BB$680*$BC$680</f>
        <v>5855208.832923437</v>
      </c>
      <c r="BD145" s="6"/>
      <c r="BE145" s="6"/>
      <c r="BF145" s="6"/>
      <c r="BG145" s="6"/>
      <c r="BH145" s="6"/>
      <c r="BI145" s="6"/>
      <c r="BJ145" s="6">
        <v>59459590.372263</v>
      </c>
      <c r="BK145" s="6">
        <f>BJ145/BJ143*BI143</f>
        <v>311026.53492637543</v>
      </c>
      <c r="BL145" s="6">
        <f>BH145+BK145</f>
        <v>311026.53492637543</v>
      </c>
      <c r="BM145" s="6"/>
      <c r="BN145" s="6"/>
      <c r="BO145" s="6">
        <v>125070.145862</v>
      </c>
      <c r="BP145" s="6"/>
      <c r="BQ145" s="6">
        <f>AG145+AI145+AL145+AN145+AP145+AR145+AT145+AV145+AX145+AZ145+BB145+BD145+BF145+BH145+BK145+BM145+BO145</f>
        <v>54094013.02200937</v>
      </c>
      <c r="BT145" s="6">
        <f>AJ145+AM145+AQ145+AS145+AU145+AW145+AY145+BA145+BC145+BG145+BL145+BN145+BP145</f>
        <v>39004879.169422835</v>
      </c>
      <c r="BW145" s="52"/>
      <c r="BX145" s="6">
        <f t="shared" si="4"/>
        <v>96786056.08862439</v>
      </c>
      <c r="BY145" s="6">
        <f t="shared" si="5"/>
        <v>82512693.75960374</v>
      </c>
    </row>
    <row r="146" spans="1:77" ht="12.75">
      <c r="A146" t="s">
        <v>776</v>
      </c>
      <c r="B146" t="s">
        <v>142</v>
      </c>
      <c r="J146"/>
      <c r="K146"/>
      <c r="L146"/>
      <c r="M146"/>
      <c r="V146"/>
      <c r="X146"/>
      <c r="Z146" s="12">
        <f>Z147+Z148</f>
        <v>80494721.394241</v>
      </c>
      <c r="AC146" s="12">
        <f>AC147+AC148</f>
        <v>82032837.08967236</v>
      </c>
      <c r="AF146" s="51"/>
      <c r="AG146"/>
      <c r="AI146"/>
      <c r="AR146"/>
      <c r="AT146"/>
      <c r="AZ146"/>
      <c r="BB146"/>
      <c r="BD146"/>
      <c r="BE146"/>
      <c r="BF146"/>
      <c r="BH146"/>
      <c r="BI146">
        <v>495344</v>
      </c>
      <c r="BJ146" s="1">
        <v>138071528.56624</v>
      </c>
      <c r="BL146"/>
      <c r="BO146"/>
      <c r="BP146"/>
      <c r="BQ146" s="1">
        <f>BQ147+BQ148</f>
        <v>97834814.24401501</v>
      </c>
      <c r="BT146" s="1">
        <f>BT147+BT148</f>
        <v>69573810.84281908</v>
      </c>
      <c r="BW146" s="52"/>
      <c r="BX146" s="1">
        <f t="shared" si="4"/>
        <v>178329535.638256</v>
      </c>
      <c r="BY146" s="1">
        <f t="shared" si="5"/>
        <v>151606647.93249142</v>
      </c>
    </row>
    <row r="147" spans="1:77" ht="12.75">
      <c r="A147" s="3" t="s">
        <v>777</v>
      </c>
      <c r="B147" s="3" t="s">
        <v>143</v>
      </c>
      <c r="C147" s="3" t="s">
        <v>1342</v>
      </c>
      <c r="D147" s="3"/>
      <c r="E147" s="4"/>
      <c r="F147" s="4">
        <v>29466124.205656</v>
      </c>
      <c r="G147" s="4">
        <f>F147*RPI_inc</f>
        <v>30029171.164999746</v>
      </c>
      <c r="H147" s="4"/>
      <c r="I147" s="4"/>
      <c r="J147" s="4">
        <v>216457.825453</v>
      </c>
      <c r="K147" s="4">
        <f>J147*RPI_inc</f>
        <v>220593.96224509555</v>
      </c>
      <c r="L147" s="3"/>
      <c r="M147" s="4"/>
      <c r="N147" s="4"/>
      <c r="O147" s="4"/>
      <c r="P147" s="4"/>
      <c r="Q147" s="4"/>
      <c r="R147" s="4"/>
      <c r="S147" s="4"/>
      <c r="T147" s="4">
        <v>3300604.881951</v>
      </c>
      <c r="U147" s="4">
        <f>T147*RPI_inc</f>
        <v>3363673.765045605</v>
      </c>
      <c r="V147" s="3"/>
      <c r="W147" s="4"/>
      <c r="X147" s="3"/>
      <c r="Y147" s="4"/>
      <c r="Z147" s="13">
        <f>D147+F147+H147+J147+L147+N147+P147+R147+T147+V147+X147</f>
        <v>32983186.91306</v>
      </c>
      <c r="AC147" s="13">
        <f>E147+G147+I147+K147+M147+O147+Q147+S147+U147+W147+Y147</f>
        <v>33613438.89229044</v>
      </c>
      <c r="AF147" s="51"/>
      <c r="AG147" s="3"/>
      <c r="AH147" s="4"/>
      <c r="AI147" s="3"/>
      <c r="AJ147" s="4"/>
      <c r="AK147" s="4"/>
      <c r="AL147" s="4">
        <v>32553549.695405</v>
      </c>
      <c r="AM147" s="4">
        <f>AL147/$AL$680*$AM$680</f>
        <v>21795960.97278877</v>
      </c>
      <c r="AN147" s="4"/>
      <c r="AO147" s="4"/>
      <c r="AP147" s="4"/>
      <c r="AQ147" s="4"/>
      <c r="AR147" s="4">
        <v>312637.759392</v>
      </c>
      <c r="AS147" s="4">
        <f>AR147/$AR$680*$AS$680</f>
        <v>306486.2123122147</v>
      </c>
      <c r="AT147" s="3"/>
      <c r="AU147" s="4"/>
      <c r="AV147" s="4"/>
      <c r="AW147" s="4"/>
      <c r="AX147" s="4">
        <v>4682171.257434</v>
      </c>
      <c r="AY147" s="4">
        <f>AX147/$AX$680*$AY$680</f>
        <v>4588370.827121039</v>
      </c>
      <c r="AZ147" s="3"/>
      <c r="BA147" s="4"/>
      <c r="BB147" s="3"/>
      <c r="BC147" s="4"/>
      <c r="BD147" s="4"/>
      <c r="BE147" s="4"/>
      <c r="BF147" s="4"/>
      <c r="BG147" s="4"/>
      <c r="BH147" s="4">
        <v>205427.554223</v>
      </c>
      <c r="BI147" s="4"/>
      <c r="BJ147" s="4">
        <v>57565079.884924</v>
      </c>
      <c r="BK147" s="4">
        <f>BJ147/BJ146*BI146</f>
        <v>206519.890281637</v>
      </c>
      <c r="BL147" s="4">
        <f>BH147+BK147</f>
        <v>411947.44450463704</v>
      </c>
      <c r="BM147" s="4"/>
      <c r="BN147" s="4"/>
      <c r="BO147" s="4">
        <v>96627.186283</v>
      </c>
      <c r="BP147" s="4"/>
      <c r="BQ147" s="4">
        <f>AG147+AI147+AL147+AN147+AP147+AR147+AT147+AV147+AX147+AZ147+BB147+BD147+BF147+BH147+BK147+BM147+BO147</f>
        <v>38056933.34301864</v>
      </c>
      <c r="BT147" s="4">
        <f>AJ147+AM147+AQ147+AS147+AU147+AW147+AY147+BA147+BC147+BG147+BL147+BN147+BP147</f>
        <v>27102765.45672666</v>
      </c>
      <c r="BW147" s="52"/>
      <c r="BX147" s="4">
        <f t="shared" si="4"/>
        <v>71040120.25607865</v>
      </c>
      <c r="BY147" s="4">
        <f t="shared" si="5"/>
        <v>60716204.3490171</v>
      </c>
    </row>
    <row r="148" spans="1:77" ht="12.75">
      <c r="A148" s="5" t="s">
        <v>778</v>
      </c>
      <c r="B148" s="5" t="s">
        <v>144</v>
      </c>
      <c r="C148" s="5" t="s">
        <v>1342</v>
      </c>
      <c r="D148" s="6">
        <v>40752336.506562</v>
      </c>
      <c r="E148" s="6">
        <f>D148*RPI_inc</f>
        <v>41531043.57356637</v>
      </c>
      <c r="F148" s="6"/>
      <c r="G148" s="6"/>
      <c r="H148" s="6"/>
      <c r="I148" s="6"/>
      <c r="J148" s="6">
        <v>283701.75272</v>
      </c>
      <c r="K148" s="6">
        <f>J148*RPI_inc</f>
        <v>289122.8053197452</v>
      </c>
      <c r="L148" s="6">
        <v>3127984.884648</v>
      </c>
      <c r="M148" s="6">
        <f>L148*RPI_inc</f>
        <v>3187755.2964565605</v>
      </c>
      <c r="N148" s="6"/>
      <c r="O148" s="6"/>
      <c r="P148" s="6"/>
      <c r="Q148" s="6"/>
      <c r="R148" s="6"/>
      <c r="S148" s="6"/>
      <c r="T148" s="6"/>
      <c r="U148" s="6"/>
      <c r="V148" s="6">
        <v>64513.176344</v>
      </c>
      <c r="W148" s="6">
        <f>V148*RPI_inc</f>
        <v>65745.912197707</v>
      </c>
      <c r="X148" s="6">
        <v>3282998.160907</v>
      </c>
      <c r="Y148" s="6">
        <f>X148*RPI_inc</f>
        <v>3345730.6098415283</v>
      </c>
      <c r="Z148" s="14">
        <f>D148+F148+H148+J148+L148+N148+P148+R148+T148+V148+X148</f>
        <v>47511534.481181</v>
      </c>
      <c r="AC148" s="14">
        <f>E148+G148+I148+K148+M148+O148+Q148+S148+U148+W148+Y148</f>
        <v>48419398.19738191</v>
      </c>
      <c r="AF148" s="51"/>
      <c r="AG148" s="6">
        <v>1056760</v>
      </c>
      <c r="AH148" s="6">
        <f>AG148/$AG$680*$AH$680</f>
        <v>795666.8292322615</v>
      </c>
      <c r="AI148" s="6">
        <v>48693402.543687</v>
      </c>
      <c r="AJ148" s="6">
        <f>AI148/$AI$680*$AJ$680</f>
        <v>33376923.88494964</v>
      </c>
      <c r="AK148" s="6">
        <f>AJ148-AH148</f>
        <v>32581257.05571738</v>
      </c>
      <c r="AL148" s="6"/>
      <c r="AM148" s="6"/>
      <c r="AN148" s="6"/>
      <c r="AO148" s="6"/>
      <c r="AP148" s="6"/>
      <c r="AQ148" s="6"/>
      <c r="AR148" s="6">
        <v>409760.562457</v>
      </c>
      <c r="AS148" s="6">
        <f>AR148/$AR$680*$AS$680</f>
        <v>401698.00022428844</v>
      </c>
      <c r="AT148" s="6">
        <v>3956643.817029</v>
      </c>
      <c r="AU148" s="6">
        <f>AT148/$AT$680*$AU$680</f>
        <v>3265432.2159162182</v>
      </c>
      <c r="AV148" s="6"/>
      <c r="AW148" s="6"/>
      <c r="AX148" s="6"/>
      <c r="AY148" s="6"/>
      <c r="AZ148" s="6">
        <v>91517.085943</v>
      </c>
      <c r="BA148" s="6">
        <f>AZ148/$AZ$680*$BA$680</f>
        <v>89683.67382869664</v>
      </c>
      <c r="BB148" s="6">
        <v>4854487.0608</v>
      </c>
      <c r="BC148" s="6">
        <f>BB148/$BB$680*$BC$680</f>
        <v>4761187.055678221</v>
      </c>
      <c r="BD148" s="6"/>
      <c r="BE148" s="6"/>
      <c r="BF148" s="6"/>
      <c r="BG148" s="6"/>
      <c r="BH148" s="6">
        <v>287296.445777</v>
      </c>
      <c r="BI148" s="6"/>
      <c r="BJ148" s="6">
        <v>80506448.681317</v>
      </c>
      <c r="BK148" s="6">
        <f>BJ148/BJ146*BI146</f>
        <v>288824.1097183666</v>
      </c>
      <c r="BL148" s="6">
        <f>BH148+BK148</f>
        <v>576120.5554953666</v>
      </c>
      <c r="BM148" s="6"/>
      <c r="BN148" s="6"/>
      <c r="BO148" s="6">
        <v>139189.275585</v>
      </c>
      <c r="BP148" s="6"/>
      <c r="BQ148" s="6">
        <f>AG148+AI148+AL148+AN148+AP148+AR148+AT148+AV148+AX148+AZ148+BB148+BD148+BF148+BH148+BK148+BM148+BO148</f>
        <v>59777880.90099637</v>
      </c>
      <c r="BT148" s="6">
        <f>AJ148+AM148+AQ148+AS148+AU148+AW148+AY148+BA148+BC148+BG148+BL148+BN148+BP148</f>
        <v>42471045.386092424</v>
      </c>
      <c r="BW148" s="52"/>
      <c r="BX148" s="6">
        <f t="shared" si="4"/>
        <v>107289415.38217738</v>
      </c>
      <c r="BY148" s="6">
        <f t="shared" si="5"/>
        <v>90890443.58347434</v>
      </c>
    </row>
    <row r="149" spans="1:77" ht="12.75">
      <c r="A149" t="s">
        <v>779</v>
      </c>
      <c r="B149" t="s">
        <v>145</v>
      </c>
      <c r="J149"/>
      <c r="K149"/>
      <c r="L149"/>
      <c r="M149"/>
      <c r="V149"/>
      <c r="X149"/>
      <c r="Z149" s="12">
        <f>Z150+Z151</f>
        <v>51386698.156462</v>
      </c>
      <c r="AC149" s="12">
        <f>AC150+AC151</f>
        <v>52368609.58620331</v>
      </c>
      <c r="AF149" s="51"/>
      <c r="AG149"/>
      <c r="AI149"/>
      <c r="AR149"/>
      <c r="AT149"/>
      <c r="AZ149"/>
      <c r="BB149"/>
      <c r="BD149"/>
      <c r="BE149"/>
      <c r="BF149"/>
      <c r="BH149"/>
      <c r="BI149">
        <v>541490</v>
      </c>
      <c r="BJ149" s="1">
        <v>108770661.597031</v>
      </c>
      <c r="BL149"/>
      <c r="BO149"/>
      <c r="BP149"/>
      <c r="BQ149" s="1">
        <f>BQ150+BQ151</f>
        <v>63766146.146882</v>
      </c>
      <c r="BT149" s="1">
        <f>BT150+BT151</f>
        <v>44985741.842630334</v>
      </c>
      <c r="BW149" s="52"/>
      <c r="BX149" s="1">
        <f t="shared" si="4"/>
        <v>115152844.303344</v>
      </c>
      <c r="BY149" s="1">
        <f t="shared" si="5"/>
        <v>97354351.42883363</v>
      </c>
    </row>
    <row r="150" spans="1:77" ht="12.75">
      <c r="A150" s="3" t="s">
        <v>780</v>
      </c>
      <c r="B150" s="3" t="s">
        <v>146</v>
      </c>
      <c r="C150" s="3" t="s">
        <v>1343</v>
      </c>
      <c r="D150" s="3"/>
      <c r="E150" s="4"/>
      <c r="F150" s="4">
        <v>8357691.811705</v>
      </c>
      <c r="G150" s="4">
        <f>F150*RPI_inc</f>
        <v>8517392.929126114</v>
      </c>
      <c r="H150" s="4"/>
      <c r="I150" s="4"/>
      <c r="J150" s="4">
        <v>92715.497817</v>
      </c>
      <c r="K150" s="4">
        <f>J150*RPI_inc</f>
        <v>94487.13153324841</v>
      </c>
      <c r="L150" s="3"/>
      <c r="M150" s="4"/>
      <c r="N150" s="4"/>
      <c r="O150" s="4"/>
      <c r="P150" s="4"/>
      <c r="Q150" s="4"/>
      <c r="R150" s="4"/>
      <c r="S150" s="4"/>
      <c r="T150" s="4">
        <v>172117.407508</v>
      </c>
      <c r="U150" s="4">
        <f>T150*RPI_inc</f>
        <v>175406.27516738855</v>
      </c>
      <c r="V150" s="3"/>
      <c r="W150" s="4"/>
      <c r="X150" s="3"/>
      <c r="Y150" s="4"/>
      <c r="Z150" s="13">
        <f>D150+F150+H150+J150+L150+N150+P150+R150+T150+V150+X150</f>
        <v>8622524.71703</v>
      </c>
      <c r="AC150" s="13">
        <f>E150+G150+I150+K150+M150+O150+Q150+S150+U150+W150+Y150</f>
        <v>8787286.33582675</v>
      </c>
      <c r="AF150" s="51"/>
      <c r="AG150" s="3"/>
      <c r="AH150" s="4"/>
      <c r="AI150" s="3"/>
      <c r="AJ150" s="4"/>
      <c r="AK150" s="4"/>
      <c r="AL150" s="4">
        <v>9233400.831148</v>
      </c>
      <c r="AM150" s="4">
        <f>AL150/$AL$680*$AM$680</f>
        <v>6182147.447662954</v>
      </c>
      <c r="AN150" s="4"/>
      <c r="AO150" s="4"/>
      <c r="AP150" s="4"/>
      <c r="AQ150" s="4"/>
      <c r="AR150" s="4">
        <v>133912.301104</v>
      </c>
      <c r="AS150" s="4">
        <f>AR150/$AR$680*$AS$680</f>
        <v>131277.4056057542</v>
      </c>
      <c r="AT150" s="3"/>
      <c r="AU150" s="4"/>
      <c r="AV150" s="4"/>
      <c r="AW150" s="4"/>
      <c r="AX150" s="4">
        <v>244162.26939</v>
      </c>
      <c r="AY150" s="4">
        <f>AX150/$AX$680*$AY$680</f>
        <v>239270.83661752113</v>
      </c>
      <c r="AZ150" s="3"/>
      <c r="BA150" s="4"/>
      <c r="BB150" s="3"/>
      <c r="BC150" s="4"/>
      <c r="BD150" s="4"/>
      <c r="BE150" s="4"/>
      <c r="BF150" s="4"/>
      <c r="BG150" s="4"/>
      <c r="BH150" s="4">
        <v>95757.898893</v>
      </c>
      <c r="BI150" s="4"/>
      <c r="BJ150" s="4">
        <v>19275426.181009</v>
      </c>
      <c r="BK150" s="4">
        <f>BJ150/BJ149*BI149</f>
        <v>95958.32524603732</v>
      </c>
      <c r="BL150" s="4">
        <f>BH150+BK150</f>
        <v>191716.2241390373</v>
      </c>
      <c r="BM150" s="4"/>
      <c r="BN150" s="4"/>
      <c r="BO150" s="4">
        <v>25260.454797</v>
      </c>
      <c r="BP150" s="4"/>
      <c r="BQ150" s="4">
        <f>AG150+AI150+AL150+AN150+AP150+AR150+AT150+AV150+AX150+AZ150+BB150+BD150+BF150+BH150+BK150+BM150+BO150</f>
        <v>9828452.080578038</v>
      </c>
      <c r="BT150" s="4">
        <f>AJ150+AM150+AQ150+AS150+AU150+AW150+AY150+BA150+BC150+BG150+BL150+BN150+BP150</f>
        <v>6744411.914025267</v>
      </c>
      <c r="BW150" s="52"/>
      <c r="BX150" s="4">
        <f t="shared" si="4"/>
        <v>18450976.79760804</v>
      </c>
      <c r="BY150" s="4">
        <f t="shared" si="5"/>
        <v>15531698.249852017</v>
      </c>
    </row>
    <row r="151" spans="1:77" ht="12.75">
      <c r="A151" s="5" t="s">
        <v>781</v>
      </c>
      <c r="B151" s="5" t="s">
        <v>147</v>
      </c>
      <c r="C151" s="5" t="s">
        <v>1343</v>
      </c>
      <c r="D151" s="6">
        <v>36442642.266667</v>
      </c>
      <c r="E151" s="6">
        <f>D151*RPI_inc</f>
        <v>37138998.488323055</v>
      </c>
      <c r="F151" s="6"/>
      <c r="G151" s="6"/>
      <c r="H151" s="6"/>
      <c r="I151" s="6"/>
      <c r="J151" s="6">
        <v>452921.389597</v>
      </c>
      <c r="K151" s="6">
        <f>J151*RPI_inc</f>
        <v>461575.9384428025</v>
      </c>
      <c r="L151" s="6">
        <v>4049355.316039</v>
      </c>
      <c r="M151" s="6">
        <f>L151*RPI_inc</f>
        <v>4126731.532269045</v>
      </c>
      <c r="N151" s="6"/>
      <c r="O151" s="6"/>
      <c r="P151" s="6"/>
      <c r="Q151" s="6"/>
      <c r="R151" s="6"/>
      <c r="S151" s="6"/>
      <c r="T151" s="6"/>
      <c r="U151" s="6"/>
      <c r="V151" s="6">
        <v>49565.994704</v>
      </c>
      <c r="W151" s="6">
        <f>V151*RPI_inc</f>
        <v>50513.11562191082</v>
      </c>
      <c r="X151" s="6">
        <v>1769688.472425</v>
      </c>
      <c r="Y151" s="6">
        <f>X151*RPI_inc</f>
        <v>1803504.1757197452</v>
      </c>
      <c r="Z151" s="14">
        <f>D151+F151+H151+J151+L151+N151+P151+R151+T151+V151+X151</f>
        <v>42764173.439432</v>
      </c>
      <c r="AC151" s="14">
        <f>E151+G151+I151+K151+M151+O151+Q151+S151+U151+W151+Y151</f>
        <v>43581323.25037656</v>
      </c>
      <c r="AF151" s="51"/>
      <c r="AG151" s="6">
        <v>914986</v>
      </c>
      <c r="AH151" s="6">
        <f>AG151/$AG$680*$AH$680</f>
        <v>688920.8613232049</v>
      </c>
      <c r="AI151" s="6">
        <v>43543914.331406</v>
      </c>
      <c r="AJ151" s="6">
        <f>AI151/$AI$680*$AJ$680</f>
        <v>29847203.899710454</v>
      </c>
      <c r="AK151" s="6">
        <f>AJ151-AH151</f>
        <v>29158283.03838725</v>
      </c>
      <c r="AL151" s="6"/>
      <c r="AM151" s="6"/>
      <c r="AN151" s="6"/>
      <c r="AO151" s="6"/>
      <c r="AP151" s="6"/>
      <c r="AQ151" s="6"/>
      <c r="AR151" s="6">
        <v>654170.520876</v>
      </c>
      <c r="AS151" s="6">
        <f>AR151/$AR$680*$AS$680</f>
        <v>641298.8806582531</v>
      </c>
      <c r="AT151" s="6">
        <v>5122101.693264</v>
      </c>
      <c r="AU151" s="6">
        <f>AT151/$AT$680*$AU$680</f>
        <v>4227288.746688995</v>
      </c>
      <c r="AV151" s="6"/>
      <c r="AW151" s="6"/>
      <c r="AX151" s="6"/>
      <c r="AY151" s="6"/>
      <c r="AZ151" s="6">
        <v>70313.316662</v>
      </c>
      <c r="BA151" s="6">
        <f>AZ151/$AZ$680*$BA$680</f>
        <v>68904.6913191296</v>
      </c>
      <c r="BB151" s="6">
        <v>2616793.970016</v>
      </c>
      <c r="BC151" s="6">
        <f>BB151/$BB$680*$BC$680</f>
        <v>2566500.9343672656</v>
      </c>
      <c r="BD151" s="6"/>
      <c r="BE151" s="6"/>
      <c r="BF151" s="6"/>
      <c r="BG151" s="6"/>
      <c r="BH151" s="6">
        <v>444601.101107</v>
      </c>
      <c r="BI151" s="6"/>
      <c r="BJ151" s="6">
        <v>89495235.416022</v>
      </c>
      <c r="BK151" s="6">
        <f>BJ151/BJ149*BI149</f>
        <v>445531.67475396267</v>
      </c>
      <c r="BL151" s="6">
        <f>BH151+BK151</f>
        <v>890132.7758609627</v>
      </c>
      <c r="BM151" s="6"/>
      <c r="BN151" s="6"/>
      <c r="BO151" s="6">
        <v>125281.458219</v>
      </c>
      <c r="BP151" s="6"/>
      <c r="BQ151" s="6">
        <f>AG151+AI151+AL151+AN151+AP151+AR151+AT151+AV151+AX151+AZ151+BB151+BD151+BF151+BH151+BK151+BM151+BO151</f>
        <v>53937694.06630396</v>
      </c>
      <c r="BT151" s="6">
        <f>AJ151+AM151+AQ151+AS151+AU151+AW151+AY151+BA151+BC151+BG151+BL151+BN151+BP151</f>
        <v>38241329.928605065</v>
      </c>
      <c r="BW151" s="52"/>
      <c r="BX151" s="6">
        <f t="shared" si="4"/>
        <v>96701867.50573596</v>
      </c>
      <c r="BY151" s="6">
        <f t="shared" si="5"/>
        <v>81822653.17898163</v>
      </c>
    </row>
    <row r="152" spans="1:77" ht="12.75">
      <c r="A152" t="s">
        <v>782</v>
      </c>
      <c r="B152" t="s">
        <v>148</v>
      </c>
      <c r="J152"/>
      <c r="K152"/>
      <c r="L152"/>
      <c r="M152"/>
      <c r="V152"/>
      <c r="X152"/>
      <c r="Z152" s="12">
        <f>Z153+Z154</f>
        <v>52305815.176998995</v>
      </c>
      <c r="AC152" s="12">
        <f>AC153+AC154</f>
        <v>53305289.352355674</v>
      </c>
      <c r="AF152" s="51"/>
      <c r="AG152"/>
      <c r="AI152"/>
      <c r="AR152"/>
      <c r="AT152"/>
      <c r="AZ152"/>
      <c r="BB152"/>
      <c r="BD152"/>
      <c r="BE152"/>
      <c r="BF152"/>
      <c r="BH152"/>
      <c r="BI152">
        <v>1659317</v>
      </c>
      <c r="BJ152" s="1">
        <v>88791390.915121</v>
      </c>
      <c r="BL152"/>
      <c r="BO152"/>
      <c r="BP152"/>
      <c r="BQ152" s="1">
        <f>BQ153+BQ154</f>
        <v>67860101.81081101</v>
      </c>
      <c r="BT152" s="1">
        <f>BT153+BT154</f>
        <v>50101895.04997095</v>
      </c>
      <c r="BW152" s="52"/>
      <c r="BX152" s="1">
        <f t="shared" si="4"/>
        <v>120165916.98781002</v>
      </c>
      <c r="BY152" s="1">
        <f t="shared" si="5"/>
        <v>103407184.40232661</v>
      </c>
    </row>
    <row r="153" spans="1:77" ht="12.75">
      <c r="A153" s="3" t="s">
        <v>783</v>
      </c>
      <c r="B153" s="3" t="s">
        <v>149</v>
      </c>
      <c r="C153" s="3" t="s">
        <v>1343</v>
      </c>
      <c r="D153" s="3"/>
      <c r="E153" s="4"/>
      <c r="F153" s="4">
        <v>11600845.645464</v>
      </c>
      <c r="G153" s="4">
        <f>F153*RPI_inc</f>
        <v>11822517.855249936</v>
      </c>
      <c r="H153" s="4"/>
      <c r="I153" s="4"/>
      <c r="J153" s="4">
        <v>437895.183832</v>
      </c>
      <c r="K153" s="4">
        <f>J153*RPI_inc</f>
        <v>446262.607726879</v>
      </c>
      <c r="L153" s="3"/>
      <c r="M153" s="4"/>
      <c r="N153" s="4"/>
      <c r="O153" s="4"/>
      <c r="P153" s="4"/>
      <c r="Q153" s="4"/>
      <c r="R153" s="4"/>
      <c r="S153" s="4"/>
      <c r="T153" s="4">
        <v>242989.448891</v>
      </c>
      <c r="U153" s="4">
        <f>T153*RPI_inc</f>
        <v>247632.55937936305</v>
      </c>
      <c r="V153" s="3"/>
      <c r="W153" s="4"/>
      <c r="X153" s="3"/>
      <c r="Y153" s="4"/>
      <c r="Z153" s="13">
        <f>D153+F153+H153+J153+L153+N153+P153+R153+T153+V153+X153</f>
        <v>12281730.278187001</v>
      </c>
      <c r="AC153" s="13">
        <f>E153+G153+I153+K153+M153+O153+Q153+S153+U153+W153+Y153</f>
        <v>12516413.022356179</v>
      </c>
      <c r="AF153" s="51"/>
      <c r="AG153" s="3"/>
      <c r="AH153" s="4"/>
      <c r="AI153" s="3"/>
      <c r="AJ153" s="4"/>
      <c r="AK153" s="4"/>
      <c r="AL153" s="4">
        <v>12816368.470878</v>
      </c>
      <c r="AM153" s="4">
        <f>AL153/$AL$680*$AM$680</f>
        <v>8581093.908894593</v>
      </c>
      <c r="AN153" s="4"/>
      <c r="AO153" s="4"/>
      <c r="AP153" s="4"/>
      <c r="AQ153" s="4"/>
      <c r="AR153" s="4">
        <v>632467.635833</v>
      </c>
      <c r="AS153" s="4">
        <f>AR153/$AR$680*$AS$680</f>
        <v>620023.0275878747</v>
      </c>
      <c r="AT153" s="3"/>
      <c r="AU153" s="4"/>
      <c r="AV153" s="4"/>
      <c r="AW153" s="4"/>
      <c r="AX153" s="4">
        <v>344699.912334</v>
      </c>
      <c r="AY153" s="4">
        <f>AX153/$AX$680*$AY$680</f>
        <v>337794.35541861947</v>
      </c>
      <c r="AZ153" s="3"/>
      <c r="BA153" s="4"/>
      <c r="BB153" s="3"/>
      <c r="BC153" s="4"/>
      <c r="BD153" s="4"/>
      <c r="BE153" s="4"/>
      <c r="BF153" s="4"/>
      <c r="BG153" s="4"/>
      <c r="BH153" s="4">
        <v>437856.910017</v>
      </c>
      <c r="BI153" s="4"/>
      <c r="BJ153" s="4">
        <v>24242958.8853</v>
      </c>
      <c r="BK153" s="4">
        <f>BJ153/BJ152*BI152</f>
        <v>453047.9069432936</v>
      </c>
      <c r="BL153" s="4">
        <f>BH153+BK153</f>
        <v>890904.8169602936</v>
      </c>
      <c r="BM153" s="4"/>
      <c r="BN153" s="4"/>
      <c r="BO153" s="4">
        <v>35980.423681</v>
      </c>
      <c r="BP153" s="4"/>
      <c r="BQ153" s="4">
        <f>AG153+AI153+AL153+AN153+AP153+AR153+AT153+AV153+AX153+AZ153+BB153+BD153+BF153+BH153+BK153+BM153+BO153</f>
        <v>14720421.259686295</v>
      </c>
      <c r="BT153" s="4">
        <f>AJ153+AM153+AQ153+AS153+AU153+AW153+AY153+BA153+BC153+BG153+BL153+BN153+BP153</f>
        <v>10429816.10886138</v>
      </c>
      <c r="BW153" s="52"/>
      <c r="BX153" s="4">
        <f t="shared" si="4"/>
        <v>27002151.537873298</v>
      </c>
      <c r="BY153" s="4">
        <f t="shared" si="5"/>
        <v>22946229.131217558</v>
      </c>
    </row>
    <row r="154" spans="1:77" ht="12.75">
      <c r="A154" s="5" t="s">
        <v>784</v>
      </c>
      <c r="B154" s="5" t="s">
        <v>150</v>
      </c>
      <c r="C154" s="5" t="s">
        <v>1343</v>
      </c>
      <c r="D154" s="6">
        <v>29984966.20706</v>
      </c>
      <c r="E154" s="6">
        <f>D154*RPI_inc</f>
        <v>30557927.344774526</v>
      </c>
      <c r="F154" s="6"/>
      <c r="G154" s="6"/>
      <c r="H154" s="6"/>
      <c r="I154" s="6"/>
      <c r="J154" s="6">
        <v>1145058.596369</v>
      </c>
      <c r="K154" s="6">
        <f>J154*RPI_inc</f>
        <v>1166938.6969365603</v>
      </c>
      <c r="L154" s="6">
        <v>4368518.201367</v>
      </c>
      <c r="M154" s="6">
        <f>L154*RPI_inc</f>
        <v>4451993.071456815</v>
      </c>
      <c r="N154" s="6"/>
      <c r="O154" s="6"/>
      <c r="P154" s="6"/>
      <c r="Q154" s="6"/>
      <c r="R154" s="6"/>
      <c r="S154" s="6"/>
      <c r="T154" s="6"/>
      <c r="U154" s="6"/>
      <c r="V154" s="6">
        <v>53842.436317</v>
      </c>
      <c r="W154" s="6">
        <f>V154*RPI_inc</f>
        <v>54871.27267974522</v>
      </c>
      <c r="X154" s="6">
        <v>4471699.457699</v>
      </c>
      <c r="Y154" s="6">
        <f>X154*RPI_inc</f>
        <v>4557145.944151847</v>
      </c>
      <c r="Z154" s="14">
        <f>D154+F154+H154+J154+L154+N154+P154+R154+T154+V154+X154</f>
        <v>40024084.898811996</v>
      </c>
      <c r="AC154" s="14">
        <f>E154+G154+I154+K154+M154+O154+Q154+S154+U154+W154+Y154</f>
        <v>40788876.32999949</v>
      </c>
      <c r="AF154" s="51"/>
      <c r="AG154" s="6">
        <v>954215</v>
      </c>
      <c r="AH154" s="6">
        <f>AG154/$AG$680*$AH$680</f>
        <v>718457.5716869133</v>
      </c>
      <c r="AI154" s="6">
        <v>35827885.096701</v>
      </c>
      <c r="AJ154" s="6">
        <f>AI154/$AI$680*$AJ$680</f>
        <v>24558246.73082631</v>
      </c>
      <c r="AK154" s="6">
        <f>AJ154-AH154</f>
        <v>23839789.1591394</v>
      </c>
      <c r="AL154" s="6"/>
      <c r="AM154" s="6"/>
      <c r="AN154" s="6"/>
      <c r="AO154" s="6"/>
      <c r="AP154" s="6"/>
      <c r="AQ154" s="6"/>
      <c r="AR154" s="6">
        <v>1653848.980474</v>
      </c>
      <c r="AS154" s="6">
        <f>AR154/$AR$680*$AS$680</f>
        <v>1621307.390213035</v>
      </c>
      <c r="AT154" s="6">
        <v>5525816.513964</v>
      </c>
      <c r="AU154" s="6">
        <f>AT154/$AT$680*$AU$680</f>
        <v>4560476.024220212</v>
      </c>
      <c r="AV154" s="6"/>
      <c r="AW154" s="6"/>
      <c r="AX154" s="6"/>
      <c r="AY154" s="6"/>
      <c r="AZ154" s="6">
        <v>76379.790162</v>
      </c>
      <c r="BA154" s="6">
        <f>AZ154/$AZ$680*$BA$680</f>
        <v>74849.63181912863</v>
      </c>
      <c r="BB154" s="6">
        <v>6612189.862204</v>
      </c>
      <c r="BC154" s="6">
        <f>BB154/$BB$680*$BC$680</f>
        <v>6485107.98099117</v>
      </c>
      <c r="BD154" s="6"/>
      <c r="BE154" s="6"/>
      <c r="BF154" s="6"/>
      <c r="BG154" s="6"/>
      <c r="BH154" s="6">
        <v>1165822.089983</v>
      </c>
      <c r="BI154" s="6"/>
      <c r="BJ154" s="6">
        <v>64548432.029821</v>
      </c>
      <c r="BK154" s="6">
        <f>BJ154/BJ152*BI152</f>
        <v>1206269.0930567065</v>
      </c>
      <c r="BL154" s="6">
        <f>BH154+BK154</f>
        <v>2372091.183039706</v>
      </c>
      <c r="BM154" s="6"/>
      <c r="BN154" s="6"/>
      <c r="BO154" s="6">
        <v>117254.12458</v>
      </c>
      <c r="BP154" s="6"/>
      <c r="BQ154" s="6">
        <f>AG154+AI154+AL154+AN154+AP154+AR154+AT154+AV154+AX154+AZ154+BB154+BD154+BF154+BH154+BK154+BM154+BO154</f>
        <v>53139680.551124714</v>
      </c>
      <c r="BT154" s="6">
        <f>AJ154+AM154+AQ154+AS154+AU154+AW154+AY154+BA154+BC154+BG154+BL154+BN154+BP154</f>
        <v>39672078.94110957</v>
      </c>
      <c r="BW154" s="52"/>
      <c r="BX154" s="6">
        <f t="shared" si="4"/>
        <v>93163765.44993672</v>
      </c>
      <c r="BY154" s="6">
        <f t="shared" si="5"/>
        <v>80460955.27110906</v>
      </c>
    </row>
    <row r="155" spans="1:77" ht="12.75">
      <c r="A155" t="s">
        <v>785</v>
      </c>
      <c r="B155" t="s">
        <v>151</v>
      </c>
      <c r="J155"/>
      <c r="K155"/>
      <c r="L155"/>
      <c r="M155"/>
      <c r="V155"/>
      <c r="X155"/>
      <c r="Z155" s="12">
        <f>Z156+Z157</f>
        <v>32642193.74591</v>
      </c>
      <c r="AC155" s="12">
        <f>AC156+AC157</f>
        <v>33265929.93213758</v>
      </c>
      <c r="AF155" s="51"/>
      <c r="AG155"/>
      <c r="AI155"/>
      <c r="AR155"/>
      <c r="AT155"/>
      <c r="AZ155"/>
      <c r="BB155"/>
      <c r="BD155"/>
      <c r="BE155"/>
      <c r="BF155"/>
      <c r="BH155"/>
      <c r="BI155">
        <v>968163</v>
      </c>
      <c r="BJ155" s="1">
        <v>62709428.673837</v>
      </c>
      <c r="BL155"/>
      <c r="BO155"/>
      <c r="BP155"/>
      <c r="BQ155" s="1">
        <f>BQ156+BQ157</f>
        <v>42158013.74523201</v>
      </c>
      <c r="BT155" s="1">
        <f>BT156+BT157</f>
        <v>30788671.218313087</v>
      </c>
      <c r="BW155" s="52"/>
      <c r="BX155" s="1">
        <f t="shared" si="4"/>
        <v>74800207.491142</v>
      </c>
      <c r="BY155" s="1">
        <f t="shared" si="5"/>
        <v>64054601.15045066</v>
      </c>
    </row>
    <row r="156" spans="1:77" ht="12.75">
      <c r="A156" s="3" t="s">
        <v>786</v>
      </c>
      <c r="B156" s="3" t="s">
        <v>152</v>
      </c>
      <c r="C156" s="3" t="s">
        <v>1343</v>
      </c>
      <c r="D156" s="3"/>
      <c r="E156" s="4"/>
      <c r="F156" s="4">
        <v>6291404.039834</v>
      </c>
      <c r="G156" s="4">
        <f>F156*RPI_inc</f>
        <v>6411621.951423185</v>
      </c>
      <c r="H156" s="4"/>
      <c r="I156" s="4"/>
      <c r="J156" s="4">
        <v>231920.594443</v>
      </c>
      <c r="K156" s="4">
        <f>J156*RPI_inc</f>
        <v>236352.19815847135</v>
      </c>
      <c r="L156" s="3"/>
      <c r="M156" s="4"/>
      <c r="N156" s="4"/>
      <c r="O156" s="4"/>
      <c r="P156" s="4"/>
      <c r="Q156" s="4"/>
      <c r="R156" s="4"/>
      <c r="S156" s="4"/>
      <c r="T156" s="4">
        <v>162912.061474</v>
      </c>
      <c r="U156" s="4">
        <f>T156*RPI_inc</f>
        <v>166025.03080152866</v>
      </c>
      <c r="V156" s="3"/>
      <c r="W156" s="4"/>
      <c r="X156" s="3"/>
      <c r="Y156" s="4"/>
      <c r="Z156" s="13">
        <f>D156+F156+H156+J156+L156+N156+P156+R156+T156+V156+X156</f>
        <v>6686236.695751</v>
      </c>
      <c r="AC156" s="13">
        <f>E156+G156+I156+K156+M156+O156+Q156+S156+U156+W156+Y156</f>
        <v>6813999.180383185</v>
      </c>
      <c r="AF156" s="51"/>
      <c r="AG156" s="3"/>
      <c r="AH156" s="4"/>
      <c r="AI156" s="3"/>
      <c r="AJ156" s="4"/>
      <c r="AK156" s="4"/>
      <c r="AL156" s="4">
        <v>6950609.881204</v>
      </c>
      <c r="AM156" s="4">
        <f>AL156/$AL$680*$AM$680</f>
        <v>4653723.576239865</v>
      </c>
      <c r="AN156" s="4"/>
      <c r="AO156" s="4"/>
      <c r="AP156" s="4"/>
      <c r="AQ156" s="4"/>
      <c r="AR156" s="4">
        <v>334971.188275</v>
      </c>
      <c r="AS156" s="4">
        <f>AR156/$AR$680*$AS$680</f>
        <v>328380.20246748725</v>
      </c>
      <c r="AT156" s="3"/>
      <c r="AU156" s="4"/>
      <c r="AV156" s="4"/>
      <c r="AW156" s="4"/>
      <c r="AX156" s="4">
        <v>231103.75189</v>
      </c>
      <c r="AY156" s="4">
        <f>AX156/$AX$680*$AY$680</f>
        <v>226473.92735297483</v>
      </c>
      <c r="AZ156" s="3"/>
      <c r="BA156" s="4"/>
      <c r="BB156" s="3"/>
      <c r="BC156" s="4"/>
      <c r="BD156" s="4"/>
      <c r="BE156" s="4"/>
      <c r="BF156" s="4"/>
      <c r="BG156" s="4"/>
      <c r="BH156" s="4">
        <v>213151.377294</v>
      </c>
      <c r="BI156" s="4"/>
      <c r="BJ156" s="4">
        <v>13942190.483025</v>
      </c>
      <c r="BK156" s="4">
        <f>BJ156/BJ155*BI155</f>
        <v>215251.72928658116</v>
      </c>
      <c r="BL156" s="4">
        <f>BH156+BK156</f>
        <v>428403.10658058117</v>
      </c>
      <c r="BM156" s="4"/>
      <c r="BN156" s="4"/>
      <c r="BO156" s="4">
        <v>19587.926432</v>
      </c>
      <c r="BP156" s="4"/>
      <c r="BQ156" s="4">
        <f>AG156+AI156+AL156+AN156+AP156+AR156+AT156+AV156+AX156+AZ156+BB156+BD156+BF156+BH156+BK156+BM156+BO156</f>
        <v>7964675.854381581</v>
      </c>
      <c r="BT156" s="4">
        <f>AJ156+AM156+AQ156+AS156+AU156+AW156+AY156+BA156+BC156+BG156+BL156+BN156+BP156</f>
        <v>5636980.812640909</v>
      </c>
      <c r="BW156" s="52"/>
      <c r="BX156" s="4">
        <f t="shared" si="4"/>
        <v>14650912.55013258</v>
      </c>
      <c r="BY156" s="4">
        <f t="shared" si="5"/>
        <v>12450979.993024094</v>
      </c>
    </row>
    <row r="157" spans="1:77" ht="12.75">
      <c r="A157" s="5" t="s">
        <v>787</v>
      </c>
      <c r="B157" s="5" t="s">
        <v>153</v>
      </c>
      <c r="C157" s="5" t="s">
        <v>1343</v>
      </c>
      <c r="D157" s="6">
        <v>20099913.539665</v>
      </c>
      <c r="E157" s="6">
        <f>D157*RPI_inc</f>
        <v>20483988.320677705</v>
      </c>
      <c r="F157" s="6"/>
      <c r="G157" s="6"/>
      <c r="H157" s="6"/>
      <c r="I157" s="6"/>
      <c r="J157" s="6">
        <v>735199.527456</v>
      </c>
      <c r="K157" s="6">
        <f>J157*RPI_inc</f>
        <v>749247.9260698089</v>
      </c>
      <c r="L157" s="6">
        <v>2926349.277353</v>
      </c>
      <c r="M157" s="6">
        <f>L157*RPI_inc</f>
        <v>2982266.7794680255</v>
      </c>
      <c r="N157" s="6"/>
      <c r="O157" s="6"/>
      <c r="P157" s="6"/>
      <c r="Q157" s="6"/>
      <c r="R157" s="6"/>
      <c r="S157" s="6"/>
      <c r="T157" s="6"/>
      <c r="U157" s="6"/>
      <c r="V157" s="6">
        <v>53231.516087</v>
      </c>
      <c r="W157" s="6">
        <f>V157*RPI_inc</f>
        <v>54248.67881477707</v>
      </c>
      <c r="X157" s="6">
        <v>2141263.189598</v>
      </c>
      <c r="Y157" s="6">
        <f>X157*RPI_inc</f>
        <v>2182179.0467240764</v>
      </c>
      <c r="Z157" s="14">
        <f>D157+F157+H157+J157+L157+N157+P157+R157+T157+V157+X157</f>
        <v>25955957.050159</v>
      </c>
      <c r="AC157" s="14">
        <f>E157+G157+I157+K157+M157+O157+Q157+S157+U157+W157+Y157</f>
        <v>26451930.751754392</v>
      </c>
      <c r="AF157" s="51"/>
      <c r="AG157" s="6">
        <v>596995</v>
      </c>
      <c r="AH157" s="6">
        <f>AG157/$AG$680*$AH$680</f>
        <v>449495.7404874465</v>
      </c>
      <c r="AI157" s="6">
        <v>24016615.119053</v>
      </c>
      <c r="AJ157" s="6">
        <f>AI157/$AI$680*$AJ$680</f>
        <v>16462204.178144634</v>
      </c>
      <c r="AK157" s="6">
        <f>AJ157-AH157</f>
        <v>16012708.437657187</v>
      </c>
      <c r="AL157" s="6"/>
      <c r="AM157" s="6"/>
      <c r="AN157" s="6"/>
      <c r="AO157" s="6"/>
      <c r="AP157" s="6"/>
      <c r="AQ157" s="6"/>
      <c r="AR157" s="6">
        <v>1061874.905602</v>
      </c>
      <c r="AS157" s="6">
        <f>AR157/$AR$680*$AS$680</f>
        <v>1040981.1610736467</v>
      </c>
      <c r="AT157" s="6">
        <v>3701591.344489</v>
      </c>
      <c r="AU157" s="6">
        <f>AT157/$AT$680*$AU$680</f>
        <v>3054936.503111171</v>
      </c>
      <c r="AV157" s="6"/>
      <c r="AW157" s="6"/>
      <c r="AX157" s="6"/>
      <c r="AY157" s="6"/>
      <c r="AZ157" s="6">
        <v>75513.15109</v>
      </c>
      <c r="BA157" s="6">
        <f>AZ157/$AZ$680*$BA$680</f>
        <v>74000.35460428306</v>
      </c>
      <c r="BB157" s="6">
        <v>3166232.187226</v>
      </c>
      <c r="BC157" s="6">
        <f>BB157/$BB$680*$BC$680</f>
        <v>3105379.3153190254</v>
      </c>
      <c r="BD157" s="6"/>
      <c r="BE157" s="6"/>
      <c r="BF157" s="6"/>
      <c r="BG157" s="6"/>
      <c r="BH157" s="6">
        <v>745564.622706</v>
      </c>
      <c r="BI157" s="6"/>
      <c r="BJ157" s="6">
        <v>48767238.190812</v>
      </c>
      <c r="BK157" s="6">
        <f>BJ157/BJ155*BI155</f>
        <v>752911.2707134188</v>
      </c>
      <c r="BL157" s="6">
        <f>BH157+BK157</f>
        <v>1498475.893419419</v>
      </c>
      <c r="BM157" s="6"/>
      <c r="BN157" s="6"/>
      <c r="BO157" s="6">
        <v>76040.289971</v>
      </c>
      <c r="BP157" s="6">
        <v>-84287</v>
      </c>
      <c r="BQ157" s="6">
        <f>AG157+AI157+AL157+AN157+AP157+AR157+AT157+AV157+AX157+AZ157+BB157+BD157+BF157+BH157+BK157+BM157+BO157</f>
        <v>34193337.890850425</v>
      </c>
      <c r="BT157" s="6">
        <f>AJ157+AM157+AQ157+AS157+AU157+AW157+AY157+BA157+BC157+BG157+BL157+BN157+BP157</f>
        <v>25151690.405672178</v>
      </c>
      <c r="BW157" s="52"/>
      <c r="BX157" s="6">
        <f t="shared" si="4"/>
        <v>60149294.941009425</v>
      </c>
      <c r="BY157" s="6">
        <f t="shared" si="5"/>
        <v>51603621.157426566</v>
      </c>
    </row>
    <row r="158" spans="1:77" ht="12.75">
      <c r="A158" t="s">
        <v>788</v>
      </c>
      <c r="B158" t="s">
        <v>154</v>
      </c>
      <c r="J158"/>
      <c r="K158"/>
      <c r="L158"/>
      <c r="M158"/>
      <c r="V158"/>
      <c r="X158"/>
      <c r="Z158" s="12">
        <f>Z159+Z160</f>
        <v>78658825.56628701</v>
      </c>
      <c r="AC158" s="12">
        <f>AC159+AC160</f>
        <v>80161860.44971924</v>
      </c>
      <c r="AF158" s="51"/>
      <c r="AG158"/>
      <c r="AI158"/>
      <c r="AR158"/>
      <c r="AT158"/>
      <c r="AZ158"/>
      <c r="BB158"/>
      <c r="BD158"/>
      <c r="BE158"/>
      <c r="BF158"/>
      <c r="BH158"/>
      <c r="BI158">
        <v>1056034</v>
      </c>
      <c r="BJ158" s="1">
        <v>153946923.002783</v>
      </c>
      <c r="BL158"/>
      <c r="BO158"/>
      <c r="BP158"/>
      <c r="BQ158" s="1">
        <f>BQ159+BQ160</f>
        <v>97445365.261924</v>
      </c>
      <c r="BT158" s="1">
        <f>BT159+BT160</f>
        <v>69261962.83974881</v>
      </c>
      <c r="BW158" s="52"/>
      <c r="BX158" s="1">
        <f t="shared" si="4"/>
        <v>176104190.828211</v>
      </c>
      <c r="BY158" s="1">
        <f t="shared" si="5"/>
        <v>149423823.28946805</v>
      </c>
    </row>
    <row r="159" spans="1:77" ht="12.75">
      <c r="A159" s="3" t="s">
        <v>789</v>
      </c>
      <c r="B159" s="3" t="s">
        <v>155</v>
      </c>
      <c r="C159" s="3" t="s">
        <v>1343</v>
      </c>
      <c r="D159" s="3"/>
      <c r="E159" s="4"/>
      <c r="F159" s="4">
        <v>17073684.60928</v>
      </c>
      <c r="G159" s="4">
        <f>F159*RPI_inc</f>
        <v>17399933.359775797</v>
      </c>
      <c r="H159" s="4"/>
      <c r="I159" s="4"/>
      <c r="J159" s="4">
        <v>227121.580587</v>
      </c>
      <c r="K159" s="4">
        <f>J159*RPI_inc</f>
        <v>231461.48340076432</v>
      </c>
      <c r="L159" s="3"/>
      <c r="M159" s="4"/>
      <c r="N159" s="4"/>
      <c r="O159" s="4"/>
      <c r="P159" s="4"/>
      <c r="Q159" s="4"/>
      <c r="R159" s="4"/>
      <c r="S159" s="4"/>
      <c r="T159" s="4">
        <v>636631.826631</v>
      </c>
      <c r="U159" s="4">
        <f>T159*RPI_inc</f>
        <v>648796.7659933758</v>
      </c>
      <c r="V159" s="3"/>
      <c r="W159" s="4"/>
      <c r="X159" s="3"/>
      <c r="Y159" s="4"/>
      <c r="Z159" s="13">
        <f>D159+F159+H159+J159+L159+N159+P159+R159+T159+V159+X159</f>
        <v>17937438.016498</v>
      </c>
      <c r="AC159" s="13">
        <f>E159+G159+I159+K159+M159+O159+Q159+S159+U159+W159+Y159</f>
        <v>18280191.609169938</v>
      </c>
      <c r="AF159" s="51"/>
      <c r="AG159" s="3"/>
      <c r="AH159" s="4"/>
      <c r="AI159" s="3"/>
      <c r="AJ159" s="4"/>
      <c r="AK159" s="4"/>
      <c r="AL159" s="4">
        <v>18862644.999819</v>
      </c>
      <c r="AM159" s="4">
        <f>AL159/$AL$680*$AM$680</f>
        <v>12629328.540403564</v>
      </c>
      <c r="AN159" s="4"/>
      <c r="AO159" s="4"/>
      <c r="AP159" s="4"/>
      <c r="AQ159" s="4"/>
      <c r="AR159" s="4">
        <v>328039.801359</v>
      </c>
      <c r="AS159" s="4">
        <f>AR159/$AR$680*$AS$680</f>
        <v>321585.1994387851</v>
      </c>
      <c r="AT159" s="3"/>
      <c r="AU159" s="4"/>
      <c r="AV159" s="4"/>
      <c r="AW159" s="4"/>
      <c r="AX159" s="4">
        <v>903113.019228</v>
      </c>
      <c r="AY159" s="4">
        <f>AX159/$AX$680*$AY$680</f>
        <v>885020.4751566305</v>
      </c>
      <c r="AZ159" s="3"/>
      <c r="BA159" s="4"/>
      <c r="BB159" s="3"/>
      <c r="BC159" s="4"/>
      <c r="BD159" s="4"/>
      <c r="BE159" s="4"/>
      <c r="BF159" s="4"/>
      <c r="BG159" s="4"/>
      <c r="BH159" s="4">
        <v>249931.235271</v>
      </c>
      <c r="BI159" s="4"/>
      <c r="BJ159" s="4">
        <v>37151902.22927</v>
      </c>
      <c r="BK159" s="4">
        <f>BJ159/BJ158*BI158</f>
        <v>254851.93957449644</v>
      </c>
      <c r="BL159" s="4">
        <f>BH159+BK159</f>
        <v>504783.1748454964</v>
      </c>
      <c r="BM159" s="4"/>
      <c r="BN159" s="4"/>
      <c r="BO159" s="4">
        <v>52549.323667</v>
      </c>
      <c r="BP159" s="4"/>
      <c r="BQ159" s="4">
        <f>AG159+AI159+AL159+AN159+AP159+AR159+AT159+AV159+AX159+AZ159+BB159+BD159+BF159+BH159+BK159+BM159+BO159</f>
        <v>20651130.318918496</v>
      </c>
      <c r="BT159" s="4">
        <f>AJ159+AM159+AQ159+AS159+AU159+AW159+AY159+BA159+BC159+BG159+BL159+BN159+BP159</f>
        <v>14340717.389844475</v>
      </c>
      <c r="BW159" s="52"/>
      <c r="BX159" s="4">
        <f t="shared" si="4"/>
        <v>38588568.335416496</v>
      </c>
      <c r="BY159" s="4">
        <f t="shared" si="5"/>
        <v>32620908.999014415</v>
      </c>
    </row>
    <row r="160" spans="1:77" ht="12.75">
      <c r="A160" s="5" t="s">
        <v>790</v>
      </c>
      <c r="B160" s="5" t="s">
        <v>156</v>
      </c>
      <c r="C160" s="5" t="s">
        <v>1343</v>
      </c>
      <c r="D160" s="6">
        <v>51903270.268153</v>
      </c>
      <c r="E160" s="6">
        <f>D160*RPI_inc</f>
        <v>52895052.5025763</v>
      </c>
      <c r="F160" s="6"/>
      <c r="G160" s="6"/>
      <c r="H160" s="6"/>
      <c r="I160" s="6"/>
      <c r="J160" s="6">
        <v>821462.310373</v>
      </c>
      <c r="K160" s="6">
        <f>J160*RPI_inc</f>
        <v>837159.042418344</v>
      </c>
      <c r="L160" s="6">
        <v>4756033.088507</v>
      </c>
      <c r="M160" s="6">
        <f>L160*RPI_inc</f>
        <v>4846912.701663185</v>
      </c>
      <c r="N160" s="6"/>
      <c r="O160" s="6"/>
      <c r="P160" s="6"/>
      <c r="Q160" s="6"/>
      <c r="R160" s="6"/>
      <c r="S160" s="6"/>
      <c r="T160" s="6"/>
      <c r="U160" s="6"/>
      <c r="V160" s="6">
        <v>54371.900517</v>
      </c>
      <c r="W160" s="6">
        <f>V160*RPI_inc</f>
        <v>55410.854030063696</v>
      </c>
      <c r="X160" s="6">
        <v>3186249.982239</v>
      </c>
      <c r="Y160" s="6">
        <f>X160*RPI_inc</f>
        <v>3247133.7398614013</v>
      </c>
      <c r="Z160" s="14">
        <f>D160+F160+H160+J160+L160+N160+P160+R160+T160+V160+X160</f>
        <v>60721387.549789004</v>
      </c>
      <c r="AC160" s="14">
        <f>E160+G160+I160+K160+M160+O160+Q160+S160+U160+W160+Y160</f>
        <v>61881668.8405493</v>
      </c>
      <c r="AF160" s="51"/>
      <c r="AG160" s="6">
        <v>1021209</v>
      </c>
      <c r="AH160" s="6">
        <f>AG160/$AG$680*$AH$680</f>
        <v>768899.3972268525</v>
      </c>
      <c r="AI160" s="6">
        <v>62017225.247785</v>
      </c>
      <c r="AJ160" s="6">
        <f>AI160/$AI$680*$AJ$680</f>
        <v>42509746.67038258</v>
      </c>
      <c r="AK160" s="6">
        <f>AJ160-AH160</f>
        <v>41740847.27315573</v>
      </c>
      <c r="AL160" s="6"/>
      <c r="AM160" s="6"/>
      <c r="AN160" s="6"/>
      <c r="AO160" s="6"/>
      <c r="AP160" s="6"/>
      <c r="AQ160" s="6"/>
      <c r="AR160" s="6">
        <v>1186467.320376</v>
      </c>
      <c r="AS160" s="6">
        <f>AR160/$AR$680*$AS$680</f>
        <v>1163122.0610122124</v>
      </c>
      <c r="AT160" s="6">
        <v>6015990.999695</v>
      </c>
      <c r="AU160" s="6">
        <f>AT160/$AT$680*$AU$680</f>
        <v>4965018.770837235</v>
      </c>
      <c r="AV160" s="6"/>
      <c r="AW160" s="6"/>
      <c r="AX160" s="6"/>
      <c r="AY160" s="6"/>
      <c r="AZ160" s="6">
        <v>77130.877357</v>
      </c>
      <c r="BA160" s="6">
        <f>AZ160/$AZ$680*$BA$680</f>
        <v>75585.67207127613</v>
      </c>
      <c r="BB160" s="6">
        <v>4711427.954922</v>
      </c>
      <c r="BC160" s="6">
        <f>BB160/$BB$680*$BC$680</f>
        <v>4620877.450446523</v>
      </c>
      <c r="BD160" s="6"/>
      <c r="BE160" s="6"/>
      <c r="BF160" s="6"/>
      <c r="BG160" s="6"/>
      <c r="BH160" s="6">
        <v>785712.764729</v>
      </c>
      <c r="BI160" s="6"/>
      <c r="BJ160" s="6">
        <v>116795020.773513</v>
      </c>
      <c r="BK160" s="6">
        <f>BJ160/BJ158*BI158</f>
        <v>801182.0604255035</v>
      </c>
      <c r="BL160" s="6">
        <f>BH160+BK160</f>
        <v>1586894.8251545036</v>
      </c>
      <c r="BM160" s="6"/>
      <c r="BN160" s="6"/>
      <c r="BO160" s="6">
        <v>177888.717716</v>
      </c>
      <c r="BP160" s="6"/>
      <c r="BQ160" s="6">
        <f>AG160+AI160+AL160+AN160+AP160+AR160+AT160+AV160+AX160+AZ160+BB160+BD160+BF160+BH160+BK160+BM160+BO160</f>
        <v>76794234.9430055</v>
      </c>
      <c r="BT160" s="6">
        <f>AJ160+AM160+AQ160+AS160+AU160+AW160+AY160+BA160+BC160+BG160+BL160+BN160+BP160</f>
        <v>54921245.44990434</v>
      </c>
      <c r="BW160" s="52"/>
      <c r="BX160" s="6">
        <f t="shared" si="4"/>
        <v>137515622.4927945</v>
      </c>
      <c r="BY160" s="6">
        <f t="shared" si="5"/>
        <v>116802914.29045364</v>
      </c>
    </row>
    <row r="161" spans="1:77" ht="12.75">
      <c r="A161" t="s">
        <v>791</v>
      </c>
      <c r="B161" t="s">
        <v>157</v>
      </c>
      <c r="J161"/>
      <c r="K161"/>
      <c r="L161"/>
      <c r="M161"/>
      <c r="V161"/>
      <c r="X161"/>
      <c r="Z161" s="12">
        <f>Z162+Z163</f>
        <v>34264475.831576</v>
      </c>
      <c r="AC161" s="12">
        <f>AC162+AC163</f>
        <v>34919211.03854879</v>
      </c>
      <c r="AF161" s="51"/>
      <c r="AG161"/>
      <c r="AI161"/>
      <c r="AR161"/>
      <c r="AT161"/>
      <c r="AZ161"/>
      <c r="BB161"/>
      <c r="BD161"/>
      <c r="BE161"/>
      <c r="BF161"/>
      <c r="BH161"/>
      <c r="BI161">
        <v>1381741</v>
      </c>
      <c r="BJ161" s="1">
        <v>43060586.383083</v>
      </c>
      <c r="BL161"/>
      <c r="BO161"/>
      <c r="BP161"/>
      <c r="BQ161" s="1">
        <f>BQ162+BQ163</f>
        <v>44391167.210315</v>
      </c>
      <c r="BT161" s="1">
        <f>BT162+BT163</f>
        <v>32769273.972353317</v>
      </c>
      <c r="BW161" s="52"/>
      <c r="BX161" s="1">
        <f t="shared" si="4"/>
        <v>78655643.041891</v>
      </c>
      <c r="BY161" s="1">
        <f t="shared" si="5"/>
        <v>67688485.0109021</v>
      </c>
    </row>
    <row r="162" spans="1:77" ht="12.75">
      <c r="A162" s="3" t="s">
        <v>792</v>
      </c>
      <c r="B162" s="3" t="s">
        <v>158</v>
      </c>
      <c r="C162" s="3" t="s">
        <v>1343</v>
      </c>
      <c r="D162" s="3"/>
      <c r="E162" s="4"/>
      <c r="F162" s="4">
        <v>7695461.103797</v>
      </c>
      <c r="G162" s="4">
        <f>F162*RPI_inc</f>
        <v>7842508.131258089</v>
      </c>
      <c r="H162" s="4"/>
      <c r="I162" s="4"/>
      <c r="J162" s="4">
        <v>412578.590236</v>
      </c>
      <c r="K162" s="4">
        <f>J162*RPI_inc</f>
        <v>420462.25756535033</v>
      </c>
      <c r="L162" s="3"/>
      <c r="M162" s="4"/>
      <c r="N162" s="4"/>
      <c r="O162" s="4"/>
      <c r="P162" s="4"/>
      <c r="Q162" s="4"/>
      <c r="R162" s="4"/>
      <c r="S162" s="4"/>
      <c r="T162" s="4">
        <v>162912.061474</v>
      </c>
      <c r="U162" s="4">
        <f>T162*RPI_inc</f>
        <v>166025.03080152866</v>
      </c>
      <c r="V162" s="3"/>
      <c r="W162" s="4"/>
      <c r="X162" s="3"/>
      <c r="Y162" s="4"/>
      <c r="Z162" s="13">
        <f>D162+F162+H162+J162+L162+N162+P162+R162+T162+V162+X162</f>
        <v>8270951.755507</v>
      </c>
      <c r="AC162" s="13">
        <f>E162+G162+I162+K162+M162+O162+Q162+S162+U162+W162+Y162</f>
        <v>8428995.419624968</v>
      </c>
      <c r="AF162" s="51"/>
      <c r="AG162" s="3"/>
      <c r="AH162" s="4"/>
      <c r="AI162" s="3"/>
      <c r="AJ162" s="4"/>
      <c r="AK162" s="4"/>
      <c r="AL162" s="4">
        <v>8501782.376367</v>
      </c>
      <c r="AM162" s="4">
        <f>AL162/$AL$680*$AM$680</f>
        <v>5692298.339452505</v>
      </c>
      <c r="AN162" s="4"/>
      <c r="AO162" s="4"/>
      <c r="AP162" s="4"/>
      <c r="AQ162" s="4"/>
      <c r="AR162" s="4">
        <v>595901.976538</v>
      </c>
      <c r="AS162" s="4">
        <f>AR162/$AR$680*$AS$680</f>
        <v>584176.8443251174</v>
      </c>
      <c r="AT162" s="3"/>
      <c r="AU162" s="4"/>
      <c r="AV162" s="4"/>
      <c r="AW162" s="4"/>
      <c r="AX162" s="4">
        <v>231103.75189</v>
      </c>
      <c r="AY162" s="4">
        <f>AX162/$AX$680*$AY$680</f>
        <v>226473.92735297483</v>
      </c>
      <c r="AZ162" s="3"/>
      <c r="BA162" s="4"/>
      <c r="BB162" s="3"/>
      <c r="BC162" s="4"/>
      <c r="BD162" s="4"/>
      <c r="BE162" s="4"/>
      <c r="BF162" s="4"/>
      <c r="BG162" s="4"/>
      <c r="BH162" s="4"/>
      <c r="BI162" s="4"/>
      <c r="BJ162" s="4">
        <v>12518585.606131</v>
      </c>
      <c r="BK162" s="4">
        <f>BJ162/BJ161*BI161</f>
        <v>401700.12642458157</v>
      </c>
      <c r="BL162" s="4">
        <f>BH162+BK162</f>
        <v>401700.12642458157</v>
      </c>
      <c r="BM162" s="4"/>
      <c r="BN162" s="4"/>
      <c r="BO162" s="4">
        <v>24230.490466</v>
      </c>
      <c r="BP162" s="4"/>
      <c r="BQ162" s="4">
        <f>AG162+AI162+AL162+AN162+AP162+AR162+AT162+AV162+AX162+AZ162+BB162+BD162+BF162+BH162+BK162+BM162+BO162</f>
        <v>9754718.721685583</v>
      </c>
      <c r="BT162" s="4">
        <f>AJ162+AM162+AQ162+AS162+AU162+AW162+AY162+BA162+BC162+BG162+BL162+BN162+BP162</f>
        <v>6904649.23755518</v>
      </c>
      <c r="BW162" s="52"/>
      <c r="BX162" s="4">
        <f t="shared" si="4"/>
        <v>18025670.47719258</v>
      </c>
      <c r="BY162" s="4">
        <f t="shared" si="5"/>
        <v>15333644.657180147</v>
      </c>
    </row>
    <row r="163" spans="1:77" ht="12.75">
      <c r="A163" s="5" t="s">
        <v>793</v>
      </c>
      <c r="B163" s="5" t="s">
        <v>159</v>
      </c>
      <c r="C163" s="5" t="s">
        <v>1343</v>
      </c>
      <c r="D163" s="6">
        <v>17695005.579017</v>
      </c>
      <c r="E163" s="6">
        <f>D163*RPI_inc</f>
        <v>18033126.7047307</v>
      </c>
      <c r="F163" s="6"/>
      <c r="G163" s="6"/>
      <c r="H163" s="6"/>
      <c r="I163" s="6"/>
      <c r="J163" s="6">
        <v>933190.705105</v>
      </c>
      <c r="K163" s="6">
        <f>J163*RPI_inc</f>
        <v>951022.3746292993</v>
      </c>
      <c r="L163" s="6">
        <v>3632127.443798</v>
      </c>
      <c r="M163" s="6">
        <f>L163*RPI_inc</f>
        <v>3701531.1529151592</v>
      </c>
      <c r="N163" s="6"/>
      <c r="O163" s="6"/>
      <c r="P163" s="6"/>
      <c r="Q163" s="6"/>
      <c r="R163" s="6"/>
      <c r="S163" s="6"/>
      <c r="T163" s="6"/>
      <c r="U163" s="6"/>
      <c r="V163" s="6">
        <v>57670.869762</v>
      </c>
      <c r="W163" s="6">
        <f>V163*RPI_inc</f>
        <v>58772.86090394905</v>
      </c>
      <c r="X163" s="6">
        <v>3675529.478387</v>
      </c>
      <c r="Y163" s="6">
        <f>X163*RPI_inc</f>
        <v>3745762.5257447134</v>
      </c>
      <c r="Z163" s="14">
        <f>D163+F163+H163+J163+L163+N163+P163+R163+T163+V163+X163</f>
        <v>25993524.076068997</v>
      </c>
      <c r="AC163" s="14">
        <f>E163+G163+I163+K163+M163+O163+Q163+S163+U163+W163+Y163</f>
        <v>26490215.61892382</v>
      </c>
      <c r="AF163" s="51"/>
      <c r="AG163" s="6">
        <v>978267</v>
      </c>
      <c r="AH163" s="6">
        <f>AG163/$AG$680*$AH$680</f>
        <v>736567.0559375419</v>
      </c>
      <c r="AI163" s="6">
        <v>21143082.913372</v>
      </c>
      <c r="AJ163" s="6">
        <f>AI163/$AI$680*$AJ$680</f>
        <v>14492539.691792145</v>
      </c>
      <c r="AK163" s="6">
        <f>AJ163-AH163</f>
        <v>13755972.635854604</v>
      </c>
      <c r="AL163" s="6"/>
      <c r="AM163" s="6"/>
      <c r="AN163" s="6"/>
      <c r="AO163" s="6"/>
      <c r="AP163" s="6"/>
      <c r="AQ163" s="6"/>
      <c r="AR163" s="6">
        <v>1347840.626776</v>
      </c>
      <c r="AS163" s="6">
        <f>AR163/$AR$680*$AS$680</f>
        <v>1321320.141573623</v>
      </c>
      <c r="AT163" s="6">
        <v>4594342.723232</v>
      </c>
      <c r="AU163" s="6">
        <f>AT163/$AT$680*$AU$680</f>
        <v>3791727.3914909144</v>
      </c>
      <c r="AV163" s="6"/>
      <c r="AW163" s="6"/>
      <c r="AX163" s="6"/>
      <c r="AY163" s="6"/>
      <c r="AZ163" s="6">
        <v>81810.728343</v>
      </c>
      <c r="BA163" s="6">
        <f>AZ163/$AZ$680*$BA$680</f>
        <v>80171.76902869821</v>
      </c>
      <c r="BB163" s="6">
        <v>5434913.277408</v>
      </c>
      <c r="BC163" s="6">
        <f>BB163/$BB$680*$BC$680</f>
        <v>5330457.867337338</v>
      </c>
      <c r="BD163" s="6"/>
      <c r="BE163" s="6"/>
      <c r="BF163" s="6"/>
      <c r="BG163" s="6"/>
      <c r="BH163" s="6"/>
      <c r="BI163" s="6"/>
      <c r="BJ163" s="6">
        <v>30542000.776952</v>
      </c>
      <c r="BK163" s="6">
        <f>BJ163/BJ161*BI161</f>
        <v>980040.8735754185</v>
      </c>
      <c r="BL163" s="6">
        <f>BH163+BK163</f>
        <v>980040.8735754185</v>
      </c>
      <c r="BM163" s="6"/>
      <c r="BN163" s="6"/>
      <c r="BO163" s="6">
        <v>76150.345923</v>
      </c>
      <c r="BP163" s="6">
        <v>-131633</v>
      </c>
      <c r="BQ163" s="6">
        <f>AG163+AI163+AL163+AN163+AP163+AR163+AT163+AV163+AX163+AZ163+BB163+BD163+BF163+BH163+BK163+BM163+BO163</f>
        <v>34636448.488629416</v>
      </c>
      <c r="BT163" s="6">
        <f>AJ163+AM163+AQ163+AS163+AU163+AW163+AY163+BA163+BC163+BG163+BL163+BN163+BP163</f>
        <v>25864624.734798137</v>
      </c>
      <c r="BW163" s="52"/>
      <c r="BX163" s="6">
        <f t="shared" si="4"/>
        <v>60629972.56469841</v>
      </c>
      <c r="BY163" s="6">
        <f t="shared" si="5"/>
        <v>52354840.35372196</v>
      </c>
    </row>
    <row r="164" spans="1:77" ht="12.75">
      <c r="A164" t="s">
        <v>794</v>
      </c>
      <c r="B164" t="s">
        <v>160</v>
      </c>
      <c r="J164"/>
      <c r="K164"/>
      <c r="L164"/>
      <c r="M164"/>
      <c r="V164"/>
      <c r="X164"/>
      <c r="Z164" s="12">
        <f>Z165+Z166</f>
        <v>65943939.636416994</v>
      </c>
      <c r="AC164" s="12">
        <f>AC165+AC166</f>
        <v>67204014.91609377</v>
      </c>
      <c r="AF164" s="51"/>
      <c r="AG164"/>
      <c r="AI164"/>
      <c r="AR164"/>
      <c r="AT164"/>
      <c r="AZ164"/>
      <c r="BB164"/>
      <c r="BD164"/>
      <c r="BE164"/>
      <c r="BF164"/>
      <c r="BH164"/>
      <c r="BI164">
        <v>1557419</v>
      </c>
      <c r="BJ164" s="1">
        <v>121164531.135781</v>
      </c>
      <c r="BL164"/>
      <c r="BO164"/>
      <c r="BP164"/>
      <c r="BQ164" s="1">
        <f>BQ165+BQ166</f>
        <v>83436939.22414699</v>
      </c>
      <c r="BT164" s="1">
        <f>BT165+BT166</f>
        <v>60911660.056828216</v>
      </c>
      <c r="BW164" s="52"/>
      <c r="BX164" s="1">
        <f t="shared" si="4"/>
        <v>149380878.860564</v>
      </c>
      <c r="BY164" s="1">
        <f t="shared" si="5"/>
        <v>128115674.97292198</v>
      </c>
    </row>
    <row r="165" spans="1:77" ht="12.75">
      <c r="A165" s="3" t="s">
        <v>795</v>
      </c>
      <c r="B165" s="3" t="s">
        <v>161</v>
      </c>
      <c r="C165" s="3" t="s">
        <v>1343</v>
      </c>
      <c r="D165" s="3"/>
      <c r="E165" s="4"/>
      <c r="F165" s="4">
        <v>12522995.245407</v>
      </c>
      <c r="G165" s="4">
        <f>F165*RPI_inc</f>
        <v>12762288.148185479</v>
      </c>
      <c r="H165" s="4"/>
      <c r="I165" s="4"/>
      <c r="J165" s="4">
        <v>355907.406767</v>
      </c>
      <c r="K165" s="4">
        <f>J165*RPI_inc</f>
        <v>362708.18524025474</v>
      </c>
      <c r="L165" s="3"/>
      <c r="M165" s="4"/>
      <c r="N165" s="4"/>
      <c r="O165" s="4"/>
      <c r="P165" s="4"/>
      <c r="Q165" s="4"/>
      <c r="R165" s="4"/>
      <c r="S165" s="4"/>
      <c r="T165" s="4">
        <v>384733.124378</v>
      </c>
      <c r="U165" s="4">
        <f>T165*RPI_inc</f>
        <v>392084.71274191083</v>
      </c>
      <c r="V165" s="3"/>
      <c r="W165" s="4"/>
      <c r="X165" s="3"/>
      <c r="Y165" s="4"/>
      <c r="Z165" s="13">
        <f>D165+F165+H165+J165+L165+N165+P165+R165+T165+V165+X165</f>
        <v>13263635.776552</v>
      </c>
      <c r="AC165" s="13">
        <f>E165+G165+I165+K165+M165+O165+Q165+S165+U165+W165+Y165</f>
        <v>13517081.046167646</v>
      </c>
      <c r="AF165" s="51"/>
      <c r="AG165" s="3"/>
      <c r="AH165" s="4"/>
      <c r="AI165" s="3"/>
      <c r="AJ165" s="4"/>
      <c r="AK165" s="4"/>
      <c r="AL165" s="4">
        <v>13835139.810428</v>
      </c>
      <c r="AM165" s="4">
        <f>AL165/$AL$680*$AM$680</f>
        <v>9263203.865098905</v>
      </c>
      <c r="AN165" s="4"/>
      <c r="AO165" s="4"/>
      <c r="AP165" s="4"/>
      <c r="AQ165" s="4"/>
      <c r="AR165" s="4">
        <v>514049.764519</v>
      </c>
      <c r="AS165" s="4">
        <f>AR165/$AR$680*$AS$680</f>
        <v>503935.1790833162</v>
      </c>
      <c r="AT165" s="3"/>
      <c r="AU165" s="4"/>
      <c r="AV165" s="4"/>
      <c r="AW165" s="4"/>
      <c r="AX165" s="4">
        <v>545774.620463</v>
      </c>
      <c r="AY165" s="4">
        <f>AX165/$AX$680*$AY$680</f>
        <v>534840.8268363699</v>
      </c>
      <c r="AZ165" s="3"/>
      <c r="BA165" s="4"/>
      <c r="BB165" s="3"/>
      <c r="BC165" s="4"/>
      <c r="BD165" s="4"/>
      <c r="BE165" s="4"/>
      <c r="BF165" s="4"/>
      <c r="BG165" s="4"/>
      <c r="BH165" s="4"/>
      <c r="BI165" s="4"/>
      <c r="BJ165" s="4">
        <v>27756242.359635</v>
      </c>
      <c r="BK165" s="4">
        <f>BJ165/BJ164*BI164</f>
        <v>356771.8936745402</v>
      </c>
      <c r="BL165" s="4">
        <f>BH165+BK165</f>
        <v>356771.8936745402</v>
      </c>
      <c r="BM165" s="4"/>
      <c r="BN165" s="4"/>
      <c r="BO165" s="4">
        <v>38857.003368</v>
      </c>
      <c r="BP165" s="4"/>
      <c r="BQ165" s="4">
        <f>AG165+AI165+AL165+AN165+AP165+AR165+AT165+AV165+AX165+AZ165+BB165+BD165+BF165+BH165+BK165+BM165+BO165</f>
        <v>15290593.09245254</v>
      </c>
      <c r="BT165" s="4">
        <f>AJ165+AM165+AQ165+AS165+AU165+AW165+AY165+BA165+BC165+BG165+BL165+BN165+BP165</f>
        <v>10658751.76469313</v>
      </c>
      <c r="BW165" s="52"/>
      <c r="BX165" s="4">
        <f t="shared" si="4"/>
        <v>28554228.86900454</v>
      </c>
      <c r="BY165" s="4">
        <f t="shared" si="5"/>
        <v>24175832.810860775</v>
      </c>
    </row>
    <row r="166" spans="1:77" ht="12.75">
      <c r="A166" s="5" t="s">
        <v>796</v>
      </c>
      <c r="B166" s="5" t="s">
        <v>162</v>
      </c>
      <c r="C166" s="5" t="s">
        <v>1343</v>
      </c>
      <c r="D166" s="6">
        <v>39915887.206033</v>
      </c>
      <c r="E166" s="6">
        <f>D166*RPI_inc</f>
        <v>40678611.16538395</v>
      </c>
      <c r="F166" s="6"/>
      <c r="G166" s="6"/>
      <c r="H166" s="6"/>
      <c r="I166" s="6"/>
      <c r="J166" s="6">
        <v>1142113.392026</v>
      </c>
      <c r="K166" s="6">
        <f>J166*RPI_inc</f>
        <v>1163937.214803567</v>
      </c>
      <c r="L166" s="6">
        <v>5189511.172496</v>
      </c>
      <c r="M166" s="6">
        <f>L166*RPI_inc</f>
        <v>5288673.80636535</v>
      </c>
      <c r="N166" s="6"/>
      <c r="O166" s="6"/>
      <c r="P166" s="6"/>
      <c r="Q166" s="6"/>
      <c r="R166" s="6"/>
      <c r="S166" s="6"/>
      <c r="T166" s="6"/>
      <c r="U166" s="6"/>
      <c r="V166" s="6">
        <v>57752.325793</v>
      </c>
      <c r="W166" s="6">
        <f>V166*RPI_inc</f>
        <v>58855.87341961784</v>
      </c>
      <c r="X166" s="6">
        <v>6375039.763517</v>
      </c>
      <c r="Y166" s="6">
        <f>X166*RPI_inc</f>
        <v>6496855.80995363</v>
      </c>
      <c r="Z166" s="14">
        <f>D166+F166+H166+J166+L166+N166+P166+R166+T166+V166+X166</f>
        <v>52680303.859864995</v>
      </c>
      <c r="AC166" s="14">
        <f>E166+G166+I166+K166+M166+O166+Q166+S166+U166+W166+Y166</f>
        <v>53686933.86992612</v>
      </c>
      <c r="AF166" s="51"/>
      <c r="AG166" s="6">
        <v>1374968</v>
      </c>
      <c r="AH166" s="6">
        <f>AG166/$AG$680*$AH$680</f>
        <v>1035255.3359852987</v>
      </c>
      <c r="AI166" s="6">
        <v>47693961.383019</v>
      </c>
      <c r="AJ166" s="6">
        <f>AI166/$AI$680*$AJ$680</f>
        <v>32691856.302802898</v>
      </c>
      <c r="AK166" s="6">
        <f>AJ166-AH166</f>
        <v>31656600.9668176</v>
      </c>
      <c r="AL166" s="6"/>
      <c r="AM166" s="6"/>
      <c r="AN166" s="6"/>
      <c r="AO166" s="6"/>
      <c r="AP166" s="6"/>
      <c r="AQ166" s="6"/>
      <c r="AR166" s="6">
        <v>1649595.116771</v>
      </c>
      <c r="AS166" s="6">
        <f>AR166/$AR$680*$AS$680</f>
        <v>1617137.2267095593</v>
      </c>
      <c r="AT166" s="6">
        <v>6564305.152123</v>
      </c>
      <c r="AU166" s="6">
        <f>AT166/$AT$680*$AU$680</f>
        <v>5417544.391181205</v>
      </c>
      <c r="AV166" s="6"/>
      <c r="AW166" s="6"/>
      <c r="AX166" s="6"/>
      <c r="AY166" s="6"/>
      <c r="AZ166" s="6">
        <v>81926.280219</v>
      </c>
      <c r="BA166" s="6">
        <f>AZ166/$AZ$680*$BA$680</f>
        <v>80285.00599041629</v>
      </c>
      <c r="BB166" s="6">
        <v>9426611.446997</v>
      </c>
      <c r="BC166" s="6">
        <f>BB166/$BB$680*$BC$680</f>
        <v>9245438.25912555</v>
      </c>
      <c r="BD166" s="6"/>
      <c r="BE166" s="6"/>
      <c r="BF166" s="6"/>
      <c r="BG166" s="6"/>
      <c r="BH166" s="6"/>
      <c r="BI166" s="6"/>
      <c r="BJ166" s="6">
        <v>93408288.776146</v>
      </c>
      <c r="BK166" s="6">
        <f>BJ166/BJ164*BI164</f>
        <v>1200647.1063254597</v>
      </c>
      <c r="BL166" s="6">
        <f>BH166+BK166</f>
        <v>1200647.1063254597</v>
      </c>
      <c r="BM166" s="6"/>
      <c r="BN166" s="6"/>
      <c r="BO166" s="6">
        <v>154331.64624</v>
      </c>
      <c r="BP166" s="6"/>
      <c r="BQ166" s="6">
        <f>AG166+AI166+AL166+AN166+AP166+AR166+AT166+AV166+AX166+AZ166+BB166+BD166+BF166+BH166+BK166+BM166+BO166</f>
        <v>68146346.13169445</v>
      </c>
      <c r="BT166" s="6">
        <f>AJ166+AM166+AQ166+AS166+AU166+AW166+AY166+BA166+BC166+BG166+BL166+BN166+BP166</f>
        <v>50252908.29213509</v>
      </c>
      <c r="BW166" s="52"/>
      <c r="BX166" s="6">
        <f t="shared" si="4"/>
        <v>120826649.99155945</v>
      </c>
      <c r="BY166" s="6">
        <f t="shared" si="5"/>
        <v>103939842.16206121</v>
      </c>
    </row>
    <row r="167" spans="1:77" ht="12.75">
      <c r="A167" t="s">
        <v>797</v>
      </c>
      <c r="B167" t="s">
        <v>163</v>
      </c>
      <c r="J167"/>
      <c r="K167"/>
      <c r="L167"/>
      <c r="M167"/>
      <c r="V167"/>
      <c r="X167"/>
      <c r="Z167" s="12">
        <f>Z168+Z169</f>
        <v>68669847.759693</v>
      </c>
      <c r="AC167" s="12">
        <f>AC168+AC169</f>
        <v>69982010.45573808</v>
      </c>
      <c r="AF167" s="51"/>
      <c r="AG167"/>
      <c r="AI167"/>
      <c r="AR167"/>
      <c r="AT167"/>
      <c r="AZ167"/>
      <c r="BB167"/>
      <c r="BD167"/>
      <c r="BE167"/>
      <c r="BF167"/>
      <c r="BH167"/>
      <c r="BI167">
        <v>1279375</v>
      </c>
      <c r="BJ167" s="1">
        <v>132336969.559053</v>
      </c>
      <c r="BL167"/>
      <c r="BO167"/>
      <c r="BP167"/>
      <c r="BQ167" s="1">
        <f>BQ168+BQ169</f>
        <v>86110560.002183</v>
      </c>
      <c r="BT167" s="1">
        <f>BT168+BT169</f>
        <v>61595958.265033446</v>
      </c>
      <c r="BW167" s="52"/>
      <c r="BX167" s="1">
        <f t="shared" si="4"/>
        <v>154780407.761876</v>
      </c>
      <c r="BY167" s="1">
        <f t="shared" si="5"/>
        <v>131577968.72077152</v>
      </c>
    </row>
    <row r="168" spans="1:77" ht="12.75">
      <c r="A168" s="3" t="s">
        <v>798</v>
      </c>
      <c r="B168" s="3" t="s">
        <v>164</v>
      </c>
      <c r="C168" s="3" t="s">
        <v>1343</v>
      </c>
      <c r="D168" s="3"/>
      <c r="E168" s="4"/>
      <c r="F168" s="4">
        <v>14434342.146238</v>
      </c>
      <c r="G168" s="4">
        <f>F168*RPI_inc</f>
        <v>14710157.601261655</v>
      </c>
      <c r="H168" s="4"/>
      <c r="I168" s="4"/>
      <c r="J168" s="4">
        <v>298156.754157</v>
      </c>
      <c r="K168" s="4">
        <f>J168*RPI_inc</f>
        <v>303854.0169752866</v>
      </c>
      <c r="L168" s="3"/>
      <c r="M168" s="4"/>
      <c r="N168" s="4"/>
      <c r="O168" s="4"/>
      <c r="P168" s="4"/>
      <c r="Q168" s="4"/>
      <c r="R168" s="4"/>
      <c r="S168" s="4"/>
      <c r="T168" s="4">
        <v>421181.439891</v>
      </c>
      <c r="U168" s="4">
        <f>T168*RPI_inc</f>
        <v>429229.4928825478</v>
      </c>
      <c r="V168" s="3"/>
      <c r="W168" s="4"/>
      <c r="X168" s="3"/>
      <c r="Y168" s="4"/>
      <c r="Z168" s="13">
        <f>D168+F168+H168+J168+L168+N168+P168+R168+T168+V168+X168</f>
        <v>15153680.340285998</v>
      </c>
      <c r="AC168" s="13">
        <f>E168+G168+I168+K168+M168+O168+Q168+S168+U168+W168+Y168</f>
        <v>15443241.11111949</v>
      </c>
      <c r="AF168" s="51"/>
      <c r="AG168" s="3"/>
      <c r="AH168" s="4"/>
      <c r="AI168" s="3"/>
      <c r="AJ168" s="4"/>
      <c r="AK168" s="4"/>
      <c r="AL168" s="4">
        <v>15946755.368928</v>
      </c>
      <c r="AM168" s="4">
        <f>AL168/$AL$680*$AM$680</f>
        <v>10677018.663584491</v>
      </c>
      <c r="AN168" s="4"/>
      <c r="AO168" s="4"/>
      <c r="AP168" s="4"/>
      <c r="AQ168" s="4"/>
      <c r="AR168" s="4">
        <v>430638.436712</v>
      </c>
      <c r="AS168" s="4">
        <f>AR168/$AR$680*$AS$680</f>
        <v>422165.07564726233</v>
      </c>
      <c r="AT168" s="3"/>
      <c r="AU168" s="4"/>
      <c r="AV168" s="4"/>
      <c r="AW168" s="4"/>
      <c r="AX168" s="4">
        <v>597479.462873</v>
      </c>
      <c r="AY168" s="4">
        <f>AX168/$AX$680*$AY$680</f>
        <v>585509.8386027082</v>
      </c>
      <c r="AZ168" s="3"/>
      <c r="BA168" s="4"/>
      <c r="BB168" s="3"/>
      <c r="BC168" s="4"/>
      <c r="BD168" s="4"/>
      <c r="BE168" s="4"/>
      <c r="BF168" s="4"/>
      <c r="BG168" s="4"/>
      <c r="BH168" s="4">
        <v>299933.032816</v>
      </c>
      <c r="BI168" s="4"/>
      <c r="BJ168" s="4">
        <v>31382738.512803</v>
      </c>
      <c r="BK168" s="4">
        <f>BJ168/BJ167*BI167</f>
        <v>303394.3668092006</v>
      </c>
      <c r="BL168" s="4">
        <f>BH168+BK168</f>
        <v>603327.3996252005</v>
      </c>
      <c r="BM168" s="4"/>
      <c r="BN168" s="4"/>
      <c r="BO168" s="4">
        <v>44394.057402</v>
      </c>
      <c r="BP168" s="4"/>
      <c r="BQ168" s="4">
        <f>AG168+AI168+AL168+AN168+AP168+AR168+AT168+AV168+AX168+AZ168+BB168+BD168+BF168+BH168+BK168+BM168+BO168</f>
        <v>17622594.725540202</v>
      </c>
      <c r="BT168" s="4">
        <f>AJ168+AM168+AQ168+AS168+AU168+AW168+AY168+BA168+BC168+BG168+BL168+BN168+BP168</f>
        <v>12288020.977459664</v>
      </c>
      <c r="BW168" s="52"/>
      <c r="BX168" s="4">
        <f t="shared" si="4"/>
        <v>32776275.0658262</v>
      </c>
      <c r="BY168" s="4">
        <f t="shared" si="5"/>
        <v>27731262.088579156</v>
      </c>
    </row>
    <row r="169" spans="1:77" ht="12.75">
      <c r="A169" s="5" t="s">
        <v>799</v>
      </c>
      <c r="B169" s="5" t="s">
        <v>165</v>
      </c>
      <c r="C169" s="5" t="s">
        <v>1343</v>
      </c>
      <c r="D169" s="6">
        <v>44556205.148365</v>
      </c>
      <c r="E169" s="6">
        <f>D169*RPI_inc</f>
        <v>45407597.603429295</v>
      </c>
      <c r="F169" s="6"/>
      <c r="G169" s="6"/>
      <c r="H169" s="6"/>
      <c r="I169" s="6"/>
      <c r="J169" s="6">
        <v>984510.590573</v>
      </c>
      <c r="K169" s="6">
        <f>J169*RPI_inc</f>
        <v>1003322.894851465</v>
      </c>
      <c r="L169" s="6">
        <v>5125550.75491</v>
      </c>
      <c r="M169" s="6">
        <f>L169*RPI_inc</f>
        <v>5223491.215194904</v>
      </c>
      <c r="N169" s="6"/>
      <c r="O169" s="6"/>
      <c r="P169" s="6"/>
      <c r="Q169" s="6"/>
      <c r="R169" s="6"/>
      <c r="S169" s="6"/>
      <c r="T169" s="6"/>
      <c r="U169" s="6"/>
      <c r="V169" s="6">
        <v>51520.939441</v>
      </c>
      <c r="W169" s="6">
        <f>V169*RPI_inc</f>
        <v>52505.41599082803</v>
      </c>
      <c r="X169" s="6">
        <v>2798379.986118</v>
      </c>
      <c r="Y169" s="6">
        <f>X169*RPI_inc</f>
        <v>2851852.215152102</v>
      </c>
      <c r="Z169" s="14">
        <f>D169+F169+H169+J169+L169+N169+P169+R169+T169+V169+X169</f>
        <v>53516167.419406995</v>
      </c>
      <c r="AC169" s="14">
        <f>E169+G169+I169+K169+M169+O169+Q169+S169+U169+W169+Y169</f>
        <v>54538769.344618596</v>
      </c>
      <c r="AF169" s="51"/>
      <c r="AG169" s="6">
        <v>1035514</v>
      </c>
      <c r="AH169" s="6">
        <f>AG169/$AG$680*$AH$680</f>
        <v>779670.0679488399</v>
      </c>
      <c r="AI169" s="6">
        <v>53238499.165786</v>
      </c>
      <c r="AJ169" s="6">
        <f>AI169/$AI$680*$AJ$680</f>
        <v>36492363.268538326</v>
      </c>
      <c r="AK169" s="6">
        <f>AJ169-AH169</f>
        <v>35712693.200589485</v>
      </c>
      <c r="AL169" s="6"/>
      <c r="AM169" s="6"/>
      <c r="AN169" s="6"/>
      <c r="AO169" s="6"/>
      <c r="AP169" s="6"/>
      <c r="AQ169" s="6"/>
      <c r="AR169" s="6">
        <v>1421963.768184</v>
      </c>
      <c r="AS169" s="6">
        <f>AR169/$AR$680*$AS$680</f>
        <v>1393984.8155368727</v>
      </c>
      <c r="AT169" s="6">
        <v>6483400.480232</v>
      </c>
      <c r="AU169" s="6">
        <f>AT169/$AT$680*$AU$680</f>
        <v>5350773.477692871</v>
      </c>
      <c r="AV169" s="6"/>
      <c r="AW169" s="6"/>
      <c r="AX169" s="6"/>
      <c r="AY169" s="6"/>
      <c r="AZ169" s="6">
        <v>73086.56169</v>
      </c>
      <c r="BA169" s="6">
        <f>AZ169/$AZ$680*$BA$680</f>
        <v>71622.37840428346</v>
      </c>
      <c r="BB169" s="6">
        <v>4137894.317327</v>
      </c>
      <c r="BC169" s="6">
        <f>BB169/$BB$680*$BC$680</f>
        <v>4058366.747026634</v>
      </c>
      <c r="BD169" s="6"/>
      <c r="BE169" s="6"/>
      <c r="BF169" s="6"/>
      <c r="BG169" s="6"/>
      <c r="BH169" s="6">
        <v>964845.967184</v>
      </c>
      <c r="BI169" s="6"/>
      <c r="BJ169" s="6">
        <v>100954231.04625</v>
      </c>
      <c r="BK169" s="6">
        <f>BJ169/BJ167*BI167</f>
        <v>975980.6331907994</v>
      </c>
      <c r="BL169" s="6">
        <f>BH169+BK169</f>
        <v>1940826.6003747992</v>
      </c>
      <c r="BM169" s="6"/>
      <c r="BN169" s="6"/>
      <c r="BO169" s="6">
        <v>156780.383049</v>
      </c>
      <c r="BP169" s="6"/>
      <c r="BQ169" s="6">
        <f>AG169+AI169+AL169+AN169+AP169+AR169+AT169+AV169+AX169+AZ169+BB169+BD169+BF169+BH169+BK169+BM169+BO169</f>
        <v>68487965.2766428</v>
      </c>
      <c r="BT169" s="6">
        <f>AJ169+AM169+AQ169+AS169+AU169+AW169+AY169+BA169+BC169+BG169+BL169+BN169+BP169</f>
        <v>49307937.287573785</v>
      </c>
      <c r="BW169" s="52"/>
      <c r="BX169" s="6">
        <f t="shared" si="4"/>
        <v>122004132.6960498</v>
      </c>
      <c r="BY169" s="6">
        <f t="shared" si="5"/>
        <v>103846706.63219237</v>
      </c>
    </row>
    <row r="170" spans="1:77" ht="12.75">
      <c r="A170" t="s">
        <v>800</v>
      </c>
      <c r="B170" t="s">
        <v>166</v>
      </c>
      <c r="J170"/>
      <c r="K170"/>
      <c r="L170"/>
      <c r="M170"/>
      <c r="V170"/>
      <c r="X170"/>
      <c r="Z170" s="12">
        <f>Z171+Z172</f>
        <v>66050707.418464996</v>
      </c>
      <c r="AC170" s="12">
        <f>AC171+AC172</f>
        <v>67312822.84684332</v>
      </c>
      <c r="AF170" s="51"/>
      <c r="AG170"/>
      <c r="AI170"/>
      <c r="AR170"/>
      <c r="AT170"/>
      <c r="AZ170"/>
      <c r="BB170"/>
      <c r="BD170"/>
      <c r="BE170"/>
      <c r="BF170"/>
      <c r="BH170"/>
      <c r="BI170">
        <v>1211833</v>
      </c>
      <c r="BJ170" s="1">
        <v>134583356.522793</v>
      </c>
      <c r="BL170"/>
      <c r="BO170"/>
      <c r="BP170"/>
      <c r="BQ170" s="1">
        <f>BQ171+BQ172</f>
        <v>82784823.965008</v>
      </c>
      <c r="BT170" s="1">
        <f>BT171+BT172</f>
        <v>58810829.129005164</v>
      </c>
      <c r="BW170" s="52"/>
      <c r="BX170" s="1">
        <f t="shared" si="4"/>
        <v>148835531.383473</v>
      </c>
      <c r="BY170" s="1">
        <f t="shared" si="5"/>
        <v>126123651.97584848</v>
      </c>
    </row>
    <row r="171" spans="1:77" ht="12.75">
      <c r="A171" s="3" t="s">
        <v>801</v>
      </c>
      <c r="B171" s="3" t="s">
        <v>167</v>
      </c>
      <c r="C171" s="3" t="s">
        <v>1343</v>
      </c>
      <c r="D171" s="3"/>
      <c r="E171" s="4"/>
      <c r="F171" s="4">
        <v>12581976.213439</v>
      </c>
      <c r="G171" s="4">
        <f>F171*RPI_inc</f>
        <v>12822396.141084332</v>
      </c>
      <c r="H171" s="4"/>
      <c r="I171" s="4"/>
      <c r="J171" s="4">
        <v>251411.354927</v>
      </c>
      <c r="K171" s="4">
        <f>J171*RPI_inc</f>
        <v>256215.39355617834</v>
      </c>
      <c r="L171" s="3"/>
      <c r="M171" s="4"/>
      <c r="N171" s="4"/>
      <c r="O171" s="4"/>
      <c r="P171" s="4"/>
      <c r="Q171" s="4"/>
      <c r="R171" s="4"/>
      <c r="S171" s="4"/>
      <c r="T171" s="4">
        <v>222740.29421</v>
      </c>
      <c r="U171" s="4">
        <f>T171*RPI_inc</f>
        <v>226996.47817579616</v>
      </c>
      <c r="V171" s="3"/>
      <c r="W171" s="4"/>
      <c r="X171" s="3"/>
      <c r="Y171" s="4"/>
      <c r="Z171" s="13">
        <f>D171+F171+H171+J171+L171+N171+P171+R171+T171+V171+X171</f>
        <v>13056127.862576</v>
      </c>
      <c r="AC171" s="13">
        <f>E171+G171+I171+K171+M171+O171+Q171+S171+U171+W171+Y171</f>
        <v>13305608.012816306</v>
      </c>
      <c r="AF171" s="51"/>
      <c r="AG171" s="3"/>
      <c r="AH171" s="4"/>
      <c r="AI171" s="3"/>
      <c r="AJ171" s="4"/>
      <c r="AK171" s="4"/>
      <c r="AL171" s="4">
        <v>13900300.734223</v>
      </c>
      <c r="AM171" s="4">
        <f>AL171/$AL$680*$AM$680</f>
        <v>9306831.824730821</v>
      </c>
      <c r="AN171" s="4"/>
      <c r="AO171" s="4"/>
      <c r="AP171" s="4"/>
      <c r="AQ171" s="4"/>
      <c r="AR171" s="4">
        <v>363122.38897</v>
      </c>
      <c r="AS171" s="4">
        <f>AR171/$AR$680*$AS$680</f>
        <v>355977.49234645354</v>
      </c>
      <c r="AT171" s="3"/>
      <c r="AU171" s="4"/>
      <c r="AV171" s="4"/>
      <c r="AW171" s="4"/>
      <c r="AX171" s="4">
        <v>315974.871493</v>
      </c>
      <c r="AY171" s="4">
        <f>AX171/$AX$680*$AY$680</f>
        <v>309644.7786184457</v>
      </c>
      <c r="AZ171" s="3"/>
      <c r="BA171" s="4"/>
      <c r="BB171" s="3"/>
      <c r="BC171" s="4"/>
      <c r="BD171" s="4"/>
      <c r="BE171" s="4"/>
      <c r="BF171" s="4"/>
      <c r="BG171" s="4"/>
      <c r="BH171" s="4">
        <v>251095.723351</v>
      </c>
      <c r="BI171" s="4"/>
      <c r="BJ171" s="4">
        <v>28076787.160804</v>
      </c>
      <c r="BK171" s="4">
        <f>BJ171/BJ170*BI170</f>
        <v>252812.66639888144</v>
      </c>
      <c r="BL171" s="4">
        <f>BH171+BK171</f>
        <v>503908.38974988146</v>
      </c>
      <c r="BM171" s="4"/>
      <c r="BN171" s="4"/>
      <c r="BO171" s="4">
        <v>38249.090436</v>
      </c>
      <c r="BP171" s="4"/>
      <c r="BQ171" s="4">
        <f>AG171+AI171+AL171+AN171+AP171+AR171+AT171+AV171+AX171+AZ171+BB171+BD171+BF171+BH171+BK171+BM171+BO171</f>
        <v>15121555.474871883</v>
      </c>
      <c r="BT171" s="4">
        <f>AJ171+AM171+AQ171+AS171+AU171+AW171+AY171+BA171+BC171+BG171+BL171+BN171+BP171</f>
        <v>10476362.485445602</v>
      </c>
      <c r="BW171" s="52"/>
      <c r="BX171" s="4">
        <f t="shared" si="4"/>
        <v>28177683.33744788</v>
      </c>
      <c r="BY171" s="4">
        <f t="shared" si="5"/>
        <v>23781970.498261906</v>
      </c>
    </row>
    <row r="172" spans="1:77" ht="12.75">
      <c r="A172" s="5" t="s">
        <v>802</v>
      </c>
      <c r="B172" s="5" t="s">
        <v>168</v>
      </c>
      <c r="C172" s="5" t="s">
        <v>1343</v>
      </c>
      <c r="D172" s="6">
        <v>45067575.807893</v>
      </c>
      <c r="E172" s="6">
        <f>D172*RPI_inc</f>
        <v>45928739.67683363</v>
      </c>
      <c r="F172" s="6"/>
      <c r="G172" s="6"/>
      <c r="H172" s="6"/>
      <c r="I172" s="6"/>
      <c r="J172" s="6">
        <v>983394.055263</v>
      </c>
      <c r="K172" s="6">
        <f>J172*RPI_inc</f>
        <v>1002185.0244718471</v>
      </c>
      <c r="L172" s="6">
        <v>4792759.942878</v>
      </c>
      <c r="M172" s="6">
        <f>L172*RPI_inc</f>
        <v>4884341.343060383</v>
      </c>
      <c r="N172" s="6"/>
      <c r="O172" s="6"/>
      <c r="P172" s="6"/>
      <c r="Q172" s="6"/>
      <c r="R172" s="6"/>
      <c r="S172" s="6"/>
      <c r="T172" s="6"/>
      <c r="U172" s="6"/>
      <c r="V172" s="6">
        <v>54779.180671</v>
      </c>
      <c r="W172" s="6">
        <f>V172*RPI_inc</f>
        <v>55825.916607388535</v>
      </c>
      <c r="X172" s="6">
        <v>2096070.569184</v>
      </c>
      <c r="Y172" s="6">
        <f>X172*RPI_inc</f>
        <v>2136122.873053758</v>
      </c>
      <c r="Z172" s="14">
        <f>D172+F172+H172+J172+L172+N172+P172+R172+T172+V172+X172</f>
        <v>52994579.555888996</v>
      </c>
      <c r="AC172" s="14">
        <f>E172+G172+I172+K172+M172+O172+Q172+S172+U172+W172+Y172</f>
        <v>54007214.83402701</v>
      </c>
      <c r="AF172" s="51"/>
      <c r="AG172" s="6">
        <v>1087058</v>
      </c>
      <c r="AH172" s="6">
        <f>AG172/$AG$680*$AH$680</f>
        <v>818479.1173507359</v>
      </c>
      <c r="AI172" s="6">
        <v>53849516.33702</v>
      </c>
      <c r="AJ172" s="6">
        <f>AI172/$AI$680*$AJ$680</f>
        <v>36911185.37895416</v>
      </c>
      <c r="AK172" s="6">
        <f>AJ172-AH172</f>
        <v>36092706.26160342</v>
      </c>
      <c r="AL172" s="6"/>
      <c r="AM172" s="6"/>
      <c r="AN172" s="6"/>
      <c r="AO172" s="6"/>
      <c r="AP172" s="6"/>
      <c r="AQ172" s="6"/>
      <c r="AR172" s="6">
        <v>1420351.116403</v>
      </c>
      <c r="AS172" s="6">
        <f>AR172/$AR$680*$AS$680</f>
        <v>1392403.894738635</v>
      </c>
      <c r="AT172" s="6">
        <v>6062447.452212</v>
      </c>
      <c r="AU172" s="6">
        <f>AT172/$AT$680*$AU$680</f>
        <v>5003359.446344414</v>
      </c>
      <c r="AV172" s="6"/>
      <c r="AW172" s="6"/>
      <c r="AX172" s="6"/>
      <c r="AY172" s="6"/>
      <c r="AZ172" s="6">
        <v>77708.636738</v>
      </c>
      <c r="BA172" s="6">
        <f>AZ172/$AZ$680*$BA$680</f>
        <v>76151.8568808465</v>
      </c>
      <c r="BB172" s="6">
        <v>3099406.992606</v>
      </c>
      <c r="BC172" s="6">
        <f>BB172/$BB$680*$BC$680</f>
        <v>3039838.456391391</v>
      </c>
      <c r="BD172" s="6"/>
      <c r="BE172" s="6"/>
      <c r="BF172" s="6"/>
      <c r="BG172" s="6"/>
      <c r="BH172" s="6">
        <v>952507.276649</v>
      </c>
      <c r="BI172" s="6"/>
      <c r="BJ172" s="6">
        <v>106506569.361989</v>
      </c>
      <c r="BK172" s="6">
        <f>BJ172/BJ170*BI170</f>
        <v>959020.3336011186</v>
      </c>
      <c r="BL172" s="6">
        <f>BH172+BK172</f>
        <v>1911527.6102501187</v>
      </c>
      <c r="BM172" s="6"/>
      <c r="BN172" s="6"/>
      <c r="BO172" s="6">
        <v>155252.344907</v>
      </c>
      <c r="BP172" s="6"/>
      <c r="BQ172" s="6">
        <f>AG172+AI172+AL172+AN172+AP172+AR172+AT172+AV172+AX172+AZ172+BB172+BD172+BF172+BH172+BK172+BM172+BO172</f>
        <v>67663268.49013612</v>
      </c>
      <c r="BT172" s="6">
        <f>AJ172+AM172+AQ172+AS172+AU172+AW172+AY172+BA172+BC172+BG172+BL172+BN172+BP172</f>
        <v>48334466.64355956</v>
      </c>
      <c r="BW172" s="52"/>
      <c r="BX172" s="6">
        <f t="shared" si="4"/>
        <v>120657848.04602511</v>
      </c>
      <c r="BY172" s="6">
        <f t="shared" si="5"/>
        <v>102341681.47758657</v>
      </c>
    </row>
    <row r="173" spans="1:77" ht="12.75">
      <c r="A173" t="s">
        <v>803</v>
      </c>
      <c r="B173" t="s">
        <v>169</v>
      </c>
      <c r="J173"/>
      <c r="K173"/>
      <c r="L173"/>
      <c r="M173"/>
      <c r="V173"/>
      <c r="X173"/>
      <c r="Z173" s="12">
        <f>Z174+Z175</f>
        <v>73019788.50152299</v>
      </c>
      <c r="AC173" s="12">
        <f>AC174+AC175</f>
        <v>74415071.08435464</v>
      </c>
      <c r="AF173" s="51"/>
      <c r="AG173"/>
      <c r="AI173"/>
      <c r="AR173"/>
      <c r="AT173"/>
      <c r="AZ173"/>
      <c r="BB173"/>
      <c r="BD173"/>
      <c r="BE173"/>
      <c r="BF173"/>
      <c r="BH173"/>
      <c r="BI173">
        <v>1032325</v>
      </c>
      <c r="BJ173" s="1">
        <v>140872266.156347</v>
      </c>
      <c r="BL173"/>
      <c r="BO173"/>
      <c r="BP173"/>
      <c r="BQ173" s="1">
        <f>BQ174+BQ175</f>
        <v>90568522.446266</v>
      </c>
      <c r="BT173" s="1">
        <f>BT174+BT175</f>
        <v>63489576.65265911</v>
      </c>
      <c r="BW173" s="52"/>
      <c r="BX173" s="1">
        <f t="shared" si="4"/>
        <v>163588310.94778898</v>
      </c>
      <c r="BY173" s="1">
        <f t="shared" si="5"/>
        <v>137904647.73701376</v>
      </c>
    </row>
    <row r="174" spans="1:77" ht="12.75">
      <c r="A174" s="3" t="s">
        <v>804</v>
      </c>
      <c r="B174" s="3" t="s">
        <v>170</v>
      </c>
      <c r="C174" s="3" t="s">
        <v>1343</v>
      </c>
      <c r="D174" s="3"/>
      <c r="E174" s="4"/>
      <c r="F174" s="4">
        <v>15279978.910528</v>
      </c>
      <c r="G174" s="4">
        <f>F174*RPI_inc</f>
        <v>15571953.029837452</v>
      </c>
      <c r="H174" s="4"/>
      <c r="I174" s="4"/>
      <c r="J174" s="4">
        <v>221367.987566</v>
      </c>
      <c r="K174" s="4">
        <f>J174*RPI_inc</f>
        <v>225597.94911184712</v>
      </c>
      <c r="L174" s="3"/>
      <c r="M174" s="4"/>
      <c r="N174" s="4"/>
      <c r="O174" s="4"/>
      <c r="P174" s="4"/>
      <c r="Q174" s="4"/>
      <c r="R174" s="4"/>
      <c r="S174" s="4"/>
      <c r="T174" s="4">
        <v>303736.505654</v>
      </c>
      <c r="U174" s="4">
        <f>T174*RPI_inc</f>
        <v>309540.3879276433</v>
      </c>
      <c r="V174" s="3"/>
      <c r="W174" s="4"/>
      <c r="X174" s="3"/>
      <c r="Y174" s="4"/>
      <c r="Z174" s="13">
        <f>D174+F174+H174+J174+L174+N174+P174+R174+T174+V174+X174</f>
        <v>15805083.403748</v>
      </c>
      <c r="AC174" s="13">
        <f>E174+G174+I174+K174+M174+O174+Q174+S174+U174+W174+Y174</f>
        <v>16107091.366876943</v>
      </c>
      <c r="AF174" s="51"/>
      <c r="AG174" s="3"/>
      <c r="AH174" s="4"/>
      <c r="AI174" s="3"/>
      <c r="AJ174" s="4"/>
      <c r="AK174" s="4"/>
      <c r="AL174" s="4">
        <v>16880996.9488</v>
      </c>
      <c r="AM174" s="4">
        <f>AL174/$AL$680*$AM$680</f>
        <v>11302532.415681422</v>
      </c>
      <c r="AN174" s="4"/>
      <c r="AO174" s="4"/>
      <c r="AP174" s="4"/>
      <c r="AQ174" s="4"/>
      <c r="AR174" s="4">
        <v>319729.6817</v>
      </c>
      <c r="AS174" s="4">
        <f>AR174/$AR$680*$AS$680</f>
        <v>313438.59199411393</v>
      </c>
      <c r="AT174" s="3"/>
      <c r="AU174" s="4"/>
      <c r="AV174" s="4"/>
      <c r="AW174" s="4"/>
      <c r="AX174" s="4">
        <v>430874.457098</v>
      </c>
      <c r="AY174" s="4">
        <f>AX174/$AX$680*$AY$680</f>
        <v>422242.5196346946</v>
      </c>
      <c r="AZ174" s="3"/>
      <c r="BA174" s="4"/>
      <c r="BB174" s="3"/>
      <c r="BC174" s="4"/>
      <c r="BD174" s="4"/>
      <c r="BE174" s="4"/>
      <c r="BF174" s="4"/>
      <c r="BG174" s="4"/>
      <c r="BH174" s="4">
        <v>230667.55988</v>
      </c>
      <c r="BI174" s="4"/>
      <c r="BJ174" s="4">
        <v>32173760.798876</v>
      </c>
      <c r="BK174" s="4">
        <f>BJ174/BJ173*BI173</f>
        <v>235772.29587431622</v>
      </c>
      <c r="BL174" s="4">
        <f>BH174+BK174</f>
        <v>466439.8557543162</v>
      </c>
      <c r="BM174" s="4"/>
      <c r="BN174" s="4"/>
      <c r="BO174" s="4">
        <v>46302.400744</v>
      </c>
      <c r="BP174" s="4"/>
      <c r="BQ174" s="4">
        <f>AG174+AI174+AL174+AN174+AP174+AR174+AT174+AV174+AX174+AZ174+BB174+BD174+BF174+BH174+BK174+BM174+BO174</f>
        <v>18144343.344096314</v>
      </c>
      <c r="BT174" s="4">
        <f>AJ174+AM174+AQ174+AS174+AU174+AW174+AY174+BA174+BC174+BG174+BL174+BN174+BP174</f>
        <v>12504653.383064546</v>
      </c>
      <c r="BW174" s="52"/>
      <c r="BX174" s="4">
        <f t="shared" si="4"/>
        <v>33949426.747844316</v>
      </c>
      <c r="BY174" s="4">
        <f t="shared" si="5"/>
        <v>28611744.74994149</v>
      </c>
    </row>
    <row r="175" spans="1:77" ht="12.75">
      <c r="A175" s="5" t="s">
        <v>805</v>
      </c>
      <c r="B175" s="5" t="s">
        <v>171</v>
      </c>
      <c r="C175" s="5" t="s">
        <v>1343</v>
      </c>
      <c r="D175" s="6">
        <v>50081598.988584</v>
      </c>
      <c r="E175" s="6">
        <f>D175*RPI_inc</f>
        <v>51038572.21766522</v>
      </c>
      <c r="F175" s="6"/>
      <c r="G175" s="6"/>
      <c r="H175" s="6"/>
      <c r="I175" s="6"/>
      <c r="J175" s="6">
        <v>822285.369853</v>
      </c>
      <c r="K175" s="6">
        <f>J175*RPI_inc</f>
        <v>837997.8291495541</v>
      </c>
      <c r="L175" s="6">
        <v>4730510.207334</v>
      </c>
      <c r="M175" s="6">
        <f>L175*RPI_inc</f>
        <v>4820902.122123822</v>
      </c>
      <c r="N175" s="6"/>
      <c r="O175" s="6"/>
      <c r="P175" s="6"/>
      <c r="Q175" s="6"/>
      <c r="R175" s="6"/>
      <c r="S175" s="6"/>
      <c r="T175" s="6"/>
      <c r="U175" s="6"/>
      <c r="V175" s="6">
        <v>53516.612194</v>
      </c>
      <c r="W175" s="6">
        <f>V175*RPI_inc</f>
        <v>54539.222618089174</v>
      </c>
      <c r="X175" s="6">
        <v>1526793.91981</v>
      </c>
      <c r="Y175" s="6">
        <f>X175*RPI_inc</f>
        <v>1555968.3259210193</v>
      </c>
      <c r="Z175" s="14">
        <f>D175+F175+H175+J175+L175+N175+P175+R175+T175+V175+X175</f>
        <v>57214705.09777499</v>
      </c>
      <c r="AC175" s="14">
        <f>E175+G175+I175+K175+M175+O175+Q175+S175+U175+W175+Y175</f>
        <v>58307979.7174777</v>
      </c>
      <c r="AF175" s="51"/>
      <c r="AG175" s="6">
        <v>1335212</v>
      </c>
      <c r="AH175" s="6">
        <f>AG175/$AG$680*$AH$680</f>
        <v>1005321.8312510564</v>
      </c>
      <c r="AI175" s="6">
        <v>59840580.163789</v>
      </c>
      <c r="AJ175" s="6">
        <f>AI175/$AI$680*$AJ$680</f>
        <v>41017763.90684692</v>
      </c>
      <c r="AK175" s="6">
        <f>AJ175-AH175</f>
        <v>40012442.07559586</v>
      </c>
      <c r="AL175" s="6"/>
      <c r="AM175" s="6"/>
      <c r="AN175" s="6"/>
      <c r="AO175" s="6"/>
      <c r="AP175" s="6"/>
      <c r="AQ175" s="6"/>
      <c r="AR175" s="6">
        <v>1187656.094546</v>
      </c>
      <c r="AS175" s="6">
        <f>AR175/$AR$680*$AS$680</f>
        <v>1164287.444532637</v>
      </c>
      <c r="AT175" s="6">
        <v>5983706.652517</v>
      </c>
      <c r="AU175" s="6">
        <f>AT175/$AT$680*$AU$680</f>
        <v>4938374.384276297</v>
      </c>
      <c r="AV175" s="6"/>
      <c r="AW175" s="6"/>
      <c r="AX175" s="6"/>
      <c r="AY175" s="6"/>
      <c r="AZ175" s="6">
        <v>75917.582657</v>
      </c>
      <c r="BA175" s="6">
        <f>AZ175/$AZ$680*$BA$680</f>
        <v>74396.68397127633</v>
      </c>
      <c r="BB175" s="6">
        <v>2257631.885538</v>
      </c>
      <c r="BC175" s="6">
        <f>BB175/$BB$680*$BC$680</f>
        <v>2214241.7057217467</v>
      </c>
      <c r="BD175" s="6"/>
      <c r="BE175" s="6"/>
      <c r="BF175" s="6"/>
      <c r="BG175" s="6"/>
      <c r="BH175" s="6">
        <v>779306.44012</v>
      </c>
      <c r="BI175" s="6"/>
      <c r="BJ175" s="6">
        <v>108698505.357471</v>
      </c>
      <c r="BK175" s="6">
        <f>BJ175/BJ173*BI173</f>
        <v>796552.7041256838</v>
      </c>
      <c r="BL175" s="6">
        <f>BH175+BK175</f>
        <v>1575859.1442456837</v>
      </c>
      <c r="BM175" s="6"/>
      <c r="BN175" s="6"/>
      <c r="BO175" s="6">
        <v>167615.578877</v>
      </c>
      <c r="BP175" s="6"/>
      <c r="BQ175" s="6">
        <f>AG175+AI175+AL175+AN175+AP175+AR175+AT175+AV175+AX175+AZ175+BB175+BD175+BF175+BH175+BK175+BM175+BO175</f>
        <v>72424179.10216968</v>
      </c>
      <c r="BT175" s="6">
        <f>AJ175+AM175+AQ175+AS175+AU175+AW175+AY175+BA175+BC175+BG175+BL175+BN175+BP175</f>
        <v>50984923.269594565</v>
      </c>
      <c r="BW175" s="52"/>
      <c r="BX175" s="6">
        <f t="shared" si="4"/>
        <v>129638884.19994467</v>
      </c>
      <c r="BY175" s="6">
        <f t="shared" si="5"/>
        <v>109292902.98707226</v>
      </c>
    </row>
    <row r="176" spans="1:77" ht="12.75">
      <c r="A176" t="s">
        <v>806</v>
      </c>
      <c r="B176" t="s">
        <v>172</v>
      </c>
      <c r="J176"/>
      <c r="K176"/>
      <c r="L176"/>
      <c r="M176"/>
      <c r="V176"/>
      <c r="X176"/>
      <c r="Z176" s="12">
        <f>Z177+Z178</f>
        <v>35335090.046032995</v>
      </c>
      <c r="AC176" s="12">
        <f>AC177+AC178</f>
        <v>36010282.84946038</v>
      </c>
      <c r="AF176" s="51"/>
      <c r="AG176"/>
      <c r="AI176"/>
      <c r="AR176"/>
      <c r="AT176"/>
      <c r="AZ176"/>
      <c r="BB176"/>
      <c r="BD176"/>
      <c r="BE176"/>
      <c r="BF176"/>
      <c r="BH176"/>
      <c r="BI176">
        <v>1049890</v>
      </c>
      <c r="BJ176" s="1">
        <v>66767694.356169</v>
      </c>
      <c r="BL176"/>
      <c r="BO176"/>
      <c r="BP176"/>
      <c r="BQ176" s="1">
        <f>BQ177+BQ178</f>
        <v>44171504.629867986</v>
      </c>
      <c r="BT176" s="1">
        <f>BT177+BT178</f>
        <v>31785572.760755017</v>
      </c>
      <c r="BW176" s="52"/>
      <c r="BX176" s="1">
        <f t="shared" si="4"/>
        <v>79506594.67590098</v>
      </c>
      <c r="BY176" s="1">
        <f t="shared" si="5"/>
        <v>67795855.6102154</v>
      </c>
    </row>
    <row r="177" spans="1:77" ht="12.75">
      <c r="A177" s="3" t="s">
        <v>807</v>
      </c>
      <c r="B177" s="3" t="s">
        <v>173</v>
      </c>
      <c r="C177" s="3" t="s">
        <v>1343</v>
      </c>
      <c r="D177" s="3"/>
      <c r="E177" s="4"/>
      <c r="F177" s="4">
        <v>7858538.39618</v>
      </c>
      <c r="G177" s="4">
        <f>F177*RPI_inc</f>
        <v>8008701.550247134</v>
      </c>
      <c r="H177" s="4"/>
      <c r="I177" s="4"/>
      <c r="J177" s="4">
        <v>273602.123872</v>
      </c>
      <c r="K177" s="4">
        <f>J177*RPI_inc</f>
        <v>278830.18993324845</v>
      </c>
      <c r="L177" s="3"/>
      <c r="M177" s="4"/>
      <c r="N177" s="4"/>
      <c r="O177" s="4"/>
      <c r="P177" s="4"/>
      <c r="Q177" s="4"/>
      <c r="R177" s="4"/>
      <c r="S177" s="4"/>
      <c r="T177" s="4">
        <v>202491.139529</v>
      </c>
      <c r="U177" s="4">
        <f>T177*RPI_inc</f>
        <v>206360.3969722293</v>
      </c>
      <c r="V177" s="3"/>
      <c r="W177" s="4"/>
      <c r="X177" s="3"/>
      <c r="Y177" s="4"/>
      <c r="Z177" s="13">
        <f>D177+F177+H177+J177+L177+N177+P177+R177+T177+V177+X177</f>
        <v>8334631.659581</v>
      </c>
      <c r="AC177" s="13">
        <f>E177+G177+I177+K177+M177+O177+Q177+S177+U177+W177+Y177</f>
        <v>8493892.137152612</v>
      </c>
      <c r="AF177" s="51"/>
      <c r="AG177" s="3"/>
      <c r="AH177" s="4"/>
      <c r="AI177" s="3"/>
      <c r="AJ177" s="4"/>
      <c r="AK177" s="4"/>
      <c r="AL177" s="4">
        <v>8681946.713718</v>
      </c>
      <c r="AM177" s="4">
        <f>AL177/$AL$680*$AM$680</f>
        <v>5812925.887057398</v>
      </c>
      <c r="AN177" s="4"/>
      <c r="AO177" s="4"/>
      <c r="AP177" s="4"/>
      <c r="AQ177" s="4"/>
      <c r="AR177" s="4">
        <v>395173.30821</v>
      </c>
      <c r="AS177" s="4">
        <f>AR177/$AR$680*$AS$680</f>
        <v>387397.7688290377</v>
      </c>
      <c r="AT177" s="3"/>
      <c r="AU177" s="4"/>
      <c r="AV177" s="4"/>
      <c r="AW177" s="4"/>
      <c r="AX177" s="4">
        <v>287249.830652</v>
      </c>
      <c r="AY177" s="4">
        <f>AX177/$AX$680*$AY$680</f>
        <v>281495.20181827183</v>
      </c>
      <c r="AZ177" s="3"/>
      <c r="BA177" s="4"/>
      <c r="BB177" s="3"/>
      <c r="BC177" s="4"/>
      <c r="BD177" s="4"/>
      <c r="BE177" s="4"/>
      <c r="BF177" s="4"/>
      <c r="BG177" s="4"/>
      <c r="BH177" s="4"/>
      <c r="BI177" s="4"/>
      <c r="BJ177" s="4">
        <v>17262699.805982</v>
      </c>
      <c r="BK177" s="4">
        <f>BJ177/BJ176*BI176</f>
        <v>271447.6825067703</v>
      </c>
      <c r="BL177" s="4">
        <f>BH177+BK177</f>
        <v>271447.6825067703</v>
      </c>
      <c r="BM177" s="4"/>
      <c r="BN177" s="4"/>
      <c r="BO177" s="4">
        <v>24417.046421</v>
      </c>
      <c r="BP177" s="4"/>
      <c r="BQ177" s="4">
        <f>AG177+AI177+AL177+AN177+AP177+AR177+AT177+AV177+AX177+AZ177+BB177+BD177+BF177+BH177+BK177+BM177+BO177</f>
        <v>9660234.581507772</v>
      </c>
      <c r="BT177" s="4">
        <f>AJ177+AM177+AQ177+AS177+AU177+AW177+AY177+BA177+BC177+BG177+BL177+BN177+BP177</f>
        <v>6753266.540211477</v>
      </c>
      <c r="BW177" s="52"/>
      <c r="BX177" s="4">
        <f t="shared" si="4"/>
        <v>17994866.24108877</v>
      </c>
      <c r="BY177" s="4">
        <f t="shared" si="5"/>
        <v>15247158.677364089</v>
      </c>
    </row>
    <row r="178" spans="1:77" ht="12.75">
      <c r="A178" s="5" t="s">
        <v>808</v>
      </c>
      <c r="B178" s="5" t="s">
        <v>174</v>
      </c>
      <c r="C178" s="5" t="s">
        <v>1343</v>
      </c>
      <c r="D178" s="6">
        <v>21760899.792854</v>
      </c>
      <c r="E178" s="6">
        <f>D178*RPI_inc</f>
        <v>22176713.164691973</v>
      </c>
      <c r="F178" s="6"/>
      <c r="G178" s="6"/>
      <c r="H178" s="6"/>
      <c r="I178" s="6"/>
      <c r="J178" s="6">
        <v>779272.463506</v>
      </c>
      <c r="K178" s="6">
        <f>J178*RPI_inc</f>
        <v>794163.0201335031</v>
      </c>
      <c r="L178" s="6">
        <v>2567170.185252</v>
      </c>
      <c r="M178" s="6">
        <f>L178*RPI_inc</f>
        <v>2616224.392613503</v>
      </c>
      <c r="N178" s="6"/>
      <c r="O178" s="6"/>
      <c r="P178" s="6"/>
      <c r="Q178" s="6"/>
      <c r="R178" s="6"/>
      <c r="S178" s="6"/>
      <c r="T178" s="6"/>
      <c r="U178" s="6"/>
      <c r="V178" s="6">
        <v>50665.651118</v>
      </c>
      <c r="W178" s="6">
        <f>V178*RPI_inc</f>
        <v>51633.784578853505</v>
      </c>
      <c r="X178" s="6">
        <v>1842450.293722</v>
      </c>
      <c r="Y178" s="6">
        <f>X178*RPI_inc</f>
        <v>1877656.3502899362</v>
      </c>
      <c r="Z178" s="14">
        <f>D178+F178+H178+J178+L178+N178+P178+R178+T178+V178+X178</f>
        <v>27000458.386451997</v>
      </c>
      <c r="AC178" s="14">
        <f>E178+G178+I178+K178+M178+O178+Q178+S178+U178+W178+Y178</f>
        <v>27516390.71230777</v>
      </c>
      <c r="AF178" s="51"/>
      <c r="AG178" s="6">
        <v>483415</v>
      </c>
      <c r="AH178" s="6">
        <f>AG178/$AG$680*$AH$680</f>
        <v>363977.89493670623</v>
      </c>
      <c r="AI178" s="6">
        <v>26001263.833196</v>
      </c>
      <c r="AJ178" s="6">
        <f>AI178/$AI$680*$AJ$680</f>
        <v>17822582.90729348</v>
      </c>
      <c r="AK178" s="6">
        <f>AJ178-AH178</f>
        <v>17458605.012356773</v>
      </c>
      <c r="AL178" s="6"/>
      <c r="AM178" s="6"/>
      <c r="AN178" s="6"/>
      <c r="AO178" s="6"/>
      <c r="AP178" s="6"/>
      <c r="AQ178" s="6"/>
      <c r="AR178" s="6">
        <v>1125531.019432</v>
      </c>
      <c r="AS178" s="6">
        <f>AR178/$AR$680*$AS$680</f>
        <v>1103384.7595903878</v>
      </c>
      <c r="AT178" s="6">
        <v>3247259.310807</v>
      </c>
      <c r="AU178" s="6">
        <f>AT178/$AT$680*$AU$680</f>
        <v>2679974.659661248</v>
      </c>
      <c r="AV178" s="6"/>
      <c r="AW178" s="6"/>
      <c r="AX178" s="6"/>
      <c r="AY178" s="6"/>
      <c r="AZ178" s="6">
        <v>71873.26699</v>
      </c>
      <c r="BA178" s="6">
        <f>AZ178/$AZ$680*$BA$680</f>
        <v>70433.39030428366</v>
      </c>
      <c r="BB178" s="6">
        <v>2724385.050696</v>
      </c>
      <c r="BC178" s="6">
        <f>BB178/$BB$680*$BC$680</f>
        <v>2672024.186200927</v>
      </c>
      <c r="BD178" s="6"/>
      <c r="BE178" s="6"/>
      <c r="BF178" s="6"/>
      <c r="BG178" s="6"/>
      <c r="BH178" s="6"/>
      <c r="BI178" s="6"/>
      <c r="BJ178" s="6">
        <v>49504994.550186</v>
      </c>
      <c r="BK178" s="6">
        <f>BJ178/BJ176*BI176</f>
        <v>778442.317493214</v>
      </c>
      <c r="BL178" s="6">
        <f>BH178+BK178</f>
        <v>778442.317493214</v>
      </c>
      <c r="BM178" s="6"/>
      <c r="BN178" s="6"/>
      <c r="BO178" s="6">
        <v>79100.249746</v>
      </c>
      <c r="BP178" s="6">
        <v>-94536</v>
      </c>
      <c r="BQ178" s="6">
        <f>AG178+AI178+AL178+AN178+AP178+AR178+AT178+AV178+AX178+AZ178+BB178+BD178+BF178+BH178+BK178+BM178+BO178</f>
        <v>34511270.04836021</v>
      </c>
      <c r="BT178" s="6">
        <f>AJ178+AM178+AQ178+AS178+AU178+AW178+AY178+BA178+BC178+BG178+BL178+BN178+BP178</f>
        <v>25032306.22054354</v>
      </c>
      <c r="BW178" s="52"/>
      <c r="BX178" s="6">
        <f t="shared" si="4"/>
        <v>61511728.43481221</v>
      </c>
      <c r="BY178" s="6">
        <f t="shared" si="5"/>
        <v>52548696.932851315</v>
      </c>
    </row>
    <row r="179" spans="1:77" ht="12.75">
      <c r="A179" t="s">
        <v>809</v>
      </c>
      <c r="B179" t="s">
        <v>175</v>
      </c>
      <c r="J179"/>
      <c r="K179"/>
      <c r="L179"/>
      <c r="M179"/>
      <c r="V179"/>
      <c r="X179"/>
      <c r="Z179" s="12">
        <f>Z180+Z181</f>
        <v>30777143.195313007</v>
      </c>
      <c r="AC179" s="12">
        <f>AC180+AC181</f>
        <v>31365241.472930446</v>
      </c>
      <c r="AF179" s="51"/>
      <c r="AG179"/>
      <c r="AI179"/>
      <c r="AR179"/>
      <c r="AT179"/>
      <c r="AZ179"/>
      <c r="BB179"/>
      <c r="BD179"/>
      <c r="BE179"/>
      <c r="BF179"/>
      <c r="BH179"/>
      <c r="BI179">
        <v>1083071</v>
      </c>
      <c r="BJ179" s="1">
        <v>53296281.836855</v>
      </c>
      <c r="BL179"/>
      <c r="BO179"/>
      <c r="BP179"/>
      <c r="BQ179" s="1">
        <f>BQ180+BQ181</f>
        <v>40693986.323950015</v>
      </c>
      <c r="BT179" s="1">
        <f>BT180+BT181</f>
        <v>30235273.338738773</v>
      </c>
      <c r="BW179" s="52"/>
      <c r="BX179" s="1">
        <f t="shared" si="4"/>
        <v>71471129.51926303</v>
      </c>
      <c r="BY179" s="1">
        <f t="shared" si="5"/>
        <v>61600514.811669216</v>
      </c>
    </row>
    <row r="180" spans="1:77" ht="12.75">
      <c r="A180" s="3" t="s">
        <v>810</v>
      </c>
      <c r="B180" s="3" t="s">
        <v>176</v>
      </c>
      <c r="C180" s="3" t="s">
        <v>1343</v>
      </c>
      <c r="D180" s="3"/>
      <c r="E180" s="4"/>
      <c r="F180" s="4">
        <v>5406473.501645</v>
      </c>
      <c r="G180" s="4">
        <f>F180*RPI_inc</f>
        <v>5509781.912504458</v>
      </c>
      <c r="H180" s="4"/>
      <c r="I180" s="4"/>
      <c r="J180" s="4">
        <v>263173.973816</v>
      </c>
      <c r="K180" s="4">
        <f>J180*RPI_inc</f>
        <v>268202.7758634395</v>
      </c>
      <c r="L180" s="3"/>
      <c r="M180" s="4"/>
      <c r="N180" s="4"/>
      <c r="O180" s="4"/>
      <c r="P180" s="4"/>
      <c r="Q180" s="4"/>
      <c r="R180" s="4"/>
      <c r="S180" s="4"/>
      <c r="T180" s="4">
        <v>162912.061474</v>
      </c>
      <c r="U180" s="4">
        <f>T180*RPI_inc</f>
        <v>166025.03080152866</v>
      </c>
      <c r="V180" s="3"/>
      <c r="W180" s="4"/>
      <c r="X180" s="3"/>
      <c r="Y180" s="4"/>
      <c r="Z180" s="13">
        <f>D180+F180+H180+J180+L180+N180+P180+R180+T180+V180+X180</f>
        <v>5832559.536935</v>
      </c>
      <c r="AC180" s="13">
        <f>E180+G180+I180+K180+M180+O180+Q180+S180+U180+W180+Y180</f>
        <v>5944009.719169427</v>
      </c>
      <c r="AF180" s="51"/>
      <c r="AG180" s="3"/>
      <c r="AH180" s="4"/>
      <c r="AI180" s="3"/>
      <c r="AJ180" s="4"/>
      <c r="AK180" s="4"/>
      <c r="AL180" s="4">
        <v>5972957.372483</v>
      </c>
      <c r="AM180" s="4">
        <f>AL180/$AL$680*$AM$680</f>
        <v>3999144.3944174997</v>
      </c>
      <c r="AN180" s="4"/>
      <c r="AO180" s="4"/>
      <c r="AP180" s="4"/>
      <c r="AQ180" s="4"/>
      <c r="AR180" s="4">
        <v>380111.559062</v>
      </c>
      <c r="AS180" s="4">
        <f>AR180/$AR$680*$AS$680</f>
        <v>372632.37882578094</v>
      </c>
      <c r="AT180" s="3"/>
      <c r="AU180" s="4"/>
      <c r="AV180" s="4"/>
      <c r="AW180" s="4"/>
      <c r="AX180" s="4">
        <v>231103.75189</v>
      </c>
      <c r="AY180" s="4">
        <f>AX180/$AX$680*$AY$680</f>
        <v>226473.92735297483</v>
      </c>
      <c r="AZ180" s="3"/>
      <c r="BA180" s="4"/>
      <c r="BB180" s="3"/>
      <c r="BC180" s="4"/>
      <c r="BD180" s="4"/>
      <c r="BE180" s="4"/>
      <c r="BF180" s="4"/>
      <c r="BG180" s="4"/>
      <c r="BH180" s="4">
        <v>236652.170782</v>
      </c>
      <c r="BI180" s="4"/>
      <c r="BJ180" s="4">
        <v>11491029.874246</v>
      </c>
      <c r="BK180" s="4">
        <f aca="true" t="shared" si="6" ref="BK180:BK186">BJ180/BJ179*BI179</f>
        <v>233517.25088490528</v>
      </c>
      <c r="BL180" s="4">
        <f>BH180+BK180</f>
        <v>470169.4216669053</v>
      </c>
      <c r="BM180" s="4"/>
      <c r="BN180" s="4"/>
      <c r="BO180" s="4">
        <v>17087.003096</v>
      </c>
      <c r="BP180" s="4"/>
      <c r="BQ180" s="4">
        <f>AG180+AI180+AL180+AN180+AP180+AR180+AT180+AV180+AX180+AZ180+BB180+BD180+BF180+BH180+BK180+BM180+BO180</f>
        <v>7071429.108197906</v>
      </c>
      <c r="BT180" s="4">
        <f>AJ180+AM180+AQ180+AS180+AU180+AW180+AY180+BA180+BC180+BG180+BL180+BN180+BP180</f>
        <v>5068420.1222631605</v>
      </c>
      <c r="BW180" s="52"/>
      <c r="BX180" s="4">
        <f t="shared" si="4"/>
        <v>12903988.645132907</v>
      </c>
      <c r="BY180" s="4">
        <f t="shared" si="5"/>
        <v>11012429.841432586</v>
      </c>
    </row>
    <row r="181" spans="1:77" ht="12.75">
      <c r="A181" s="5" t="s">
        <v>811</v>
      </c>
      <c r="B181" s="5" t="s">
        <v>177</v>
      </c>
      <c r="C181" s="5" t="s">
        <v>1343</v>
      </c>
      <c r="D181" s="6">
        <v>18169976.383441</v>
      </c>
      <c r="E181" s="6">
        <f>D181*RPI_inc</f>
        <v>18517173.38439847</v>
      </c>
      <c r="F181" s="6"/>
      <c r="G181" s="6"/>
      <c r="H181" s="6"/>
      <c r="I181" s="6"/>
      <c r="J181" s="6">
        <v>828414.62857</v>
      </c>
      <c r="K181" s="6">
        <f>J181*RPI_inc</f>
        <v>844244.2074598726</v>
      </c>
      <c r="L181" s="6">
        <v>2706824.779203</v>
      </c>
      <c r="M181" s="6">
        <f>L181*RPI_inc</f>
        <v>2758547.545684586</v>
      </c>
      <c r="N181" s="6"/>
      <c r="O181" s="6"/>
      <c r="P181" s="6"/>
      <c r="Q181" s="6"/>
      <c r="R181" s="6"/>
      <c r="S181" s="6"/>
      <c r="T181" s="6"/>
      <c r="U181" s="6"/>
      <c r="V181" s="6">
        <v>53760.980287</v>
      </c>
      <c r="W181" s="6">
        <f>V181*RPI_inc</f>
        <v>54788.26016509554</v>
      </c>
      <c r="X181" s="6">
        <v>3185606.886877</v>
      </c>
      <c r="Y181" s="6">
        <f>X181*RPI_inc</f>
        <v>3246478.3560529933</v>
      </c>
      <c r="Z181" s="14">
        <f>D181+F181+H181+J181+L181+N181+P181+R181+T181+V181+X181</f>
        <v>24944583.658378005</v>
      </c>
      <c r="AC181" s="14">
        <f>E181+G181+I181+K181+M181+O181+Q181+S181+U181+W181+Y181</f>
        <v>25421231.75376102</v>
      </c>
      <c r="AF181" s="51"/>
      <c r="AG181" s="6">
        <v>721199</v>
      </c>
      <c r="AH181" s="6">
        <f>AG181/$AG$680*$AH$680</f>
        <v>543012.7196103919</v>
      </c>
      <c r="AI181" s="6">
        <v>21710607.295013</v>
      </c>
      <c r="AJ181" s="6">
        <f>AI181/$AI$680*$AJ$680</f>
        <v>14881549.641792867</v>
      </c>
      <c r="AK181" s="6">
        <f>AJ181-AH181</f>
        <v>14338536.922182476</v>
      </c>
      <c r="AL181" s="6"/>
      <c r="AM181" s="6"/>
      <c r="AN181" s="6"/>
      <c r="AO181" s="6"/>
      <c r="AP181" s="6"/>
      <c r="AQ181" s="6"/>
      <c r="AR181" s="6">
        <v>1196508.801572</v>
      </c>
      <c r="AS181" s="6">
        <f>AR181/$AR$680*$AS$680</f>
        <v>1172965.963245108</v>
      </c>
      <c r="AT181" s="6">
        <v>3423910.895151</v>
      </c>
      <c r="AU181" s="6">
        <f>AT181/$AT$680*$AU$680</f>
        <v>2825765.8405673634</v>
      </c>
      <c r="AV181" s="6"/>
      <c r="AW181" s="6"/>
      <c r="AX181" s="6"/>
      <c r="AY181" s="6"/>
      <c r="AZ181" s="6">
        <v>76264.238286</v>
      </c>
      <c r="BA181" s="6">
        <f>AZ181/$AZ$680*$BA$680</f>
        <v>74736.39485741055</v>
      </c>
      <c r="BB181" s="6">
        <v>4710477.025934</v>
      </c>
      <c r="BC181" s="6">
        <f>BB181/$BB$680*$BC$680</f>
        <v>4619944.7976797465</v>
      </c>
      <c r="BD181" s="6"/>
      <c r="BE181" s="6"/>
      <c r="BF181" s="6"/>
      <c r="BG181" s="6"/>
      <c r="BH181" s="6">
        <v>860958.829218</v>
      </c>
      <c r="BI181" s="6"/>
      <c r="BJ181" s="6">
        <v>41805251.96261</v>
      </c>
      <c r="BK181" s="6">
        <f aca="true" t="shared" si="7" ref="BK181:BK187">BJ181/BJ179*BI179</f>
        <v>849553.749115115</v>
      </c>
      <c r="BL181" s="6">
        <f>BH181+BK181</f>
        <v>1710512.5783331152</v>
      </c>
      <c r="BM181" s="6"/>
      <c r="BN181" s="6"/>
      <c r="BO181" s="6">
        <v>73077.381463</v>
      </c>
      <c r="BP181" s="6">
        <v>-118622</v>
      </c>
      <c r="BQ181" s="6">
        <f>AG181+AI181+AL181+AN181+AP181+AR181+AT181+AV181+AX181+AZ181+BB181+BD181+BF181+BH181+BK181+BM181+BO181</f>
        <v>33622557.21575211</v>
      </c>
      <c r="BT181" s="6">
        <f>AJ181+AM181+AQ181+AS181+AU181+AW181+AY181+BA181+BC181+BG181+BL181+BN181+BP181</f>
        <v>25166853.216475613</v>
      </c>
      <c r="BW181" s="52"/>
      <c r="BX181" s="6">
        <f t="shared" si="4"/>
        <v>58567140.874130115</v>
      </c>
      <c r="BY181" s="6">
        <f t="shared" si="5"/>
        <v>50588084.97023663</v>
      </c>
    </row>
    <row r="182" spans="1:77" ht="12.75">
      <c r="A182" t="s">
        <v>812</v>
      </c>
      <c r="B182" t="s">
        <v>178</v>
      </c>
      <c r="J182"/>
      <c r="K182"/>
      <c r="L182"/>
      <c r="M182"/>
      <c r="V182"/>
      <c r="X182"/>
      <c r="Z182" s="12">
        <f>Z183+Z184</f>
        <v>42055324.29654899</v>
      </c>
      <c r="AC182" s="12">
        <f>AC183+AC184</f>
        <v>42858929.219413</v>
      </c>
      <c r="AF182" s="51"/>
      <c r="AG182"/>
      <c r="AI182"/>
      <c r="AR182"/>
      <c r="AT182"/>
      <c r="AZ182"/>
      <c r="BB182"/>
      <c r="BD182"/>
      <c r="BE182"/>
      <c r="BF182"/>
      <c r="BH182"/>
      <c r="BI182">
        <v>1137747</v>
      </c>
      <c r="BJ182" s="1">
        <v>80565955.764173</v>
      </c>
      <c r="BL182"/>
      <c r="BO182"/>
      <c r="BP182"/>
      <c r="BQ182" s="1">
        <f>BQ183+BQ184</f>
        <v>54002577.563807</v>
      </c>
      <c r="BT182" s="1">
        <f>BT183+BT184</f>
        <v>39209625.892149255</v>
      </c>
      <c r="BW182" s="52"/>
      <c r="BX182" s="1">
        <f t="shared" si="4"/>
        <v>96057901.860356</v>
      </c>
      <c r="BY182" s="1">
        <f t="shared" si="5"/>
        <v>82068555.11156225</v>
      </c>
    </row>
    <row r="183" spans="1:77" ht="12.75">
      <c r="A183" s="3" t="s">
        <v>813</v>
      </c>
      <c r="B183" s="3" t="s">
        <v>179</v>
      </c>
      <c r="C183" s="3" t="s">
        <v>1343</v>
      </c>
      <c r="D183" s="3"/>
      <c r="E183" s="4"/>
      <c r="F183" s="4">
        <v>8475380.852722</v>
      </c>
      <c r="G183" s="4">
        <f>F183*RPI_inc</f>
        <v>8637330.805321783</v>
      </c>
      <c r="H183" s="4"/>
      <c r="I183" s="4"/>
      <c r="J183" s="4">
        <v>271860.232283</v>
      </c>
      <c r="K183" s="4">
        <f>J183*RPI_inc</f>
        <v>277055.0137915924</v>
      </c>
      <c r="L183" s="3"/>
      <c r="M183" s="4"/>
      <c r="N183" s="4"/>
      <c r="O183" s="4"/>
      <c r="P183" s="4"/>
      <c r="Q183" s="4"/>
      <c r="R183" s="4"/>
      <c r="S183" s="4"/>
      <c r="T183" s="4">
        <v>186899.233406</v>
      </c>
      <c r="U183" s="4">
        <f>T183*RPI_inc</f>
        <v>190470.55633732484</v>
      </c>
      <c r="V183" s="3"/>
      <c r="W183" s="4"/>
      <c r="X183" s="3"/>
      <c r="Y183" s="4"/>
      <c r="Z183" s="13">
        <f>D183+F183+H183+J183+L183+N183+P183+R183+T183+V183+X183</f>
        <v>8934140.318411</v>
      </c>
      <c r="AC183" s="13">
        <f>E183+G183+I183+K183+M183+O183+Q183+S183+U183+W183+Y183</f>
        <v>9104856.3754507</v>
      </c>
      <c r="AF183" s="51"/>
      <c r="AG183" s="3"/>
      <c r="AH183" s="4"/>
      <c r="AI183" s="3"/>
      <c r="AJ183" s="4"/>
      <c r="AK183" s="4"/>
      <c r="AL183" s="4">
        <v>9363421.190073</v>
      </c>
      <c r="AM183" s="4">
        <f>AL183/$AL$680*$AM$680</f>
        <v>6269201.5076752575</v>
      </c>
      <c r="AN183" s="4"/>
      <c r="AO183" s="4"/>
      <c r="AP183" s="4"/>
      <c r="AQ183" s="4"/>
      <c r="AR183" s="4">
        <v>392657.432047</v>
      </c>
      <c r="AS183" s="4">
        <f>AR183/$AR$680*$AS$680</f>
        <v>384931.39574171766</v>
      </c>
      <c r="AT183" s="3"/>
      <c r="AU183" s="4"/>
      <c r="AV183" s="4"/>
      <c r="AW183" s="4"/>
      <c r="AX183" s="4">
        <v>265131.468318</v>
      </c>
      <c r="AY183" s="4">
        <f>AX183/$AX$680*$AY$680</f>
        <v>259819.94841614892</v>
      </c>
      <c r="AZ183" s="3"/>
      <c r="BA183" s="4"/>
      <c r="BB183" s="3"/>
      <c r="BC183" s="4"/>
      <c r="BD183" s="4"/>
      <c r="BE183" s="4"/>
      <c r="BF183" s="4"/>
      <c r="BG183" s="4"/>
      <c r="BH183" s="4">
        <v>260188.549915</v>
      </c>
      <c r="BI183" s="4"/>
      <c r="BJ183" s="4">
        <v>18734188.49421</v>
      </c>
      <c r="BK183" s="4">
        <f t="shared" si="6"/>
        <v>264562.94789219694</v>
      </c>
      <c r="BL183" s="4">
        <f>BH183+BK183</f>
        <v>524751.4978071969</v>
      </c>
      <c r="BM183" s="4"/>
      <c r="BN183" s="4"/>
      <c r="BO183" s="4">
        <v>26173.360479</v>
      </c>
      <c r="BP183" s="4"/>
      <c r="BQ183" s="4">
        <f>AG183+AI183+AL183+AN183+AP183+AR183+AT183+AV183+AX183+AZ183+BB183+BD183+BF183+BH183+BK183+BM183+BO183</f>
        <v>10572134.948724197</v>
      </c>
      <c r="BT183" s="4">
        <f>AJ183+AM183+AQ183+AS183+AU183+AW183+AY183+BA183+BC183+BG183+BL183+BN183+BP183</f>
        <v>7438704.349640322</v>
      </c>
      <c r="BW183" s="52"/>
      <c r="BX183" s="4">
        <f t="shared" si="4"/>
        <v>19506275.267135195</v>
      </c>
      <c r="BY183" s="4">
        <f t="shared" si="5"/>
        <v>16543560.725091022</v>
      </c>
    </row>
    <row r="184" spans="1:77" ht="12.75">
      <c r="A184" s="5" t="s">
        <v>814</v>
      </c>
      <c r="B184" s="5" t="s">
        <v>180</v>
      </c>
      <c r="C184" s="5" t="s">
        <v>1343</v>
      </c>
      <c r="D184" s="6">
        <v>26138794.299941</v>
      </c>
      <c r="E184" s="6">
        <f>D184*RPI_inc</f>
        <v>26638261.706946243</v>
      </c>
      <c r="F184" s="6"/>
      <c r="G184" s="6"/>
      <c r="H184" s="6"/>
      <c r="I184" s="6"/>
      <c r="J184" s="6">
        <v>851332.088189</v>
      </c>
      <c r="K184" s="6">
        <f>J184*RPI_inc</f>
        <v>867599.5803200001</v>
      </c>
      <c r="L184" s="6">
        <v>3600879.323415</v>
      </c>
      <c r="M184" s="6">
        <f>L184*RPI_inc</f>
        <v>3669685.9346904457</v>
      </c>
      <c r="N184" s="6"/>
      <c r="O184" s="6"/>
      <c r="P184" s="6"/>
      <c r="Q184" s="6"/>
      <c r="R184" s="6"/>
      <c r="S184" s="6"/>
      <c r="T184" s="6"/>
      <c r="U184" s="6"/>
      <c r="V184" s="6">
        <v>51520.939441</v>
      </c>
      <c r="W184" s="6">
        <f>V184*RPI_inc</f>
        <v>52505.41599082803</v>
      </c>
      <c r="X184" s="6">
        <v>2478657.327152</v>
      </c>
      <c r="Y184" s="6">
        <f>X184*RPI_inc</f>
        <v>2526020.206014777</v>
      </c>
      <c r="Z184" s="14">
        <f>D184+F184+H184+J184+L184+N184+P184+R184+T184+V184+X184</f>
        <v>33121183.978137996</v>
      </c>
      <c r="AC184" s="14">
        <f>E184+G184+I184+K184+M184+O184+Q184+S184+U184+W184+Y184</f>
        <v>33754072.8439623</v>
      </c>
      <c r="AF184" s="51"/>
      <c r="AG184" s="6">
        <v>846598</v>
      </c>
      <c r="AH184" s="6">
        <f>AG184/$AG$680*$AH$680</f>
        <v>637429.4506741116</v>
      </c>
      <c r="AI184" s="6">
        <v>31232241.926759</v>
      </c>
      <c r="AJ184" s="6">
        <f>AI184/$AI$680*$AJ$680</f>
        <v>21408160.18372324</v>
      </c>
      <c r="AK184" s="6">
        <f>AJ184-AH184</f>
        <v>20770730.73304913</v>
      </c>
      <c r="AL184" s="6"/>
      <c r="AM184" s="6"/>
      <c r="AN184" s="6"/>
      <c r="AO184" s="6"/>
      <c r="AP184" s="6"/>
      <c r="AQ184" s="6"/>
      <c r="AR184" s="6">
        <v>1229609.306075</v>
      </c>
      <c r="AS184" s="6">
        <f>AR184/$AR$680*$AS$680</f>
        <v>1205415.1730605732</v>
      </c>
      <c r="AT184" s="6">
        <v>4554816.418961</v>
      </c>
      <c r="AU184" s="6">
        <f>AT184/$AT$680*$AU$680</f>
        <v>3759106.1919815913</v>
      </c>
      <c r="AV184" s="6"/>
      <c r="AW184" s="6"/>
      <c r="AX184" s="6"/>
      <c r="AY184" s="6"/>
      <c r="AZ184" s="6">
        <v>73086.56169</v>
      </c>
      <c r="BA184" s="6">
        <f>AZ184/$AZ$680*$BA$680</f>
        <v>71622.37840428346</v>
      </c>
      <c r="BB184" s="6">
        <v>3665128.438418</v>
      </c>
      <c r="BC184" s="6">
        <f>BB184/$BB$680*$BC$680</f>
        <v>3594687.1131464434</v>
      </c>
      <c r="BD184" s="6"/>
      <c r="BE184" s="6"/>
      <c r="BF184" s="6"/>
      <c r="BG184" s="6"/>
      <c r="BH184" s="6">
        <v>858746.450085</v>
      </c>
      <c r="BI184" s="6"/>
      <c r="BJ184" s="6">
        <v>61831767.269963</v>
      </c>
      <c r="BK184" s="6">
        <f t="shared" si="7"/>
        <v>873184.052107803</v>
      </c>
      <c r="BL184" s="6">
        <f>BH184+BK184</f>
        <v>1731930.5021928032</v>
      </c>
      <c r="BM184" s="6"/>
      <c r="BN184" s="6"/>
      <c r="BO184" s="6">
        <v>97031.460987</v>
      </c>
      <c r="BP184" s="6"/>
      <c r="BQ184" s="6">
        <f>AG184+AI184+AL184+AN184+AP184+AR184+AT184+AV184+AX184+AZ184+BB184+BD184+BF184+BH184+BK184+BM184+BO184</f>
        <v>43430442.61508281</v>
      </c>
      <c r="BT184" s="6">
        <f>AJ184+AM184+AQ184+AS184+AU184+AW184+AY184+BA184+BC184+BG184+BL184+BN184+BP184</f>
        <v>31770921.542508934</v>
      </c>
      <c r="BW184" s="52"/>
      <c r="BX184" s="6">
        <f t="shared" si="4"/>
        <v>76551626.5932208</v>
      </c>
      <c r="BY184" s="6">
        <f t="shared" si="5"/>
        <v>65524994.38647123</v>
      </c>
    </row>
    <row r="185" spans="1:77" ht="12.75">
      <c r="A185" t="s">
        <v>815</v>
      </c>
      <c r="B185" t="s">
        <v>181</v>
      </c>
      <c r="J185"/>
      <c r="K185"/>
      <c r="L185"/>
      <c r="M185"/>
      <c r="V185"/>
      <c r="X185"/>
      <c r="Z185" s="12">
        <f>Z186+Z187</f>
        <v>43907748.126903</v>
      </c>
      <c r="AC185" s="12">
        <f>AC186+AC187</f>
        <v>44746749.68346802</v>
      </c>
      <c r="AF185" s="51"/>
      <c r="AG185"/>
      <c r="AI185"/>
      <c r="AR185"/>
      <c r="AT185"/>
      <c r="AZ185"/>
      <c r="BB185"/>
      <c r="BD185"/>
      <c r="BE185"/>
      <c r="BF185"/>
      <c r="BH185"/>
      <c r="BI185">
        <v>982023</v>
      </c>
      <c r="BJ185" s="1">
        <v>84240566.303075</v>
      </c>
      <c r="BL185"/>
      <c r="BO185"/>
      <c r="BP185"/>
      <c r="BQ185" s="1">
        <f>BQ186+BQ187</f>
        <v>55677335.66259801</v>
      </c>
      <c r="BT185" s="1">
        <f>BT186+BT187</f>
        <v>40332824.802319065</v>
      </c>
      <c r="BW185" s="52"/>
      <c r="BX185" s="1">
        <f t="shared" si="4"/>
        <v>99585083.78950101</v>
      </c>
      <c r="BY185" s="1">
        <f t="shared" si="5"/>
        <v>85079574.4857871</v>
      </c>
    </row>
    <row r="186" spans="1:77" ht="12.75">
      <c r="A186" s="3" t="s">
        <v>816</v>
      </c>
      <c r="B186" s="3" t="s">
        <v>182</v>
      </c>
      <c r="C186" s="3" t="s">
        <v>1343</v>
      </c>
      <c r="D186" s="3"/>
      <c r="E186" s="4"/>
      <c r="F186" s="4">
        <v>9671644.190698</v>
      </c>
      <c r="G186" s="4">
        <f>F186*RPI_inc</f>
        <v>9856452.678418344</v>
      </c>
      <c r="H186" s="4"/>
      <c r="I186" s="4"/>
      <c r="J186" s="4">
        <v>242876.913474</v>
      </c>
      <c r="K186" s="4">
        <f>J186*RPI_inc</f>
        <v>247517.87360407642</v>
      </c>
      <c r="L186" s="3"/>
      <c r="M186" s="4"/>
      <c r="N186" s="4"/>
      <c r="O186" s="4"/>
      <c r="P186" s="4"/>
      <c r="Q186" s="4"/>
      <c r="R186" s="4"/>
      <c r="S186" s="4"/>
      <c r="T186" s="4">
        <v>211198.381935</v>
      </c>
      <c r="U186" s="4">
        <f>T186*RPI_inc</f>
        <v>215234.01980636944</v>
      </c>
      <c r="V186" s="3"/>
      <c r="W186" s="4"/>
      <c r="X186" s="3"/>
      <c r="Y186" s="4"/>
      <c r="Z186" s="13">
        <f>D186+F186+H186+J186+L186+N186+P186+R186+T186+V186+X186</f>
        <v>10125719.486107</v>
      </c>
      <c r="AC186" s="13">
        <f>E186+G186+I186+K186+M186+O186+Q186+S186+U186+W186+Y186</f>
        <v>10319204.57182879</v>
      </c>
      <c r="AF186" s="51"/>
      <c r="AG186" s="3"/>
      <c r="AH186" s="4"/>
      <c r="AI186" s="3"/>
      <c r="AJ186" s="4"/>
      <c r="AK186" s="4"/>
      <c r="AL186" s="4">
        <v>10685027.579492</v>
      </c>
      <c r="AM186" s="4">
        <f>AL186/$AL$680*$AM$680</f>
        <v>7154072.17630255</v>
      </c>
      <c r="AN186" s="4"/>
      <c r="AO186" s="4"/>
      <c r="AP186" s="4"/>
      <c r="AQ186" s="4"/>
      <c r="AR186" s="4">
        <v>350795.790716</v>
      </c>
      <c r="AS186" s="4">
        <f>AR186/$AR$680*$AS$680</f>
        <v>343893.43565122277</v>
      </c>
      <c r="AT186" s="3"/>
      <c r="AU186" s="4"/>
      <c r="AV186" s="4"/>
      <c r="AW186" s="4"/>
      <c r="AX186" s="4">
        <v>299601.748431</v>
      </c>
      <c r="AY186" s="4">
        <f>AX186/$AX$680*$AY$680</f>
        <v>293599.667050332</v>
      </c>
      <c r="AZ186" s="3"/>
      <c r="BA186" s="4"/>
      <c r="BB186" s="3"/>
      <c r="BC186" s="4"/>
      <c r="BD186" s="4"/>
      <c r="BE186" s="4"/>
      <c r="BF186" s="4"/>
      <c r="BG186" s="4"/>
      <c r="BH186" s="4">
        <v>250497.037721</v>
      </c>
      <c r="BI186" s="4"/>
      <c r="BJ186" s="4">
        <v>21673454.619327</v>
      </c>
      <c r="BK186" s="4">
        <f t="shared" si="6"/>
        <v>252655.36379541695</v>
      </c>
      <c r="BL186" s="4">
        <f>BH186+BK186</f>
        <v>503152.4015164169</v>
      </c>
      <c r="BM186" s="4"/>
      <c r="BN186" s="4"/>
      <c r="BO186" s="4">
        <v>29664.197872</v>
      </c>
      <c r="BP186" s="4"/>
      <c r="BQ186" s="4">
        <f>AG186+AI186+AL186+AN186+AP186+AR186+AT186+AV186+AX186+AZ186+BB186+BD186+BF186+BH186+BK186+BM186+BO186</f>
        <v>11868241.718027418</v>
      </c>
      <c r="BT186" s="4">
        <f>AJ186+AM186+AQ186+AS186+AU186+AW186+AY186+BA186+BC186+BG186+BL186+BN186+BP186</f>
        <v>8294717.680520522</v>
      </c>
      <c r="BW186" s="52"/>
      <c r="BX186" s="4">
        <f t="shared" si="4"/>
        <v>21993961.20413442</v>
      </c>
      <c r="BY186" s="4">
        <f t="shared" si="5"/>
        <v>18613922.252349313</v>
      </c>
    </row>
    <row r="187" spans="1:77" ht="12.75">
      <c r="A187" s="5" t="s">
        <v>817</v>
      </c>
      <c r="B187" s="5" t="s">
        <v>183</v>
      </c>
      <c r="C187" s="5" t="s">
        <v>1343</v>
      </c>
      <c r="D187" s="6">
        <v>26658347.203516</v>
      </c>
      <c r="E187" s="6">
        <f>D187*RPI_inc</f>
        <v>27167742.373009935</v>
      </c>
      <c r="F187" s="6"/>
      <c r="G187" s="6"/>
      <c r="H187" s="6"/>
      <c r="I187" s="6"/>
      <c r="J187" s="6">
        <v>721458.226735</v>
      </c>
      <c r="K187" s="6">
        <f>J187*RPI_inc</f>
        <v>735244.0527235669</v>
      </c>
      <c r="L187" s="6">
        <v>3817910.895044</v>
      </c>
      <c r="M187" s="6">
        <f>L187*RPI_inc</f>
        <v>3890864.6064142673</v>
      </c>
      <c r="N187" s="6"/>
      <c r="O187" s="6"/>
      <c r="P187" s="6"/>
      <c r="Q187" s="6"/>
      <c r="R187" s="6"/>
      <c r="S187" s="6"/>
      <c r="T187" s="6"/>
      <c r="U187" s="6"/>
      <c r="V187" s="6">
        <v>53150.060056</v>
      </c>
      <c r="W187" s="6">
        <f>V187*RPI_inc</f>
        <v>54165.666299108285</v>
      </c>
      <c r="X187" s="6">
        <v>2531162.255445</v>
      </c>
      <c r="Y187" s="6">
        <f>X187*RPI_inc</f>
        <v>2579528.4131923565</v>
      </c>
      <c r="Z187" s="14">
        <f>D187+F187+H187+J187+L187+N187+P187+R187+T187+V187+X187</f>
        <v>33782028.640796</v>
      </c>
      <c r="AC187" s="14">
        <f>E187+G187+I187+K187+M187+O187+Q187+S187+U187+W187+Y187</f>
        <v>34427545.11163923</v>
      </c>
      <c r="AF187" s="51"/>
      <c r="AG187" s="6">
        <v>715051</v>
      </c>
      <c r="AH187" s="6">
        <f>AG187/$AG$680*$AH$680</f>
        <v>538383.7029309946</v>
      </c>
      <c r="AI187" s="6">
        <v>31853035.747316</v>
      </c>
      <c r="AJ187" s="6">
        <f>AI187/$AI$680*$AJ$680</f>
        <v>21833683.704664055</v>
      </c>
      <c r="AK187" s="6">
        <f>AJ187-AH187</f>
        <v>21295300.00173306</v>
      </c>
      <c r="AL187" s="6"/>
      <c r="AM187" s="6"/>
      <c r="AN187" s="6"/>
      <c r="AO187" s="6"/>
      <c r="AP187" s="6"/>
      <c r="AQ187" s="6"/>
      <c r="AR187" s="6">
        <v>1042027.854752</v>
      </c>
      <c r="AS187" s="6">
        <f>AR187/$AR$680*$AS$680</f>
        <v>1021524.626289064</v>
      </c>
      <c r="AT187" s="6">
        <v>4829343.521122</v>
      </c>
      <c r="AU187" s="6">
        <f>AT187/$AT$680*$AU$680</f>
        <v>3985674.3858838137</v>
      </c>
      <c r="AV187" s="6"/>
      <c r="AW187" s="6"/>
      <c r="AX187" s="6"/>
      <c r="AY187" s="6"/>
      <c r="AZ187" s="6">
        <v>75397.599214</v>
      </c>
      <c r="BA187" s="6">
        <f>AZ187/$AZ$680*$BA$680</f>
        <v>73887.11764256499</v>
      </c>
      <c r="BB187" s="6">
        <v>3742766.159347</v>
      </c>
      <c r="BC187" s="6">
        <f>BB187/$BB$680*$BC$680</f>
        <v>3670832.688835463</v>
      </c>
      <c r="BD187" s="6"/>
      <c r="BE187" s="6"/>
      <c r="BF187" s="6"/>
      <c r="BG187" s="6"/>
      <c r="BH187" s="6">
        <v>723136.962279</v>
      </c>
      <c r="BI187" s="6"/>
      <c r="BJ187" s="6">
        <v>62567111.683748</v>
      </c>
      <c r="BK187" s="6">
        <f t="shared" si="7"/>
        <v>729367.636204583</v>
      </c>
      <c r="BL187" s="6">
        <f>BH187+BK187</f>
        <v>1452504.598483583</v>
      </c>
      <c r="BM187" s="6"/>
      <c r="BN187" s="6"/>
      <c r="BO187" s="6">
        <v>98967.464336</v>
      </c>
      <c r="BP187" s="6"/>
      <c r="BQ187" s="6">
        <f>AG187+AI187+AL187+AN187+AP187+AR187+AT187+AV187+AX187+AZ187+BB187+BD187+BF187+BH187+BK187+BM187+BO187</f>
        <v>43809093.944570586</v>
      </c>
      <c r="BT187" s="6">
        <f>AJ187+AM187+AQ187+AS187+AU187+AW187+AY187+BA187+BC187+BG187+BL187+BN187+BP187</f>
        <v>32038107.121798545</v>
      </c>
      <c r="BW187" s="52"/>
      <c r="BX187" s="6">
        <f t="shared" si="4"/>
        <v>77591122.58536658</v>
      </c>
      <c r="BY187" s="6">
        <f t="shared" si="5"/>
        <v>66465652.23343778</v>
      </c>
    </row>
    <row r="188" spans="1:77" ht="12.75">
      <c r="A188" t="s">
        <v>818</v>
      </c>
      <c r="B188" t="s">
        <v>184</v>
      </c>
      <c r="J188"/>
      <c r="K188"/>
      <c r="L188"/>
      <c r="M188"/>
      <c r="V188"/>
      <c r="X188"/>
      <c r="Z188" s="12">
        <f>Z189+Z190</f>
        <v>19651128.906469002</v>
      </c>
      <c r="AC188" s="12">
        <f>AC189+AC190</f>
        <v>20026628.18493656</v>
      </c>
      <c r="AF188" s="51"/>
      <c r="AG188"/>
      <c r="AI188"/>
      <c r="AR188"/>
      <c r="AT188"/>
      <c r="AZ188"/>
      <c r="BB188"/>
      <c r="BD188"/>
      <c r="BE188"/>
      <c r="BF188"/>
      <c r="BH188"/>
      <c r="BI188">
        <v>892015</v>
      </c>
      <c r="BJ188" s="1">
        <v>29996797.362085</v>
      </c>
      <c r="BL188"/>
      <c r="BO188"/>
      <c r="BP188"/>
      <c r="BQ188" s="1">
        <f>BQ189+BQ190</f>
        <v>25057886.880154997</v>
      </c>
      <c r="BT188" s="1">
        <f>BT189+BT190</f>
        <v>18442626.7906223</v>
      </c>
      <c r="BW188" s="52"/>
      <c r="BX188" s="1">
        <f t="shared" si="4"/>
        <v>44709015.786624</v>
      </c>
      <c r="BY188" s="1">
        <f t="shared" si="5"/>
        <v>38469254.97555886</v>
      </c>
    </row>
    <row r="189" spans="1:77" ht="12.75">
      <c r="A189" s="3" t="s">
        <v>819</v>
      </c>
      <c r="B189" s="3" t="s">
        <v>185</v>
      </c>
      <c r="C189" s="3" t="s">
        <v>1343</v>
      </c>
      <c r="D189" s="3"/>
      <c r="E189" s="4"/>
      <c r="F189" s="4">
        <v>5167415.649148</v>
      </c>
      <c r="G189" s="4">
        <f>F189*RPI_inc</f>
        <v>5266156.075564841</v>
      </c>
      <c r="H189" s="4"/>
      <c r="I189" s="4"/>
      <c r="J189" s="4">
        <v>300298.303572</v>
      </c>
      <c r="K189" s="4">
        <f>J189*RPI_inc</f>
        <v>306036.4877166879</v>
      </c>
      <c r="L189" s="3"/>
      <c r="M189" s="4"/>
      <c r="N189" s="4"/>
      <c r="O189" s="4"/>
      <c r="P189" s="4"/>
      <c r="Q189" s="4"/>
      <c r="R189" s="4"/>
      <c r="S189" s="4"/>
      <c r="T189" s="4">
        <v>162912.061474</v>
      </c>
      <c r="U189" s="4">
        <f>T189*RPI_inc</f>
        <v>166025.03080152866</v>
      </c>
      <c r="V189" s="3"/>
      <c r="W189" s="4"/>
      <c r="X189" s="3"/>
      <c r="Y189" s="4"/>
      <c r="Z189" s="13">
        <f>D189+F189+H189+J189+L189+N189+P189+R189+T189+V189+X189</f>
        <v>5630626.0141940005</v>
      </c>
      <c r="AC189" s="13">
        <f>E189+G189+I189+K189+M189+O189+Q189+S189+U189+W189+Y189</f>
        <v>5738217.594083058</v>
      </c>
      <c r="AF189" s="51"/>
      <c r="AG189" s="3"/>
      <c r="AH189" s="4"/>
      <c r="AI189" s="3"/>
      <c r="AJ189" s="4"/>
      <c r="AK189" s="4"/>
      <c r="AL189" s="4">
        <v>5708851.322193</v>
      </c>
      <c r="AM189" s="4">
        <f>AL189/$AL$680*$AM$680</f>
        <v>3822314.3645540974</v>
      </c>
      <c r="AN189" s="4"/>
      <c r="AO189" s="4"/>
      <c r="AP189" s="4"/>
      <c r="AQ189" s="4"/>
      <c r="AR189" s="4">
        <v>433731.552932</v>
      </c>
      <c r="AS189" s="4">
        <f>AR189/$AR$680*$AS$680</f>
        <v>425197.33085646323</v>
      </c>
      <c r="AT189" s="3"/>
      <c r="AU189" s="4"/>
      <c r="AV189" s="4"/>
      <c r="AW189" s="4"/>
      <c r="AX189" s="4">
        <v>231103.75189</v>
      </c>
      <c r="AY189" s="4">
        <f>AX189/$AX$680*$AY$680</f>
        <v>226473.92735297483</v>
      </c>
      <c r="AZ189" s="3"/>
      <c r="BA189" s="4"/>
      <c r="BB189" s="3"/>
      <c r="BC189" s="4"/>
      <c r="BD189" s="4"/>
      <c r="BE189" s="4"/>
      <c r="BF189" s="4"/>
      <c r="BG189" s="4"/>
      <c r="BH189" s="4"/>
      <c r="BI189" s="4"/>
      <c r="BJ189" s="4">
        <v>9914577.548996</v>
      </c>
      <c r="BK189" s="4">
        <f>BJ189/BJ188*BI188</f>
        <v>294829.8708563515</v>
      </c>
      <c r="BL189" s="4">
        <f>BH189+BK189</f>
        <v>294829.8708563515</v>
      </c>
      <c r="BM189" s="4"/>
      <c r="BN189" s="4"/>
      <c r="BO189" s="4">
        <v>16495.42084</v>
      </c>
      <c r="BP189" s="4"/>
      <c r="BQ189" s="4">
        <f>AG189+AI189+AL189+AN189+AP189+AR189+AT189+AV189+AX189+AZ189+BB189+BD189+BF189+BH189+BK189+BM189+BO189</f>
        <v>6685011.918711351</v>
      </c>
      <c r="BT189" s="4">
        <f>AJ189+AM189+AQ189+AS189+AU189+AW189+AY189+BA189+BC189+BG189+BL189+BN189+BP189</f>
        <v>4768815.493619887</v>
      </c>
      <c r="BW189" s="52"/>
      <c r="BX189" s="4">
        <f t="shared" si="4"/>
        <v>12315637.932905352</v>
      </c>
      <c r="BY189" s="4">
        <f t="shared" si="5"/>
        <v>10507033.087702945</v>
      </c>
    </row>
    <row r="190" spans="1:77" ht="12.75">
      <c r="A190" s="5" t="s">
        <v>820</v>
      </c>
      <c r="B190" s="5" t="s">
        <v>186</v>
      </c>
      <c r="C190" s="5" t="s">
        <v>1343</v>
      </c>
      <c r="D190" s="6">
        <v>10242586.367712</v>
      </c>
      <c r="E190" s="6">
        <f>D190*RPI_inc</f>
        <v>10438304.57856</v>
      </c>
      <c r="F190" s="6"/>
      <c r="G190" s="6"/>
      <c r="H190" s="6"/>
      <c r="I190" s="6"/>
      <c r="J190" s="6">
        <v>565415.169261</v>
      </c>
      <c r="K190" s="6">
        <f>J190*RPI_inc</f>
        <v>576219.2807755414</v>
      </c>
      <c r="L190" s="6">
        <v>1684168.323791</v>
      </c>
      <c r="M190" s="6">
        <f>L190*RPI_inc</f>
        <v>1716349.8841182166</v>
      </c>
      <c r="N190" s="6"/>
      <c r="O190" s="6"/>
      <c r="P190" s="6"/>
      <c r="Q190" s="6"/>
      <c r="R190" s="6"/>
      <c r="S190" s="6"/>
      <c r="T190" s="6"/>
      <c r="U190" s="6"/>
      <c r="V190" s="6">
        <v>49077.258519</v>
      </c>
      <c r="W190" s="6">
        <f>V190*RPI_inc</f>
        <v>50015.0405289172</v>
      </c>
      <c r="X190" s="6">
        <v>1479255.772992</v>
      </c>
      <c r="Y190" s="6">
        <f>X190*RPI_inc</f>
        <v>1507521.806870828</v>
      </c>
      <c r="Z190" s="14">
        <f>D190+F190+H190+J190+L190+N190+P190+R190+T190+V190+X190</f>
        <v>14020502.892275</v>
      </c>
      <c r="AC190" s="14">
        <f>E190+G190+I190+K190+M190+O190+Q190+S190+U190+W190+Y190</f>
        <v>14288410.590853503</v>
      </c>
      <c r="AF190" s="51"/>
      <c r="AG190" s="6">
        <v>292200</v>
      </c>
      <c r="AH190" s="6">
        <f>AG190/$AG$680*$AH$680</f>
        <v>220006.29045541733</v>
      </c>
      <c r="AI190" s="6">
        <v>12238473.271616</v>
      </c>
      <c r="AJ190" s="6">
        <f>AI190/$AI$680*$AJ$680</f>
        <v>8388869.323482443</v>
      </c>
      <c r="AK190" s="6">
        <f>AJ190-AH190</f>
        <v>8168863.033027025</v>
      </c>
      <c r="AL190" s="6"/>
      <c r="AM190" s="6"/>
      <c r="AN190" s="6"/>
      <c r="AO190" s="6"/>
      <c r="AP190" s="6"/>
      <c r="AQ190" s="6"/>
      <c r="AR190" s="6">
        <v>816649.300038</v>
      </c>
      <c r="AS190" s="6">
        <f>AR190/$AR$680*$AS$680</f>
        <v>800580.6823936464</v>
      </c>
      <c r="AT190" s="6">
        <v>2130334.522353</v>
      </c>
      <c r="AU190" s="6">
        <f>AT190/$AT$680*$AU$680</f>
        <v>1758172.6588655906</v>
      </c>
      <c r="AV190" s="6"/>
      <c r="AW190" s="6"/>
      <c r="AX190" s="6"/>
      <c r="AY190" s="6"/>
      <c r="AZ190" s="6">
        <v>69620.005405</v>
      </c>
      <c r="BA190" s="6">
        <f>AZ190/$AZ$680*$BA$680</f>
        <v>68225.26954784113</v>
      </c>
      <c r="BB190" s="6">
        <v>2187338.419835</v>
      </c>
      <c r="BC190" s="6">
        <f>BB190/$BB$680*$BC$680</f>
        <v>2145299.2335692444</v>
      </c>
      <c r="BD190" s="6"/>
      <c r="BE190" s="6"/>
      <c r="BF190" s="6"/>
      <c r="BG190" s="6"/>
      <c r="BH190" s="6"/>
      <c r="BI190" s="6"/>
      <c r="BJ190" s="6">
        <v>20082219.813089</v>
      </c>
      <c r="BK190" s="6">
        <f>BJ190/BJ188*BI188</f>
        <v>597185.1291436484</v>
      </c>
      <c r="BL190" s="6">
        <f>BH190+BK190</f>
        <v>597185.1291436484</v>
      </c>
      <c r="BM190" s="6"/>
      <c r="BN190" s="6"/>
      <c r="BO190" s="6">
        <v>41074.313053</v>
      </c>
      <c r="BP190" s="6">
        <v>-84521</v>
      </c>
      <c r="BQ190" s="6">
        <f>AG190+AI190+AL190+AN190+AP190+AR190+AT190+AV190+AX190+AZ190+BB190+BD190+BF190+BH190+BK190+BM190+BO190</f>
        <v>18372874.961443648</v>
      </c>
      <c r="BT190" s="6">
        <f>AJ190+AM190+AQ190+AS190+AU190+AW190+AY190+BA190+BC190+BG190+BL190+BN190+BP190</f>
        <v>13673811.297002412</v>
      </c>
      <c r="BW190" s="52"/>
      <c r="BX190" s="6">
        <f t="shared" si="4"/>
        <v>32393377.853718646</v>
      </c>
      <c r="BY190" s="6">
        <f t="shared" si="5"/>
        <v>27962221.887855917</v>
      </c>
    </row>
    <row r="191" spans="1:77" ht="12.75">
      <c r="A191" t="s">
        <v>821</v>
      </c>
      <c r="B191" t="s">
        <v>187</v>
      </c>
      <c r="J191"/>
      <c r="K191"/>
      <c r="L191"/>
      <c r="M191"/>
      <c r="V191"/>
      <c r="X191"/>
      <c r="Z191" s="12">
        <f>Z192+Z193</f>
        <v>32026709.026394</v>
      </c>
      <c r="AC191" s="12">
        <f>AC192+AC193</f>
        <v>32638684.358108528</v>
      </c>
      <c r="AF191" s="51"/>
      <c r="AG191"/>
      <c r="AI191"/>
      <c r="AR191"/>
      <c r="AT191"/>
      <c r="AZ191"/>
      <c r="BB191"/>
      <c r="BD191"/>
      <c r="BE191"/>
      <c r="BF191"/>
      <c r="BH191"/>
      <c r="BI191">
        <v>852227</v>
      </c>
      <c r="BJ191" s="1">
        <v>53734228.608247</v>
      </c>
      <c r="BL191"/>
      <c r="BO191"/>
      <c r="BP191"/>
      <c r="BQ191" s="1">
        <f>BQ192+BQ193</f>
        <v>41028560.216318</v>
      </c>
      <c r="BT191" s="1">
        <f>BT192+BT193</f>
        <v>30223258.991168514</v>
      </c>
      <c r="BW191" s="52"/>
      <c r="BX191" s="1">
        <f t="shared" si="4"/>
        <v>73055269.24271199</v>
      </c>
      <c r="BY191" s="1">
        <f t="shared" si="5"/>
        <v>62861943.34927704</v>
      </c>
    </row>
    <row r="192" spans="1:77" ht="12.75">
      <c r="A192" s="3" t="s">
        <v>822</v>
      </c>
      <c r="B192" s="3" t="s">
        <v>188</v>
      </c>
      <c r="C192" s="3" t="s">
        <v>1343</v>
      </c>
      <c r="D192" s="3"/>
      <c r="E192" s="4"/>
      <c r="F192" s="4">
        <v>7918327.111381</v>
      </c>
      <c r="G192" s="4">
        <f>F192*RPI_inc</f>
        <v>8069632.724974267</v>
      </c>
      <c r="H192" s="4"/>
      <c r="I192" s="4"/>
      <c r="J192" s="4">
        <v>264132.236734</v>
      </c>
      <c r="K192" s="4">
        <f>J192*RPI_inc</f>
        <v>269179.34953783435</v>
      </c>
      <c r="L192" s="3"/>
      <c r="M192" s="4"/>
      <c r="N192" s="4"/>
      <c r="O192" s="4"/>
      <c r="P192" s="4"/>
      <c r="Q192" s="4"/>
      <c r="R192" s="4"/>
      <c r="S192" s="4"/>
      <c r="T192" s="4">
        <v>162912.061474</v>
      </c>
      <c r="U192" s="4">
        <f>T192*RPI_inc</f>
        <v>166025.03080152866</v>
      </c>
      <c r="V192" s="3"/>
      <c r="W192" s="4"/>
      <c r="X192" s="3"/>
      <c r="Y192" s="4"/>
      <c r="Z192" s="13">
        <f>D192+F192+H192+J192+L192+N192+P192+R192+T192+V192+X192</f>
        <v>8345371.409589</v>
      </c>
      <c r="AC192" s="13">
        <f>E192+G192+I192+K192+M192+O192+Q192+S192+U192+W192+Y192</f>
        <v>8504837.10531363</v>
      </c>
      <c r="AF192" s="51"/>
      <c r="AG192" s="3"/>
      <c r="AH192" s="4"/>
      <c r="AI192" s="3"/>
      <c r="AJ192" s="4"/>
      <c r="AK192" s="4"/>
      <c r="AL192" s="4">
        <v>8748000.019471</v>
      </c>
      <c r="AM192" s="4">
        <f>AL192/$AL$680*$AM$680</f>
        <v>5857151.333676491</v>
      </c>
      <c r="AN192" s="4"/>
      <c r="AO192" s="4"/>
      <c r="AP192" s="4"/>
      <c r="AQ192" s="4"/>
      <c r="AR192" s="4">
        <v>381495.61238</v>
      </c>
      <c r="AS192" s="4">
        <f>AR192/$AR$680*$AS$680</f>
        <v>373989.1991276438</v>
      </c>
      <c r="AT192" s="3"/>
      <c r="AU192" s="4"/>
      <c r="AV192" s="4"/>
      <c r="AW192" s="4"/>
      <c r="AX192" s="4">
        <v>231103.75189</v>
      </c>
      <c r="AY192" s="4">
        <f>AX192/$AX$680*$AY$680</f>
        <v>226473.92735297483</v>
      </c>
      <c r="AZ192" s="3"/>
      <c r="BA192" s="4"/>
      <c r="BB192" s="3"/>
      <c r="BC192" s="4"/>
      <c r="BD192" s="4"/>
      <c r="BE192" s="4"/>
      <c r="BF192" s="4"/>
      <c r="BG192" s="4"/>
      <c r="BH192" s="4">
        <v>257303.311145</v>
      </c>
      <c r="BI192" s="4"/>
      <c r="BJ192" s="4">
        <v>16307412.341721</v>
      </c>
      <c r="BK192" s="4">
        <f>BJ192/BJ191*BI191</f>
        <v>258636.2074548306</v>
      </c>
      <c r="BL192" s="4">
        <f>BH192+BK192</f>
        <v>515939.5185998306</v>
      </c>
      <c r="BM192" s="4"/>
      <c r="BN192" s="4"/>
      <c r="BO192" s="4">
        <v>24448.509476</v>
      </c>
      <c r="BP192" s="4"/>
      <c r="BQ192" s="4">
        <f>AG192+AI192+AL192+AN192+AP192+AR192+AT192+AV192+AX192+AZ192+BB192+BD192+BF192+BH192+BK192+BM192+BO192</f>
        <v>9900987.411816832</v>
      </c>
      <c r="BT192" s="4">
        <f>AJ192+AM192+AQ192+AS192+AU192+AW192+AY192+BA192+BC192+BG192+BL192+BN192+BP192</f>
        <v>6973553.97875694</v>
      </c>
      <c r="BW192" s="52"/>
      <c r="BX192" s="4">
        <f t="shared" si="4"/>
        <v>18246358.82140583</v>
      </c>
      <c r="BY192" s="4">
        <f t="shared" si="5"/>
        <v>15478391.08407057</v>
      </c>
    </row>
    <row r="193" spans="1:77" ht="12.75">
      <c r="A193" s="5" t="s">
        <v>823</v>
      </c>
      <c r="B193" s="5" t="s">
        <v>189</v>
      </c>
      <c r="C193" s="5" t="s">
        <v>1343</v>
      </c>
      <c r="D193" s="6">
        <v>17685050.315553</v>
      </c>
      <c r="E193" s="6">
        <f>D193*RPI_inc</f>
        <v>18022981.21330242</v>
      </c>
      <c r="F193" s="6"/>
      <c r="G193" s="6"/>
      <c r="H193" s="6"/>
      <c r="I193" s="6"/>
      <c r="J193" s="6">
        <v>575108.02611</v>
      </c>
      <c r="K193" s="6">
        <f>J193*RPI_inc</f>
        <v>586097.3514496814</v>
      </c>
      <c r="L193" s="6">
        <v>2520541.831717</v>
      </c>
      <c r="M193" s="6">
        <f>L193*RPI_inc</f>
        <v>2568705.0514313374</v>
      </c>
      <c r="N193" s="6"/>
      <c r="O193" s="6"/>
      <c r="P193" s="6"/>
      <c r="Q193" s="6"/>
      <c r="R193" s="6"/>
      <c r="S193" s="6"/>
      <c r="T193" s="6"/>
      <c r="U193" s="6"/>
      <c r="V193" s="6">
        <v>51887.49158</v>
      </c>
      <c r="W193" s="6">
        <f>V193*RPI_inc</f>
        <v>52878.97231082803</v>
      </c>
      <c r="X193" s="6">
        <v>2848749.951845</v>
      </c>
      <c r="Y193" s="6">
        <f>X193*RPI_inc</f>
        <v>2903184.664300637</v>
      </c>
      <c r="Z193" s="14">
        <f>D193+F193+H193+J193+L193+N193+P193+R193+T193+V193+X193</f>
        <v>23681337.616805</v>
      </c>
      <c r="AC193" s="14">
        <f>E193+G193+I193+K193+M193+O193+Q193+S193+U193+W193+Y193</f>
        <v>24133847.2527949</v>
      </c>
      <c r="AF193" s="51"/>
      <c r="AG193" s="6">
        <v>437977</v>
      </c>
      <c r="AH193" s="6">
        <f>AG193/$AG$680*$AH$680</f>
        <v>329766.2391334439</v>
      </c>
      <c r="AI193" s="6">
        <v>21131187.751209</v>
      </c>
      <c r="AJ193" s="6">
        <f>AI193/$AI$680*$AJ$680</f>
        <v>14484386.145287413</v>
      </c>
      <c r="AK193" s="6">
        <f>AJ193-AH193</f>
        <v>14154619.90615397</v>
      </c>
      <c r="AL193" s="6"/>
      <c r="AM193" s="6"/>
      <c r="AN193" s="6"/>
      <c r="AO193" s="6"/>
      <c r="AP193" s="6"/>
      <c r="AQ193" s="6"/>
      <c r="AR193" s="6">
        <v>830649.038975</v>
      </c>
      <c r="AS193" s="6">
        <f>AR193/$AR$680*$AS$680</f>
        <v>814304.9585927381</v>
      </c>
      <c r="AT193" s="6">
        <v>3188278.275567</v>
      </c>
      <c r="AU193" s="6">
        <f>AT193/$AT$680*$AU$680</f>
        <v>2631297.401483026</v>
      </c>
      <c r="AV193" s="6"/>
      <c r="AW193" s="6"/>
      <c r="AX193" s="6"/>
      <c r="AY193" s="6"/>
      <c r="AZ193" s="6">
        <v>73606.545133</v>
      </c>
      <c r="BA193" s="6">
        <f>AZ193/$AZ$680*$BA$680</f>
        <v>72131.9447329948</v>
      </c>
      <c r="BB193" s="6">
        <v>4212375.122642</v>
      </c>
      <c r="BC193" s="6">
        <f>BB193/$BB$680*$BC$680</f>
        <v>4131416.080915234</v>
      </c>
      <c r="BD193" s="6"/>
      <c r="BE193" s="6"/>
      <c r="BF193" s="6"/>
      <c r="BG193" s="6"/>
      <c r="BH193" s="6">
        <v>590531.688855</v>
      </c>
      <c r="BI193" s="6"/>
      <c r="BJ193" s="6">
        <v>37426816.266526</v>
      </c>
      <c r="BK193" s="6">
        <f>BJ193/BJ191*BI191</f>
        <v>593590.7925451695</v>
      </c>
      <c r="BL193" s="6">
        <f>BH193+BK193</f>
        <v>1184122.4814001694</v>
      </c>
      <c r="BM193" s="6"/>
      <c r="BN193" s="6"/>
      <c r="BO193" s="6">
        <v>69376.589575</v>
      </c>
      <c r="BP193" s="6">
        <v>-67954</v>
      </c>
      <c r="BQ193" s="6">
        <f>AG193+AI193+AL193+AN193+AP193+AR193+AT193+AV193+AX193+AZ193+BB193+BD193+BF193+BH193+BK193+BM193+BO193</f>
        <v>31127572.804501165</v>
      </c>
      <c r="BT193" s="6">
        <f>AJ193+AM193+AQ193+AS193+AU193+AW193+AY193+BA193+BC193+BG193+BL193+BN193+BP193</f>
        <v>23249705.012411576</v>
      </c>
      <c r="BW193" s="52"/>
      <c r="BX193" s="6">
        <f t="shared" si="4"/>
        <v>54808910.42130616</v>
      </c>
      <c r="BY193" s="6">
        <f t="shared" si="5"/>
        <v>47383552.26520647</v>
      </c>
    </row>
    <row r="194" spans="1:77" ht="12.75">
      <c r="A194" t="s">
        <v>824</v>
      </c>
      <c r="B194" t="s">
        <v>190</v>
      </c>
      <c r="J194"/>
      <c r="K194"/>
      <c r="L194"/>
      <c r="M194"/>
      <c r="V194"/>
      <c r="X194"/>
      <c r="Z194" s="12">
        <f>Z195+Z196</f>
        <v>99275879.356105</v>
      </c>
      <c r="AC194" s="12">
        <f>AC195+AC196</f>
        <v>101172870.68138087</v>
      </c>
      <c r="AF194" s="51"/>
      <c r="AG194"/>
      <c r="AI194"/>
      <c r="AR194"/>
      <c r="AT194"/>
      <c r="AZ194"/>
      <c r="BB194"/>
      <c r="BD194"/>
      <c r="BE194"/>
      <c r="BF194"/>
      <c r="BH194"/>
      <c r="BI194">
        <v>739924</v>
      </c>
      <c r="BJ194" s="1">
        <v>217243319.611883</v>
      </c>
      <c r="BL194"/>
      <c r="BO194"/>
      <c r="BP194"/>
      <c r="BQ194" s="1">
        <f>BQ195+BQ196</f>
        <v>121293702.497257</v>
      </c>
      <c r="BT194" s="1">
        <f>BT195+BT196</f>
        <v>85043085.24022533</v>
      </c>
      <c r="BW194" s="52"/>
      <c r="BX194" s="1">
        <f aca="true" t="shared" si="8" ref="BX194:BX257">Z194+BQ194</f>
        <v>220569581.853362</v>
      </c>
      <c r="BY194" s="1">
        <f aca="true" t="shared" si="9" ref="BY194:BY257">AC194+BT194</f>
        <v>186215955.92160618</v>
      </c>
    </row>
    <row r="195" spans="1:77" ht="12.75">
      <c r="A195" s="3" t="s">
        <v>825</v>
      </c>
      <c r="B195" s="3" t="s">
        <v>191</v>
      </c>
      <c r="C195" s="3" t="s">
        <v>1343</v>
      </c>
      <c r="D195" s="3"/>
      <c r="E195" s="4"/>
      <c r="F195" s="4">
        <v>21025661.311474</v>
      </c>
      <c r="G195" s="4">
        <f>F195*RPI_inc</f>
        <v>21427425.540355667</v>
      </c>
      <c r="H195" s="4"/>
      <c r="I195" s="4"/>
      <c r="J195" s="4">
        <v>131938.470511</v>
      </c>
      <c r="K195" s="4">
        <f>J195*RPI_inc</f>
        <v>134459.5877819108</v>
      </c>
      <c r="L195" s="3"/>
      <c r="M195" s="4"/>
      <c r="N195" s="4"/>
      <c r="O195" s="4"/>
      <c r="P195" s="4"/>
      <c r="Q195" s="4"/>
      <c r="R195" s="4"/>
      <c r="S195" s="4"/>
      <c r="T195" s="4">
        <v>283487.350973</v>
      </c>
      <c r="U195" s="4">
        <f>T195*RPI_inc</f>
        <v>288904.30672407645</v>
      </c>
      <c r="V195" s="3"/>
      <c r="W195" s="4"/>
      <c r="X195" s="3"/>
      <c r="Y195" s="4"/>
      <c r="Z195" s="13">
        <f>D195+F195+H195+J195+L195+N195+P195+R195+T195+V195+X195</f>
        <v>21441087.132958</v>
      </c>
      <c r="AC195" s="13">
        <f>E195+G195+I195+K195+M195+O195+Q195+S195+U195+W195+Y195</f>
        <v>21850789.434861653</v>
      </c>
      <c r="AF195" s="51"/>
      <c r="AG195" s="3"/>
      <c r="AH195" s="4"/>
      <c r="AI195" s="3"/>
      <c r="AJ195" s="4"/>
      <c r="AK195" s="4"/>
      <c r="AL195" s="4">
        <v>23228705.126087</v>
      </c>
      <c r="AM195" s="4">
        <f>AL195/$AL$680*$AM$680</f>
        <v>15552588.123687007</v>
      </c>
      <c r="AN195" s="4"/>
      <c r="AO195" s="4"/>
      <c r="AP195" s="4"/>
      <c r="AQ195" s="4"/>
      <c r="AR195" s="4">
        <v>190563.439837</v>
      </c>
      <c r="AS195" s="4">
        <f>AR195/$AR$680*$AS$680</f>
        <v>186813.86085420896</v>
      </c>
      <c r="AT195" s="3"/>
      <c r="AU195" s="4"/>
      <c r="AV195" s="4"/>
      <c r="AW195" s="4"/>
      <c r="AX195" s="4">
        <v>402149.416257</v>
      </c>
      <c r="AY195" s="4">
        <f>AX195/$AX$680*$AY$680</f>
        <v>394092.94283452077</v>
      </c>
      <c r="AZ195" s="3"/>
      <c r="BA195" s="4"/>
      <c r="BB195" s="3"/>
      <c r="BC195" s="4"/>
      <c r="BD195" s="4"/>
      <c r="BE195" s="4"/>
      <c r="BF195" s="4"/>
      <c r="BG195" s="4"/>
      <c r="BH195" s="4">
        <v>170473.092518</v>
      </c>
      <c r="BI195" s="4"/>
      <c r="BJ195" s="4">
        <v>50007008.736518</v>
      </c>
      <c r="BK195" s="4">
        <f>BJ195/BJ194*BI194</f>
        <v>170322.31876434374</v>
      </c>
      <c r="BL195" s="4">
        <f>BH195+BK195</f>
        <v>340795.41128234373</v>
      </c>
      <c r="BM195" s="4"/>
      <c r="BN195" s="4"/>
      <c r="BO195" s="4">
        <v>62813.57608</v>
      </c>
      <c r="BP195" s="4"/>
      <c r="BQ195" s="4">
        <f>AG195+AI195+AL195+AN195+AP195+AR195+AT195+AV195+AX195+AZ195+BB195+BD195+BF195+BH195+BK195+BM195+BO195</f>
        <v>24225026.969543345</v>
      </c>
      <c r="BT195" s="4">
        <f>AJ195+AM195+AQ195+AS195+AU195+AW195+AY195+BA195+BC195+BG195+BL195+BN195+BP195</f>
        <v>16474290.33865808</v>
      </c>
      <c r="BW195" s="52"/>
      <c r="BX195" s="4">
        <f t="shared" si="8"/>
        <v>45666114.10250135</v>
      </c>
      <c r="BY195" s="4">
        <f t="shared" si="9"/>
        <v>38325079.77351973</v>
      </c>
    </row>
    <row r="196" spans="1:77" ht="12.75">
      <c r="A196" s="5" t="s">
        <v>826</v>
      </c>
      <c r="B196" s="5" t="s">
        <v>192</v>
      </c>
      <c r="C196" s="5" t="s">
        <v>1343</v>
      </c>
      <c r="D196" s="6">
        <v>67634199.983536</v>
      </c>
      <c r="E196" s="6">
        <f>D196*RPI_inc</f>
        <v>68926573.23162904</v>
      </c>
      <c r="F196" s="6"/>
      <c r="G196" s="6"/>
      <c r="H196" s="6"/>
      <c r="I196" s="6"/>
      <c r="J196" s="6">
        <v>596375.376956</v>
      </c>
      <c r="K196" s="6">
        <f>J196*RPI_inc</f>
        <v>607771.0847959236</v>
      </c>
      <c r="L196" s="6">
        <v>6728726.93232</v>
      </c>
      <c r="M196" s="6">
        <f>L196*RPI_inc</f>
        <v>6857301.332300637</v>
      </c>
      <c r="N196" s="6"/>
      <c r="O196" s="6"/>
      <c r="P196" s="6"/>
      <c r="Q196" s="6"/>
      <c r="R196" s="6"/>
      <c r="S196" s="6"/>
      <c r="T196" s="6"/>
      <c r="U196" s="6"/>
      <c r="V196" s="6">
        <v>59788.726561</v>
      </c>
      <c r="W196" s="6">
        <f>V196*RPI_inc</f>
        <v>60931.186304203824</v>
      </c>
      <c r="X196" s="6">
        <v>2815701.203774</v>
      </c>
      <c r="Y196" s="6">
        <f>X196*RPI_inc</f>
        <v>2869504.4114894266</v>
      </c>
      <c r="Z196" s="14">
        <f>D196+F196+H196+J196+L196+N196+P196+R196+T196+V196+X196</f>
        <v>77834792.223147</v>
      </c>
      <c r="AC196" s="14">
        <f>E196+G196+I196+K196+M196+O196+Q196+S196+U196+W196+Y196</f>
        <v>79322081.24651922</v>
      </c>
      <c r="AF196" s="51"/>
      <c r="AG196" s="6">
        <v>1266460</v>
      </c>
      <c r="AH196" s="6">
        <f>AG196/$AG$680*$AH$680</f>
        <v>953556.3539020118</v>
      </c>
      <c r="AI196" s="6">
        <v>80813509.306104</v>
      </c>
      <c r="AJ196" s="6">
        <f>AI196/$AI$680*$AJ$680</f>
        <v>55393671.58755273</v>
      </c>
      <c r="AK196" s="6">
        <f>AJ196-AH196</f>
        <v>54440115.23365072</v>
      </c>
      <c r="AL196" s="6"/>
      <c r="AM196" s="6"/>
      <c r="AN196" s="6"/>
      <c r="AO196" s="6"/>
      <c r="AP196" s="6"/>
      <c r="AQ196" s="6"/>
      <c r="AR196" s="6">
        <v>861366.232511</v>
      </c>
      <c r="AS196" s="6">
        <f>AR196/$AR$680*$AS$680</f>
        <v>844417.7521273977</v>
      </c>
      <c r="AT196" s="6">
        <v>8511286.593457</v>
      </c>
      <c r="AU196" s="6">
        <f>AT196/$AT$680*$AU$680</f>
        <v>7024395.100097682</v>
      </c>
      <c r="AV196" s="6"/>
      <c r="AW196" s="6"/>
      <c r="AX196" s="6"/>
      <c r="AY196" s="6"/>
      <c r="AZ196" s="6">
        <v>84815.077124</v>
      </c>
      <c r="BA196" s="6">
        <f>AZ196/$AZ$680*$BA$680</f>
        <v>83115.93003826821</v>
      </c>
      <c r="BB196" s="6">
        <v>4163506.767553</v>
      </c>
      <c r="BC196" s="6">
        <f>BB196/$BB$680*$BC$680</f>
        <v>4083486.943033529</v>
      </c>
      <c r="BD196" s="6"/>
      <c r="BE196" s="6"/>
      <c r="BF196" s="6"/>
      <c r="BG196" s="6"/>
      <c r="BH196" s="6">
        <v>570105.907482</v>
      </c>
      <c r="BI196" s="6"/>
      <c r="BJ196" s="6">
        <v>167236310.875364</v>
      </c>
      <c r="BK196" s="6">
        <f>BJ196/BJ194*BI194</f>
        <v>569601.6812356528</v>
      </c>
      <c r="BL196" s="6">
        <f>BH196+BK196</f>
        <v>1139707.5887176527</v>
      </c>
      <c r="BM196" s="6"/>
      <c r="BN196" s="6"/>
      <c r="BO196" s="6">
        <v>228023.962247</v>
      </c>
      <c r="BP196" s="6"/>
      <c r="BQ196" s="6">
        <f>AG196+AI196+AL196+AN196+AP196+AR196+AT196+AV196+AX196+AZ196+BB196+BD196+BF196+BH196+BK196+BM196+BO196</f>
        <v>97068675.52771366</v>
      </c>
      <c r="BT196" s="6">
        <f>AJ196+AM196+AQ196+AS196+AU196+AW196+AY196+BA196+BC196+BG196+BL196+BN196+BP196</f>
        <v>68568794.90156725</v>
      </c>
      <c r="BW196" s="52"/>
      <c r="BX196" s="6">
        <f t="shared" si="8"/>
        <v>174903467.75086066</v>
      </c>
      <c r="BY196" s="6">
        <f t="shared" si="9"/>
        <v>147890876.1480865</v>
      </c>
    </row>
    <row r="197" spans="1:77" ht="12.75">
      <c r="A197" t="s">
        <v>827</v>
      </c>
      <c r="B197" t="s">
        <v>193</v>
      </c>
      <c r="J197"/>
      <c r="K197"/>
      <c r="L197"/>
      <c r="M197"/>
      <c r="V197"/>
      <c r="X197"/>
      <c r="Z197" s="12">
        <f>Z198+Z199</f>
        <v>47593772.625113994</v>
      </c>
      <c r="AC197" s="12">
        <f>AC198+AC199</f>
        <v>48503207.77081682</v>
      </c>
      <c r="AF197" s="51"/>
      <c r="AG197"/>
      <c r="AI197"/>
      <c r="AR197"/>
      <c r="AT197"/>
      <c r="AZ197"/>
      <c r="BB197"/>
      <c r="BD197"/>
      <c r="BE197"/>
      <c r="BF197"/>
      <c r="BH197"/>
      <c r="BI197">
        <v>1029524</v>
      </c>
      <c r="BJ197" s="1">
        <v>104254194.135155</v>
      </c>
      <c r="BL197"/>
      <c r="BO197"/>
      <c r="BP197"/>
      <c r="BQ197" s="1">
        <f>BQ198+BQ199</f>
        <v>59720691.69967198</v>
      </c>
      <c r="BT197" s="1">
        <f>BT198+BT199</f>
        <v>42583335.614466205</v>
      </c>
      <c r="BW197" s="52"/>
      <c r="BX197" s="1">
        <f t="shared" si="8"/>
        <v>107314464.32478598</v>
      </c>
      <c r="BY197" s="1">
        <f t="shared" si="9"/>
        <v>91086543.38528302</v>
      </c>
    </row>
    <row r="198" spans="1:77" ht="12.75">
      <c r="A198" s="3" t="s">
        <v>828</v>
      </c>
      <c r="B198" s="3" t="s">
        <v>194</v>
      </c>
      <c r="C198" s="3" t="s">
        <v>1343</v>
      </c>
      <c r="D198" s="3"/>
      <c r="E198" s="4"/>
      <c r="F198" s="4">
        <v>9977413.705602</v>
      </c>
      <c r="G198" s="4">
        <f>F198*RPI_inc</f>
        <v>10168064.922906496</v>
      </c>
      <c r="H198" s="4"/>
      <c r="I198" s="4"/>
      <c r="J198" s="4">
        <v>233790.086447</v>
      </c>
      <c r="K198" s="4">
        <f>J198*RPI_inc</f>
        <v>238257.41293961785</v>
      </c>
      <c r="L198" s="3"/>
      <c r="M198" s="4"/>
      <c r="N198" s="4"/>
      <c r="O198" s="4"/>
      <c r="P198" s="4"/>
      <c r="Q198" s="4"/>
      <c r="R198" s="4"/>
      <c r="S198" s="4"/>
      <c r="T198" s="4">
        <v>174142.404432</v>
      </c>
      <c r="U198" s="4">
        <f>T198*RPI_inc</f>
        <v>177469.9663001274</v>
      </c>
      <c r="V198" s="3"/>
      <c r="W198" s="4"/>
      <c r="X198" s="3"/>
      <c r="Y198" s="4"/>
      <c r="Z198" s="13">
        <f>D198+F198+H198+J198+L198+N198+P198+R198+T198+V198+X198</f>
        <v>10385346.196481</v>
      </c>
      <c r="AC198" s="13">
        <f>E198+G198+I198+K198+M198+O198+Q198+S198+U198+W198+Y198</f>
        <v>10583792.302146241</v>
      </c>
      <c r="AF198" s="51"/>
      <c r="AG198" s="3"/>
      <c r="AH198" s="4"/>
      <c r="AI198" s="3"/>
      <c r="AJ198" s="4"/>
      <c r="AK198" s="4"/>
      <c r="AL198" s="4">
        <v>11022835.260927</v>
      </c>
      <c r="AM198" s="4">
        <f>AL198/$AL$680*$AM$680</f>
        <v>7380248.526032693</v>
      </c>
      <c r="AN198" s="4"/>
      <c r="AO198" s="4"/>
      <c r="AP198" s="4"/>
      <c r="AQ198" s="4"/>
      <c r="AR198" s="4">
        <v>337671.36227</v>
      </c>
      <c r="AS198" s="4">
        <f>AR198/$AR$680*$AS$680</f>
        <v>331027.2470916583</v>
      </c>
      <c r="AT198" s="3"/>
      <c r="AU198" s="4"/>
      <c r="AV198" s="4"/>
      <c r="AW198" s="4"/>
      <c r="AX198" s="4">
        <v>247034.889026</v>
      </c>
      <c r="AY198" s="4">
        <f>AX198/$AX$680*$AY$680</f>
        <v>242085.90753452573</v>
      </c>
      <c r="AZ198" s="3"/>
      <c r="BA198" s="4"/>
      <c r="BB198" s="3"/>
      <c r="BC198" s="4"/>
      <c r="BD198" s="4"/>
      <c r="BE198" s="4"/>
      <c r="BF198" s="4"/>
      <c r="BG198" s="4"/>
      <c r="BH198" s="4">
        <v>231995.046229</v>
      </c>
      <c r="BI198" s="4"/>
      <c r="BJ198" s="4">
        <v>23661919.163965</v>
      </c>
      <c r="BK198" s="4">
        <f>BJ198/BJ197*BI197</f>
        <v>233664.59131400473</v>
      </c>
      <c r="BL198" s="4">
        <f>BH198+BK198</f>
        <v>465659.6375430047</v>
      </c>
      <c r="BM198" s="4"/>
      <c r="BN198" s="4"/>
      <c r="BO198" s="4">
        <v>30424.797464</v>
      </c>
      <c r="BP198" s="4"/>
      <c r="BQ198" s="4">
        <f>AG198+AI198+AL198+AN198+AP198+AR198+AT198+AV198+AX198+AZ198+BB198+BD198+BF198+BH198+BK198+BM198+BO198</f>
        <v>12103625.947230002</v>
      </c>
      <c r="BT198" s="4">
        <f>AJ198+AM198+AQ198+AS198+AU198+AW198+AY198+BA198+BC198+BG198+BL198+BN198+BP198</f>
        <v>8419021.31820188</v>
      </c>
      <c r="BW198" s="52"/>
      <c r="BX198" s="4">
        <f t="shared" si="8"/>
        <v>22488972.143711</v>
      </c>
      <c r="BY198" s="4">
        <f t="shared" si="9"/>
        <v>19002813.620348122</v>
      </c>
    </row>
    <row r="199" spans="1:77" ht="12.75">
      <c r="A199" s="5" t="s">
        <v>829</v>
      </c>
      <c r="B199" s="5" t="s">
        <v>195</v>
      </c>
      <c r="C199" s="5" t="s">
        <v>1343</v>
      </c>
      <c r="D199" s="6">
        <v>31696307.209401</v>
      </c>
      <c r="E199" s="6">
        <f>D199*RPI_inc</f>
        <v>32301969.130599745</v>
      </c>
      <c r="F199" s="6"/>
      <c r="G199" s="6"/>
      <c r="H199" s="6"/>
      <c r="I199" s="6"/>
      <c r="J199" s="6">
        <v>779765.267614</v>
      </c>
      <c r="K199" s="6">
        <f>J199*RPI_inc</f>
        <v>794665.2408805096</v>
      </c>
      <c r="L199" s="6">
        <v>3312067.864799</v>
      </c>
      <c r="M199" s="6">
        <f>L199*RPI_inc</f>
        <v>3375355.78578242</v>
      </c>
      <c r="N199" s="6"/>
      <c r="O199" s="6"/>
      <c r="P199" s="6"/>
      <c r="Q199" s="6"/>
      <c r="R199" s="6"/>
      <c r="S199" s="6"/>
      <c r="T199" s="6"/>
      <c r="U199" s="6"/>
      <c r="V199" s="6">
        <v>50747.107149</v>
      </c>
      <c r="W199" s="6">
        <f>V199*RPI_inc</f>
        <v>51716.7970945223</v>
      </c>
      <c r="X199" s="6">
        <v>1369538.97967</v>
      </c>
      <c r="Y199" s="6">
        <f>X199*RPI_inc</f>
        <v>1395708.5143133758</v>
      </c>
      <c r="Z199" s="14">
        <f>D199+F199+H199+J199+L199+N199+P199+R199+T199+V199+X199</f>
        <v>37208426.428633</v>
      </c>
      <c r="AC199" s="14">
        <f>E199+G199+I199+K199+M199+O199+Q199+S199+U199+W199+Y199</f>
        <v>37919415.46867058</v>
      </c>
      <c r="AF199" s="51"/>
      <c r="AG199" s="6">
        <v>636499</v>
      </c>
      <c r="AH199" s="6">
        <f>AG199/$AG$680*$AH$680</f>
        <v>479239.50673710706</v>
      </c>
      <c r="AI199" s="6">
        <v>37872700.767654</v>
      </c>
      <c r="AJ199" s="6">
        <f>AI199/$AI$680*$AJ$680</f>
        <v>25959866.938962676</v>
      </c>
      <c r="AK199" s="6">
        <f>AJ199-AH199</f>
        <v>25480627.43222557</v>
      </c>
      <c r="AL199" s="6"/>
      <c r="AM199" s="6"/>
      <c r="AN199" s="6"/>
      <c r="AO199" s="6"/>
      <c r="AP199" s="6"/>
      <c r="AQ199" s="6"/>
      <c r="AR199" s="6">
        <v>1126242.793987</v>
      </c>
      <c r="AS199" s="6">
        <f>AR199/$AR$680*$AS$680</f>
        <v>1104082.529072252</v>
      </c>
      <c r="AT199" s="6">
        <v>4189493.65873</v>
      </c>
      <c r="AU199" s="6">
        <f>AT199/$AT$680*$AU$680</f>
        <v>3457604.0185154174</v>
      </c>
      <c r="AV199" s="6"/>
      <c r="AW199" s="6"/>
      <c r="AX199" s="6"/>
      <c r="AY199" s="6"/>
      <c r="AZ199" s="6">
        <v>71988.818867</v>
      </c>
      <c r="BA199" s="6">
        <f>AZ199/$AZ$680*$BA$680</f>
        <v>70546.6272669817</v>
      </c>
      <c r="BB199" s="6">
        <v>2025102.948652</v>
      </c>
      <c r="BC199" s="6">
        <f>BB199/$BB$680*$BC$680</f>
        <v>1986181.8199900102</v>
      </c>
      <c r="BD199" s="6"/>
      <c r="BE199" s="6"/>
      <c r="BF199" s="6"/>
      <c r="BG199" s="6"/>
      <c r="BH199" s="6">
        <v>790172.953771</v>
      </c>
      <c r="BI199" s="6"/>
      <c r="BJ199" s="6">
        <v>80592274.971189</v>
      </c>
      <c r="BK199" s="6">
        <f>BJ199/BJ197*BI197</f>
        <v>795859.4086859855</v>
      </c>
      <c r="BL199" s="6">
        <f>BH199+BK199</f>
        <v>1586032.3624569855</v>
      </c>
      <c r="BM199" s="6"/>
      <c r="BN199" s="6"/>
      <c r="BO199" s="6">
        <v>109005.402095</v>
      </c>
      <c r="BP199" s="6"/>
      <c r="BQ199" s="6">
        <f>AG199+AI199+AL199+AN199+AP199+AR199+AT199+AV199+AX199+AZ199+BB199+BD199+BF199+BH199+BK199+BM199+BO199</f>
        <v>47617065.75244198</v>
      </c>
      <c r="BT199" s="6">
        <f>AJ199+AM199+AQ199+AS199+AU199+AW199+AY199+BA199+BC199+BG199+BL199+BN199+BP199</f>
        <v>34164314.29626432</v>
      </c>
      <c r="BW199" s="52"/>
      <c r="BX199" s="6">
        <f t="shared" si="8"/>
        <v>84825492.18107498</v>
      </c>
      <c r="BY199" s="6">
        <f t="shared" si="9"/>
        <v>72083729.7649349</v>
      </c>
    </row>
    <row r="200" spans="1:77" ht="12.75">
      <c r="A200" t="s">
        <v>830</v>
      </c>
      <c r="B200" t="s">
        <v>196</v>
      </c>
      <c r="J200"/>
      <c r="K200"/>
      <c r="L200"/>
      <c r="M200"/>
      <c r="V200"/>
      <c r="X200"/>
      <c r="Z200" s="12">
        <f>Z201+Z202</f>
        <v>20104295.656287</v>
      </c>
      <c r="AC200" s="12">
        <f>AC201+AC202</f>
        <v>20488454.172012232</v>
      </c>
      <c r="AF200" s="51"/>
      <c r="AG200"/>
      <c r="AI200"/>
      <c r="AR200"/>
      <c r="AT200"/>
      <c r="AZ200"/>
      <c r="BB200"/>
      <c r="BD200"/>
      <c r="BE200"/>
      <c r="BF200"/>
      <c r="BH200"/>
      <c r="BI200">
        <v>1189345</v>
      </c>
      <c r="BJ200" s="1">
        <v>7949119.010167</v>
      </c>
      <c r="BL200"/>
      <c r="BO200"/>
      <c r="BP200"/>
      <c r="BQ200" s="1">
        <f>BQ201+BQ202</f>
        <v>27370179.915379</v>
      </c>
      <c r="BT200" s="1">
        <f>BT201+BT202</f>
        <v>21572067.891060926</v>
      </c>
      <c r="BW200" s="52"/>
      <c r="BX200" s="1">
        <f t="shared" si="8"/>
        <v>47474475.571666</v>
      </c>
      <c r="BY200" s="1">
        <f t="shared" si="9"/>
        <v>42060522.06307316</v>
      </c>
    </row>
    <row r="201" spans="1:77" ht="12.75">
      <c r="A201" s="3" t="s">
        <v>831</v>
      </c>
      <c r="B201" s="3" t="s">
        <v>197</v>
      </c>
      <c r="C201" s="3" t="s">
        <v>1343</v>
      </c>
      <c r="D201" s="3"/>
      <c r="E201" s="4"/>
      <c r="F201" s="4">
        <v>11751953.409821</v>
      </c>
      <c r="G201" s="4">
        <f>F201*RPI_inc</f>
        <v>11976513.029116943</v>
      </c>
      <c r="H201" s="4"/>
      <c r="I201" s="4"/>
      <c r="J201" s="4">
        <v>827522.145199</v>
      </c>
      <c r="K201" s="4">
        <f>J201*RPI_inc</f>
        <v>843334.6702664968</v>
      </c>
      <c r="L201" s="3"/>
      <c r="M201" s="4"/>
      <c r="N201" s="4"/>
      <c r="O201" s="4"/>
      <c r="P201" s="4"/>
      <c r="Q201" s="4"/>
      <c r="R201" s="4"/>
      <c r="S201" s="4"/>
      <c r="T201" s="4">
        <v>242989.448891</v>
      </c>
      <c r="U201" s="4">
        <f>T201*RPI_inc</f>
        <v>247632.55937936305</v>
      </c>
      <c r="V201" s="3"/>
      <c r="W201" s="4"/>
      <c r="X201" s="3"/>
      <c r="Y201" s="4"/>
      <c r="Z201" s="13">
        <f>D201+F201+H201+J201+L201+N201+P201+R201+T201+V201+X201</f>
        <v>12822465.003911002</v>
      </c>
      <c r="AC201" s="13">
        <f>E201+G201+I201+K201+M201+O201+Q201+S201+U201+W201+Y201</f>
        <v>13067480.258762803</v>
      </c>
      <c r="AF201" s="51"/>
      <c r="AG201" s="3"/>
      <c r="AH201" s="4"/>
      <c r="AI201" s="3"/>
      <c r="AJ201" s="4"/>
      <c r="AK201" s="4"/>
      <c r="AL201" s="4">
        <v>12983309.127274</v>
      </c>
      <c r="AM201" s="4">
        <f>AL201/$AL$680*$AM$680</f>
        <v>8692867.64987291</v>
      </c>
      <c r="AN201" s="4"/>
      <c r="AO201" s="4"/>
      <c r="AP201" s="4"/>
      <c r="AQ201" s="4"/>
      <c r="AR201" s="4">
        <v>1195219.755998</v>
      </c>
      <c r="AS201" s="4">
        <f>AR201/$AR$680*$AS$680</f>
        <v>1171702.2812885798</v>
      </c>
      <c r="AT201" s="3"/>
      <c r="AU201" s="4"/>
      <c r="AV201" s="4"/>
      <c r="AW201" s="4"/>
      <c r="AX201" s="4">
        <v>344699.912334</v>
      </c>
      <c r="AY201" s="4">
        <f>AX201/$AX$680*$AY$680</f>
        <v>337794.35541861947</v>
      </c>
      <c r="AZ201" s="3"/>
      <c r="BA201" s="4"/>
      <c r="BB201" s="3"/>
      <c r="BC201" s="4"/>
      <c r="BD201" s="4"/>
      <c r="BE201" s="4"/>
      <c r="BF201" s="4"/>
      <c r="BG201" s="4"/>
      <c r="BH201" s="4">
        <v>1236396.069495</v>
      </c>
      <c r="BI201" s="4"/>
      <c r="BJ201" s="4">
        <v>8354010.550291</v>
      </c>
      <c r="BK201" s="4">
        <f>BJ201/BJ200*BI200</f>
        <v>1249924.7608732318</v>
      </c>
      <c r="BL201" s="4">
        <f>BH201+BK201</f>
        <v>2486320.830368232</v>
      </c>
      <c r="BM201" s="4"/>
      <c r="BN201" s="4"/>
      <c r="BO201" s="4">
        <v>37564.554262</v>
      </c>
      <c r="BP201" s="4"/>
      <c r="BQ201" s="4">
        <f>AG201+AI201+AL201+AN201+AP201+AR201+AT201+AV201+AX201+AZ201+BB201+BD201+BF201+BH201+BK201+BM201+BO201</f>
        <v>17047114.18023623</v>
      </c>
      <c r="BT201" s="4">
        <f>AJ201+AM201+AQ201+AS201+AU201+AW201+AY201+BA201+BC201+BG201+BL201+BN201+BP201</f>
        <v>12688685.11694834</v>
      </c>
      <c r="BW201" s="52"/>
      <c r="BX201" s="4">
        <f t="shared" si="8"/>
        <v>29869579.18414723</v>
      </c>
      <c r="BY201" s="4">
        <f t="shared" si="9"/>
        <v>25756165.375711143</v>
      </c>
    </row>
    <row r="202" spans="1:77" ht="12.75">
      <c r="A202" s="5" t="s">
        <v>832</v>
      </c>
      <c r="B202" s="5" t="s">
        <v>198</v>
      </c>
      <c r="C202" s="5" t="s">
        <v>1343</v>
      </c>
      <c r="D202" s="6">
        <v>1070477.995631</v>
      </c>
      <c r="E202" s="6">
        <f>D202*RPI_inc</f>
        <v>1090932.9891780892</v>
      </c>
      <c r="F202" s="6"/>
      <c r="G202" s="6"/>
      <c r="H202" s="6"/>
      <c r="I202" s="6"/>
      <c r="J202" s="6">
        <v>342924.447825</v>
      </c>
      <c r="K202" s="6">
        <f>J202*RPI_inc</f>
        <v>349477.1442802548</v>
      </c>
      <c r="L202" s="6">
        <v>1971261.758259</v>
      </c>
      <c r="M202" s="6">
        <f>L202*RPI_inc</f>
        <v>2008929.1803913375</v>
      </c>
      <c r="N202" s="6"/>
      <c r="O202" s="6"/>
      <c r="P202" s="6"/>
      <c r="Q202" s="6"/>
      <c r="R202" s="6"/>
      <c r="S202" s="6"/>
      <c r="T202" s="6"/>
      <c r="U202" s="6"/>
      <c r="V202" s="6">
        <v>53027.87601</v>
      </c>
      <c r="W202" s="6">
        <f>V202*RPI_inc</f>
        <v>54041.14752611465</v>
      </c>
      <c r="X202" s="6">
        <v>3844138.574651</v>
      </c>
      <c r="Y202" s="6">
        <f>X202*RPI_inc</f>
        <v>3917593.4518736308</v>
      </c>
      <c r="Z202" s="14">
        <f>D202+F202+H202+J202+L202+N202+P202+R202+T202+V202+X202</f>
        <v>7281830.652376</v>
      </c>
      <c r="AC202" s="14">
        <f>E202+G202+I202+K202+M202+O202+Q202+S202+U202+W202+Y202</f>
        <v>7420973.913249427</v>
      </c>
      <c r="AF202" s="51"/>
      <c r="AG202" s="6">
        <v>394926</v>
      </c>
      <c r="AH202" s="6">
        <f>AG202/$AG$680*$AH$680</f>
        <v>297351.8284202469</v>
      </c>
      <c r="AI202" s="6">
        <v>1279073.064855</v>
      </c>
      <c r="AJ202" s="6">
        <f>AI202/$AI$680*$AJ$680</f>
        <v>876741.4495352298</v>
      </c>
      <c r="AK202" s="6">
        <f>AJ202-AH202</f>
        <v>579389.621114983</v>
      </c>
      <c r="AL202" s="6"/>
      <c r="AM202" s="6"/>
      <c r="AN202" s="6"/>
      <c r="AO202" s="6"/>
      <c r="AP202" s="6"/>
      <c r="AQ202" s="6"/>
      <c r="AR202" s="6">
        <v>495298.013755</v>
      </c>
      <c r="AS202" s="6">
        <f>AR202/$AR$680*$AS$680</f>
        <v>485552.3929571049</v>
      </c>
      <c r="AT202" s="6">
        <v>2493484.123226</v>
      </c>
      <c r="AU202" s="6">
        <f>AT202/$AT$680*$AU$680</f>
        <v>2057881.3161837123</v>
      </c>
      <c r="AV202" s="6"/>
      <c r="AW202" s="6"/>
      <c r="AX202" s="6"/>
      <c r="AY202" s="6"/>
      <c r="AZ202" s="6">
        <v>75224.2714</v>
      </c>
      <c r="BA202" s="6">
        <f>AZ202/$AZ$680*$BA$680</f>
        <v>73717.26219998786</v>
      </c>
      <c r="BB202" s="6">
        <v>5684231.320254</v>
      </c>
      <c r="BC202" s="6">
        <f>BB202/$BB$680*$BC$680</f>
        <v>5574984.183604783</v>
      </c>
      <c r="BD202" s="6"/>
      <c r="BE202" s="6"/>
      <c r="BF202" s="6"/>
      <c r="BG202" s="6"/>
      <c r="BH202" s="6">
        <v>-59924.069495</v>
      </c>
      <c r="BI202" s="6"/>
      <c r="BJ202" s="6">
        <v>-404891.540124</v>
      </c>
      <c r="BK202" s="6">
        <f>BJ202/BJ200*BI200</f>
        <v>-60579.760873231906</v>
      </c>
      <c r="BL202" s="6">
        <f>BH202+BK202</f>
        <v>-120503.83036823191</v>
      </c>
      <c r="BM202" s="6"/>
      <c r="BN202" s="6"/>
      <c r="BO202" s="6">
        <v>21332.772021</v>
      </c>
      <c r="BP202" s="6">
        <v>-64990</v>
      </c>
      <c r="BQ202" s="6">
        <f>AG202+AI202+AL202+AN202+AP202+AR202+AT202+AV202+AX202+AZ202+BB202+BD202+BF202+BH202+BK202+BM202+BO202</f>
        <v>10323065.735142767</v>
      </c>
      <c r="BT202" s="6">
        <f>AJ202+AM202+AQ202+AS202+AU202+AW202+AY202+BA202+BC202+BG202+BL202+BN202+BP202</f>
        <v>8883382.774112586</v>
      </c>
      <c r="BW202" s="52"/>
      <c r="BX202" s="6">
        <f t="shared" si="8"/>
        <v>17604896.387518767</v>
      </c>
      <c r="BY202" s="6">
        <f t="shared" si="9"/>
        <v>16304356.687362013</v>
      </c>
    </row>
    <row r="203" spans="1:77" ht="12.75">
      <c r="A203" t="s">
        <v>833</v>
      </c>
      <c r="B203" t="s">
        <v>199</v>
      </c>
      <c r="J203"/>
      <c r="K203"/>
      <c r="L203"/>
      <c r="M203"/>
      <c r="V203"/>
      <c r="X203"/>
      <c r="Z203" s="12">
        <f>Z204+Z205</f>
        <v>32433328.281380005</v>
      </c>
      <c r="AC203" s="12">
        <f>AC204+AC205</f>
        <v>33053073.407775797</v>
      </c>
      <c r="AF203" s="51"/>
      <c r="AG203"/>
      <c r="AI203"/>
      <c r="AR203"/>
      <c r="AT203"/>
      <c r="AZ203"/>
      <c r="BB203"/>
      <c r="BD203"/>
      <c r="BE203"/>
      <c r="BF203"/>
      <c r="BH203"/>
      <c r="BI203">
        <v>859377</v>
      </c>
      <c r="BJ203" s="1">
        <v>43250307.928508</v>
      </c>
      <c r="BL203"/>
      <c r="BO203"/>
      <c r="BP203"/>
      <c r="BQ203" s="1">
        <f>BQ204+BQ205</f>
        <v>43070472.000253014</v>
      </c>
      <c r="BT203" s="1">
        <f>BT204+BT205</f>
        <v>33621767.985692546</v>
      </c>
      <c r="BW203" s="52"/>
      <c r="BX203" s="1">
        <f t="shared" si="8"/>
        <v>75503800.28163302</v>
      </c>
      <c r="BY203" s="1">
        <f t="shared" si="9"/>
        <v>66674841.39346834</v>
      </c>
    </row>
    <row r="204" spans="1:77" ht="12.75">
      <c r="A204" s="3" t="s">
        <v>834</v>
      </c>
      <c r="B204" s="3" t="s">
        <v>200</v>
      </c>
      <c r="C204" s="3" t="s">
        <v>1343</v>
      </c>
      <c r="D204" s="3"/>
      <c r="E204" s="4"/>
      <c r="F204" s="4">
        <v>6038681.942779</v>
      </c>
      <c r="G204" s="4">
        <f>F204*RPI_inc</f>
        <v>6154070.769711083</v>
      </c>
      <c r="H204" s="4"/>
      <c r="I204" s="4"/>
      <c r="J204" s="4">
        <v>240168.413008</v>
      </c>
      <c r="K204" s="4">
        <f>J204*RPI_inc</f>
        <v>244757.6183521019</v>
      </c>
      <c r="L204" s="3"/>
      <c r="M204" s="4"/>
      <c r="N204" s="4"/>
      <c r="O204" s="4"/>
      <c r="P204" s="4"/>
      <c r="Q204" s="4"/>
      <c r="R204" s="4"/>
      <c r="S204" s="4"/>
      <c r="T204" s="4">
        <v>162912.061474</v>
      </c>
      <c r="U204" s="4">
        <f>T204*RPI_inc</f>
        <v>166025.03080152866</v>
      </c>
      <c r="V204" s="3"/>
      <c r="W204" s="4"/>
      <c r="X204" s="3"/>
      <c r="Y204" s="4"/>
      <c r="Z204" s="13">
        <f>D204+F204+H204+J204+L204+N204+P204+R204+T204+V204+X204</f>
        <v>6441762.417261</v>
      </c>
      <c r="AC204" s="13">
        <f>E204+G204+I204+K204+M204+O204+Q204+S204+U204+W204+Y204</f>
        <v>6564853.418864714</v>
      </c>
      <c r="AF204" s="51"/>
      <c r="AG204" s="3"/>
      <c r="AH204" s="4"/>
      <c r="AI204" s="3"/>
      <c r="AJ204" s="4"/>
      <c r="AK204" s="4"/>
      <c r="AL204" s="4">
        <v>6671407.863042</v>
      </c>
      <c r="AM204" s="4">
        <f>AL204/$AL$680*$AM$680</f>
        <v>4466786.165471362</v>
      </c>
      <c r="AN204" s="4"/>
      <c r="AO204" s="4"/>
      <c r="AP204" s="4"/>
      <c r="AQ204" s="4"/>
      <c r="AR204" s="4">
        <v>346883.806868</v>
      </c>
      <c r="AS204" s="4">
        <f>AR204/$AR$680*$AS$680</f>
        <v>340058.4250801012</v>
      </c>
      <c r="AT204" s="3"/>
      <c r="AU204" s="4"/>
      <c r="AV204" s="4"/>
      <c r="AW204" s="4"/>
      <c r="AX204" s="4">
        <v>231103.75189</v>
      </c>
      <c r="AY204" s="4">
        <f>AX204/$AX$680*$AY$680</f>
        <v>226473.92735297483</v>
      </c>
      <c r="AZ204" s="3"/>
      <c r="BA204" s="4"/>
      <c r="BB204" s="3"/>
      <c r="BC204" s="4"/>
      <c r="BD204" s="4"/>
      <c r="BE204" s="4"/>
      <c r="BF204" s="4"/>
      <c r="BG204" s="4"/>
      <c r="BH204" s="4">
        <v>223859.307271</v>
      </c>
      <c r="BI204" s="4"/>
      <c r="BJ204" s="4">
        <v>11704993.033002</v>
      </c>
      <c r="BK204" s="4">
        <f>BJ204/BJ203*BI203</f>
        <v>232576.4203655963</v>
      </c>
      <c r="BL204" s="4">
        <f>BH204+BK204</f>
        <v>456435.7276365963</v>
      </c>
      <c r="BM204" s="4"/>
      <c r="BN204" s="4"/>
      <c r="BO204" s="4">
        <v>18871.71724</v>
      </c>
      <c r="BP204" s="4"/>
      <c r="BQ204" s="4">
        <f>AG204+AI204+AL204+AN204+AP204+AR204+AT204+AV204+AX204+AZ204+BB204+BD204+BF204+BH204+BK204+BM204+BO204</f>
        <v>7724702.866676596</v>
      </c>
      <c r="BT204" s="4">
        <f>AJ204+AM204+AQ204+AS204+AU204+AW204+AY204+BA204+BC204+BG204+BL204+BN204+BP204</f>
        <v>5489754.245541034</v>
      </c>
      <c r="BW204" s="52"/>
      <c r="BX204" s="4">
        <f t="shared" si="8"/>
        <v>14166465.283937596</v>
      </c>
      <c r="BY204" s="4">
        <f t="shared" si="9"/>
        <v>12054607.664405748</v>
      </c>
    </row>
    <row r="205" spans="1:77" ht="12.75">
      <c r="A205" s="5" t="s">
        <v>835</v>
      </c>
      <c r="B205" s="5" t="s">
        <v>201</v>
      </c>
      <c r="C205" s="5" t="s">
        <v>1343</v>
      </c>
      <c r="D205" s="6">
        <v>15247954.4933</v>
      </c>
      <c r="E205" s="6">
        <f>D205*RPI_inc</f>
        <v>15539316.681070063</v>
      </c>
      <c r="F205" s="6"/>
      <c r="G205" s="6"/>
      <c r="H205" s="6"/>
      <c r="I205" s="6"/>
      <c r="J205" s="6">
        <v>618796.020399</v>
      </c>
      <c r="K205" s="6">
        <f>J205*RPI_inc</f>
        <v>630620.1481773249</v>
      </c>
      <c r="L205" s="6">
        <v>2552563.356739</v>
      </c>
      <c r="M205" s="6">
        <f>L205*RPI_inc</f>
        <v>2601338.4527276433</v>
      </c>
      <c r="N205" s="6"/>
      <c r="O205" s="6"/>
      <c r="P205" s="6"/>
      <c r="Q205" s="6"/>
      <c r="R205" s="6"/>
      <c r="S205" s="6"/>
      <c r="T205" s="6"/>
      <c r="U205" s="6"/>
      <c r="V205" s="6">
        <v>50910.019211</v>
      </c>
      <c r="W205" s="6">
        <f>V205*RPI_inc</f>
        <v>51882.82212585987</v>
      </c>
      <c r="X205" s="6">
        <v>7521341.97447</v>
      </c>
      <c r="Y205" s="6">
        <f>X205*RPI_inc</f>
        <v>7665061.884810191</v>
      </c>
      <c r="Z205" s="14">
        <f>D205+F205+H205+J205+L205+N205+P205+R205+T205+V205+X205</f>
        <v>25991565.864119004</v>
      </c>
      <c r="AC205" s="14">
        <f>E205+G205+I205+K205+M205+O205+Q205+S205+U205+W205+Y205</f>
        <v>26488219.98891108</v>
      </c>
      <c r="AF205" s="51"/>
      <c r="AG205" s="6">
        <v>503949</v>
      </c>
      <c r="AH205" s="6">
        <f>AG205/$AG$680*$AH$680</f>
        <v>379438.5697081352</v>
      </c>
      <c r="AI205" s="6">
        <v>18219195.505282</v>
      </c>
      <c r="AJ205" s="6">
        <f>AI205/$AI$680*$AJ$680</f>
        <v>12488359.199775267</v>
      </c>
      <c r="AK205" s="6">
        <f>AJ205-AH205</f>
        <v>12108920.630067132</v>
      </c>
      <c r="AL205" s="6"/>
      <c r="AM205" s="6"/>
      <c r="AN205" s="6"/>
      <c r="AO205" s="6"/>
      <c r="AP205" s="6"/>
      <c r="AQ205" s="6"/>
      <c r="AR205" s="6">
        <v>893749.167688</v>
      </c>
      <c r="AS205" s="6">
        <f>AR205/$AR$680*$AS$680</f>
        <v>876163.5117095165</v>
      </c>
      <c r="AT205" s="6">
        <v>3228782.873148</v>
      </c>
      <c r="AU205" s="6">
        <f>AT205/$AT$680*$AU$680</f>
        <v>2664725.989940866</v>
      </c>
      <c r="AV205" s="6"/>
      <c r="AW205" s="6"/>
      <c r="AX205" s="6"/>
      <c r="AY205" s="6"/>
      <c r="AZ205" s="6">
        <v>72219.922619</v>
      </c>
      <c r="BA205" s="6">
        <f>AZ205/$AZ$680*$BA$680</f>
        <v>70773.10119041787</v>
      </c>
      <c r="BB205" s="6">
        <v>11121619.78331</v>
      </c>
      <c r="BC205" s="6">
        <f>BB205/$BB$680*$BC$680</f>
        <v>10907869.665172018</v>
      </c>
      <c r="BD205" s="6"/>
      <c r="BE205" s="6"/>
      <c r="BF205" s="6"/>
      <c r="BG205" s="6"/>
      <c r="BH205" s="6">
        <v>603307.692729</v>
      </c>
      <c r="BI205" s="6"/>
      <c r="BJ205" s="6">
        <v>31545314.895507</v>
      </c>
      <c r="BK205" s="6">
        <f>BJ205/BJ203*BI203</f>
        <v>626800.5796344236</v>
      </c>
      <c r="BL205" s="6">
        <f>BH205+BK205</f>
        <v>1230108.2723634236</v>
      </c>
      <c r="BM205" s="6"/>
      <c r="BN205" s="6"/>
      <c r="BO205" s="6">
        <v>76144.609166</v>
      </c>
      <c r="BP205" s="6">
        <v>-105986</v>
      </c>
      <c r="BQ205" s="6">
        <f>AG205+AI205+AL205+AN205+AP205+AR205+AT205+AV205+AX205+AZ205+BB205+BD205+BF205+BH205+BK205+BM205+BO205</f>
        <v>35345769.133576415</v>
      </c>
      <c r="BT205" s="6">
        <f>AJ205+AM205+AQ205+AS205+AU205+AW205+AY205+BA205+BC205+BG205+BL205+BN205+BP205</f>
        <v>28132013.74015151</v>
      </c>
      <c r="BW205" s="52"/>
      <c r="BX205" s="6">
        <f t="shared" si="8"/>
        <v>61337334.997695416</v>
      </c>
      <c r="BY205" s="6">
        <f t="shared" si="9"/>
        <v>54620233.72906259</v>
      </c>
    </row>
    <row r="206" spans="1:77" ht="12.75">
      <c r="A206" t="s">
        <v>836</v>
      </c>
      <c r="B206" t="s">
        <v>202</v>
      </c>
      <c r="J206"/>
      <c r="K206"/>
      <c r="L206"/>
      <c r="M206"/>
      <c r="V206"/>
      <c r="X206"/>
      <c r="Z206" s="12">
        <f>Z207+Z208</f>
        <v>62481161.797546</v>
      </c>
      <c r="AC206" s="12">
        <f>AC207+AC208</f>
        <v>63675069.347817585</v>
      </c>
      <c r="AF206" s="51"/>
      <c r="AG206"/>
      <c r="AI206"/>
      <c r="AR206"/>
      <c r="AT206"/>
      <c r="AZ206"/>
      <c r="BB206"/>
      <c r="BD206"/>
      <c r="BE206"/>
      <c r="BF206"/>
      <c r="BH206"/>
      <c r="BI206">
        <v>920681</v>
      </c>
      <c r="BJ206" s="1">
        <v>127369958.890524</v>
      </c>
      <c r="BL206"/>
      <c r="BO206"/>
      <c r="BP206"/>
      <c r="BQ206" s="1">
        <f>BQ207+BQ208</f>
        <v>77924285.76041299</v>
      </c>
      <c r="BT206" s="1">
        <f>BT207+BT208</f>
        <v>55524656.23496142</v>
      </c>
      <c r="BW206" s="52"/>
      <c r="BX206" s="1">
        <f t="shared" si="8"/>
        <v>140405447.557959</v>
      </c>
      <c r="BY206" s="1">
        <f t="shared" si="9"/>
        <v>119199725.582779</v>
      </c>
    </row>
    <row r="207" spans="1:77" ht="12.75">
      <c r="A207" s="3" t="s">
        <v>837</v>
      </c>
      <c r="B207" s="3" t="s">
        <v>203</v>
      </c>
      <c r="C207" s="3" t="s">
        <v>1343</v>
      </c>
      <c r="D207" s="3"/>
      <c r="E207" s="4"/>
      <c r="F207" s="4">
        <v>12743325.167235</v>
      </c>
      <c r="G207" s="4">
        <f>F207*RPI_inc</f>
        <v>12986828.19590828</v>
      </c>
      <c r="H207" s="4"/>
      <c r="I207" s="4"/>
      <c r="J207" s="4">
        <v>183549.487638</v>
      </c>
      <c r="K207" s="4">
        <f>J207*RPI_inc</f>
        <v>187056.80268840762</v>
      </c>
      <c r="L207" s="3"/>
      <c r="M207" s="4"/>
      <c r="N207" s="4"/>
      <c r="O207" s="4"/>
      <c r="P207" s="4"/>
      <c r="Q207" s="4"/>
      <c r="R207" s="4"/>
      <c r="S207" s="4"/>
      <c r="T207" s="4">
        <v>202491.139529</v>
      </c>
      <c r="U207" s="4">
        <f>T207*RPI_inc</f>
        <v>206360.3969722293</v>
      </c>
      <c r="V207" s="3"/>
      <c r="W207" s="4"/>
      <c r="X207" s="3"/>
      <c r="Y207" s="4"/>
      <c r="Z207" s="13">
        <f>D207+F207+H207+J207+L207+N207+P207+R207+T207+V207+X207</f>
        <v>13129365.794402</v>
      </c>
      <c r="AC207" s="13">
        <f>E207+G207+I207+K207+M207+O207+Q207+S207+U207+W207+Y207</f>
        <v>13380245.395568917</v>
      </c>
      <c r="AF207" s="51"/>
      <c r="AG207" s="3"/>
      <c r="AH207" s="4"/>
      <c r="AI207" s="3"/>
      <c r="AJ207" s="4"/>
      <c r="AK207" s="4"/>
      <c r="AL207" s="4">
        <v>14078555.639722</v>
      </c>
      <c r="AM207" s="4">
        <f>AL207/$AL$680*$AM$680</f>
        <v>9426180.927972019</v>
      </c>
      <c r="AN207" s="4"/>
      <c r="AO207" s="4"/>
      <c r="AP207" s="4"/>
      <c r="AQ207" s="4"/>
      <c r="AR207" s="4">
        <v>265107.073088</v>
      </c>
      <c r="AS207" s="4">
        <f>AR207/$AR$680*$AS$680</f>
        <v>259890.75294658003</v>
      </c>
      <c r="AT207" s="3"/>
      <c r="AU207" s="4"/>
      <c r="AV207" s="4"/>
      <c r="AW207" s="4"/>
      <c r="AX207" s="4">
        <v>287249.830652</v>
      </c>
      <c r="AY207" s="4">
        <f>AX207/$AX$680*$AY$680</f>
        <v>281495.20181827183</v>
      </c>
      <c r="AZ207" s="3"/>
      <c r="BA207" s="4"/>
      <c r="BB207" s="3"/>
      <c r="BC207" s="4"/>
      <c r="BD207" s="4"/>
      <c r="BE207" s="4"/>
      <c r="BF207" s="4"/>
      <c r="BG207" s="4"/>
      <c r="BH207" s="4">
        <v>208961.529104</v>
      </c>
      <c r="BI207" s="4"/>
      <c r="BJ207" s="4">
        <v>29242767.017073</v>
      </c>
      <c r="BK207" s="4">
        <f>BJ207/BJ206*BI206</f>
        <v>211378.41461648466</v>
      </c>
      <c r="BL207" s="4">
        <f aca="true" t="shared" si="10" ref="BL207:BL260">BH207+BK207</f>
        <v>420339.9437204846</v>
      </c>
      <c r="BM207" s="4"/>
      <c r="BN207" s="4"/>
      <c r="BO207" s="4">
        <v>38463.647486</v>
      </c>
      <c r="BP207" s="4"/>
      <c r="BQ207" s="4">
        <f aca="true" t="shared" si="11" ref="BQ207:BQ269">AG207+AI207+AL207+AN207+AP207+AR207+AT207+AV207+AX207+AZ207+BB207+BD207+BF207+BH207+BK207+BM207+BO207</f>
        <v>15089716.134668484</v>
      </c>
      <c r="BT207" s="4">
        <f aca="true" t="shared" si="12" ref="BT207:BT269">AJ207+AM207+AQ207+AS207+AU207+AW207+AY207+BA207+BC207+BG207+BL207+BN207+BP207</f>
        <v>10387906.826457355</v>
      </c>
      <c r="BW207" s="52"/>
      <c r="BX207" s="4">
        <f t="shared" si="8"/>
        <v>28219081.929070484</v>
      </c>
      <c r="BY207" s="4">
        <f t="shared" si="9"/>
        <v>23768152.222026274</v>
      </c>
    </row>
    <row r="208" spans="1:77" ht="12.75">
      <c r="A208" s="5" t="s">
        <v>838</v>
      </c>
      <c r="B208" s="5" t="s">
        <v>204</v>
      </c>
      <c r="C208" s="5" t="s">
        <v>1343</v>
      </c>
      <c r="D208" s="6">
        <v>40883552.533909</v>
      </c>
      <c r="E208" s="6">
        <f>D208*RPI_inc</f>
        <v>41664766.91353784</v>
      </c>
      <c r="F208" s="6"/>
      <c r="G208" s="6"/>
      <c r="H208" s="6"/>
      <c r="I208" s="6"/>
      <c r="J208" s="6">
        <v>706591.834253</v>
      </c>
      <c r="K208" s="6">
        <f>J208*RPI_inc</f>
        <v>720093.5890476432</v>
      </c>
      <c r="L208" s="6">
        <v>4627179.993241</v>
      </c>
      <c r="M208" s="6">
        <f>L208*RPI_inc</f>
        <v>4715597.445341147</v>
      </c>
      <c r="N208" s="6"/>
      <c r="O208" s="6"/>
      <c r="P208" s="6"/>
      <c r="Q208" s="6"/>
      <c r="R208" s="6"/>
      <c r="S208" s="6"/>
      <c r="T208" s="6"/>
      <c r="U208" s="6"/>
      <c r="V208" s="6">
        <v>51806.035549</v>
      </c>
      <c r="W208" s="6">
        <f>V208*RPI_inc</f>
        <v>52795.95979515924</v>
      </c>
      <c r="X208" s="6">
        <v>3082665.606192</v>
      </c>
      <c r="Y208" s="6">
        <f>X208*RPI_inc</f>
        <v>3141570.044526879</v>
      </c>
      <c r="Z208" s="14">
        <f>D208+F208+H208+J208+L208+N208+P208+R208+T208+V208+X208</f>
        <v>49351796.003143996</v>
      </c>
      <c r="AC208" s="14">
        <f>E208+G208+I208+K208+M208+O208+Q208+S208+U208+W208+Y208</f>
        <v>50294823.95224867</v>
      </c>
      <c r="AF208" s="51"/>
      <c r="AG208" s="6">
        <v>923997</v>
      </c>
      <c r="AH208" s="6">
        <f>AG208/$AG$680*$AH$680</f>
        <v>695705.5180079885</v>
      </c>
      <c r="AI208" s="6">
        <v>48850187.537813</v>
      </c>
      <c r="AJ208" s="6">
        <f>AI208/$AI$680*$AJ$680</f>
        <v>33484392.259346984</v>
      </c>
      <c r="AK208" s="6">
        <f>AJ208-AH208</f>
        <v>32788686.741338994</v>
      </c>
      <c r="AL208" s="6"/>
      <c r="AM208" s="6"/>
      <c r="AN208" s="6"/>
      <c r="AO208" s="6"/>
      <c r="AP208" s="6"/>
      <c r="AQ208" s="6"/>
      <c r="AR208" s="6">
        <v>1020555.793735</v>
      </c>
      <c r="AS208" s="6">
        <f>AR208/$AR$680*$AS$680</f>
        <v>1000475.055487267</v>
      </c>
      <c r="AT208" s="6">
        <v>5853002.423506</v>
      </c>
      <c r="AU208" s="6">
        <f>AT208/$AT$680*$AU$680</f>
        <v>4830503.719160554</v>
      </c>
      <c r="AV208" s="6"/>
      <c r="AW208" s="6"/>
      <c r="AX208" s="6"/>
      <c r="AY208" s="6"/>
      <c r="AZ208" s="6">
        <v>73490.993257</v>
      </c>
      <c r="BA208" s="6">
        <f>AZ208/$AZ$680*$BA$680</f>
        <v>72018.7077712767</v>
      </c>
      <c r="BB208" s="6">
        <v>4558260.335394</v>
      </c>
      <c r="BC208" s="6">
        <f>BB208/$BB$680*$BC$680</f>
        <v>4470653.610458456</v>
      </c>
      <c r="BD208" s="6"/>
      <c r="BE208" s="6"/>
      <c r="BF208" s="6"/>
      <c r="BG208" s="6"/>
      <c r="BH208" s="6">
        <v>701192.470896</v>
      </c>
      <c r="BI208" s="6"/>
      <c r="BJ208" s="6">
        <v>98127191.873451</v>
      </c>
      <c r="BK208" s="6">
        <f>BJ208/BJ206*BI206</f>
        <v>709302.5853835153</v>
      </c>
      <c r="BL208" s="6">
        <f t="shared" si="10"/>
        <v>1410495.0562795154</v>
      </c>
      <c r="BM208" s="6"/>
      <c r="BN208" s="6"/>
      <c r="BO208" s="6">
        <v>144580.48576</v>
      </c>
      <c r="BP208" s="6">
        <v>-131789</v>
      </c>
      <c r="BQ208" s="6">
        <f t="shared" si="11"/>
        <v>62834569.625744514</v>
      </c>
      <c r="BT208" s="6">
        <f t="shared" si="12"/>
        <v>45136749.40850406</v>
      </c>
      <c r="BW208" s="52"/>
      <c r="BX208" s="6">
        <f t="shared" si="8"/>
        <v>112186365.62888852</v>
      </c>
      <c r="BY208" s="6">
        <f t="shared" si="9"/>
        <v>95431573.36075273</v>
      </c>
    </row>
    <row r="209" spans="1:77" ht="12.75">
      <c r="A209" t="s">
        <v>839</v>
      </c>
      <c r="B209" t="s">
        <v>205</v>
      </c>
      <c r="L209"/>
      <c r="V209"/>
      <c r="X209"/>
      <c r="Z209" s="12">
        <f>Z210+Z211</f>
        <v>79129239.458906</v>
      </c>
      <c r="AC209" s="12">
        <f>AC210+AC211</f>
        <v>80641263.14283413</v>
      </c>
      <c r="AF209" s="51"/>
      <c r="AG209"/>
      <c r="AI209"/>
      <c r="AT209"/>
      <c r="AZ209"/>
      <c r="BB209"/>
      <c r="BI209">
        <v>2103464</v>
      </c>
      <c r="BJ209" s="1">
        <v>152824330.591163</v>
      </c>
      <c r="BQ209" s="1">
        <f>BQ210+BQ211</f>
        <v>104388229.8736049</v>
      </c>
      <c r="BT209" s="1">
        <f>BT210+BT211</f>
        <v>77936582.78824727</v>
      </c>
      <c r="BW209" s="52"/>
      <c r="BX209" s="1">
        <f t="shared" si="8"/>
        <v>183517469.3325109</v>
      </c>
      <c r="BY209" s="1">
        <f t="shared" si="9"/>
        <v>158577845.9310814</v>
      </c>
    </row>
    <row r="210" spans="1:77" ht="12.75">
      <c r="A210" s="5" t="s">
        <v>840</v>
      </c>
      <c r="B210" s="5" t="s">
        <v>206</v>
      </c>
      <c r="C210" s="5" t="s">
        <v>1344</v>
      </c>
      <c r="D210" s="6">
        <v>59456963.26449</v>
      </c>
      <c r="E210" s="6">
        <f>D210*RPI_inc</f>
        <v>60593083.58164586</v>
      </c>
      <c r="F210" s="6"/>
      <c r="G210" s="6"/>
      <c r="H210" s="6"/>
      <c r="I210" s="6"/>
      <c r="J210" s="6">
        <v>1938134.016738</v>
      </c>
      <c r="K210" s="6">
        <f>J210*RPI_inc</f>
        <v>1975168.4247011465</v>
      </c>
      <c r="L210" s="6">
        <v>5737009.882147</v>
      </c>
      <c r="M210" s="6">
        <f>L210*RPI_inc</f>
        <v>5846634.27479949</v>
      </c>
      <c r="N210" s="6"/>
      <c r="O210" s="6"/>
      <c r="P210" s="6"/>
      <c r="Q210" s="6"/>
      <c r="R210" s="6"/>
      <c r="S210" s="6"/>
      <c r="T210" s="6"/>
      <c r="U210" s="6"/>
      <c r="V210" s="6">
        <v>65490.648713</v>
      </c>
      <c r="W210" s="6">
        <f>V210*RPI_inc</f>
        <v>66742.06238267515</v>
      </c>
      <c r="X210" s="6">
        <v>6900841.292886</v>
      </c>
      <c r="Y210" s="6">
        <f>X210*RPI_inc</f>
        <v>7032704.502304204</v>
      </c>
      <c r="Z210" s="14">
        <f>D210+F210+H210+J210+L210+N210+P210+R210+T210+V210+X210</f>
        <v>74098439.104974</v>
      </c>
      <c r="AC210" s="14">
        <f>E210+G210+I210+K210+M210+O210+Q210+S210+U210+W210+Y210</f>
        <v>75514332.84583336</v>
      </c>
      <c r="AF210" s="51"/>
      <c r="AG210" s="6">
        <v>1370625</v>
      </c>
      <c r="AH210" s="6">
        <f>AG210/$AG$680*$AH$680</f>
        <v>1031985.3588482423</v>
      </c>
      <c r="AI210" s="6">
        <v>71042843.047707</v>
      </c>
      <c r="AJ210" s="6">
        <f>AI210/$AI$680*$AJ$680</f>
        <v>48696362.15802217</v>
      </c>
      <c r="AK210" s="6">
        <f>AJ210-AH210</f>
        <v>47664376.79917393</v>
      </c>
      <c r="AL210" s="6"/>
      <c r="AM210" s="6"/>
      <c r="AN210" s="6"/>
      <c r="AO210" s="6"/>
      <c r="AP210" s="6"/>
      <c r="AQ210" s="6"/>
      <c r="AR210" s="6">
        <v>2799316.102921</v>
      </c>
      <c r="AS210" s="6">
        <f>AR210/$AR$680*$AS$680</f>
        <v>2744235.984537961</v>
      </c>
      <c r="AT210" s="6">
        <v>7256846.025643</v>
      </c>
      <c r="AU210" s="6">
        <f>AT210/$AT$680*$AU$680</f>
        <v>5989100.83745467</v>
      </c>
      <c r="AV210" s="6"/>
      <c r="AW210" s="6"/>
      <c r="AX210" s="6"/>
      <c r="AY210" s="6"/>
      <c r="AZ210" s="6">
        <v>92903.708457</v>
      </c>
      <c r="BA210" s="6">
        <f>AZ210/$AZ$680*$BA$680</f>
        <v>91042.51737127359</v>
      </c>
      <c r="BB210" s="6">
        <v>10204100.984234</v>
      </c>
      <c r="BC210" s="6">
        <f>BB210/$BB$680*$BC$680</f>
        <v>10007984.965761125</v>
      </c>
      <c r="BD210" s="6">
        <v>629908.676471</v>
      </c>
      <c r="BE210" s="6">
        <f>BD210/BD$680*BE$680</f>
        <v>895133.4798620084</v>
      </c>
      <c r="BF210" s="6">
        <v>132612.25933253067</v>
      </c>
      <c r="BG210" s="6">
        <f>BE210+BF210</f>
        <v>1027745.739194539</v>
      </c>
      <c r="BH210" s="6">
        <v>1946467.643994</v>
      </c>
      <c r="BI210" s="6"/>
      <c r="BJ210" s="6">
        <v>141703405.449155</v>
      </c>
      <c r="BK210" s="6">
        <f>BJ210/BJ209*BI209</f>
        <v>1950396.3203156148</v>
      </c>
      <c r="BL210" s="6">
        <f t="shared" si="10"/>
        <v>3896863.964309615</v>
      </c>
      <c r="BM210" s="6"/>
      <c r="BN210" s="6"/>
      <c r="BO210" s="6">
        <v>217077.982718</v>
      </c>
      <c r="BP210" s="6">
        <v>-183472</v>
      </c>
      <c r="BQ210" s="6">
        <f t="shared" si="11"/>
        <v>97643097.75179316</v>
      </c>
      <c r="BT210" s="6">
        <f t="shared" si="12"/>
        <v>72269864.16665135</v>
      </c>
      <c r="BW210" s="52"/>
      <c r="BX210" s="6">
        <f t="shared" si="8"/>
        <v>171741536.85676718</v>
      </c>
      <c r="BY210" s="6">
        <f t="shared" si="9"/>
        <v>147784197.01248473</v>
      </c>
    </row>
    <row r="211" spans="1:77" ht="12.75">
      <c r="A211" s="7" t="s">
        <v>841</v>
      </c>
      <c r="B211" s="7" t="s">
        <v>207</v>
      </c>
      <c r="C211" s="7" t="s">
        <v>1344</v>
      </c>
      <c r="D211" s="7"/>
      <c r="E211" s="8"/>
      <c r="F211" s="8"/>
      <c r="G211" s="8"/>
      <c r="H211" s="8">
        <v>4876030.811961</v>
      </c>
      <c r="I211" s="8">
        <f>H211*RPI_inc</f>
        <v>4969203.375246879</v>
      </c>
      <c r="J211" s="8">
        <v>154769.541971</v>
      </c>
      <c r="K211" s="8">
        <f>J211*RPI_inc</f>
        <v>157726.92175388534</v>
      </c>
      <c r="L211" s="7"/>
      <c r="M211" s="8"/>
      <c r="N211" s="8"/>
      <c r="O211" s="8"/>
      <c r="P211" s="8"/>
      <c r="Q211" s="8"/>
      <c r="R211" s="8"/>
      <c r="S211" s="8"/>
      <c r="T211" s="8"/>
      <c r="U211" s="8"/>
      <c r="V211" s="7"/>
      <c r="W211" s="8"/>
      <c r="X211" s="7"/>
      <c r="Y211" s="8"/>
      <c r="Z211" s="15">
        <f>D211+F211+H211+J211+L211+N211+P211+R211+T211+V211+X211</f>
        <v>5030800.353932</v>
      </c>
      <c r="AC211" s="15">
        <f>E211+G211+I211+K211+M211+O211+Q211+S211+U211+W211+Y211</f>
        <v>5126930.297000764</v>
      </c>
      <c r="AF211" s="51"/>
      <c r="AG211" s="7"/>
      <c r="AH211" s="8"/>
      <c r="AI211" s="7"/>
      <c r="AJ211" s="8"/>
      <c r="AK211" s="8"/>
      <c r="AL211" s="8"/>
      <c r="AM211" s="8"/>
      <c r="AN211" s="8">
        <v>6160361.71536</v>
      </c>
      <c r="AO211" s="8">
        <f>AN211/$AN$680*$AO$680</f>
        <v>5079580.098045995</v>
      </c>
      <c r="AP211" s="8">
        <v>-21160</v>
      </c>
      <c r="AQ211" s="8">
        <f>AO211+AP211</f>
        <v>5058420.098045995</v>
      </c>
      <c r="AR211" s="8">
        <v>223539.170841</v>
      </c>
      <c r="AS211" s="8">
        <f>AR211/$AR$680*$AS$680</f>
        <v>219140.75224857274</v>
      </c>
      <c r="AT211" s="7"/>
      <c r="AU211" s="8"/>
      <c r="AV211" s="8"/>
      <c r="AW211" s="8"/>
      <c r="AX211" s="8"/>
      <c r="AY211" s="8"/>
      <c r="AZ211" s="7"/>
      <c r="BA211" s="8"/>
      <c r="BB211" s="7"/>
      <c r="BC211" s="8"/>
      <c r="BD211" s="8">
        <v>51073.676471</v>
      </c>
      <c r="BE211" s="8">
        <f>BD211/BD$680*BE$680</f>
        <v>72578.39025961947</v>
      </c>
      <c r="BF211" s="8">
        <v>10752.345351365931</v>
      </c>
      <c r="BG211" s="8">
        <f>BE211+BF211</f>
        <v>83330.7356109854</v>
      </c>
      <c r="BH211" s="8">
        <v>152759.356006</v>
      </c>
      <c r="BI211" s="8"/>
      <c r="BJ211" s="8">
        <v>11120925.142007</v>
      </c>
      <c r="BK211" s="8">
        <f>BJ211/BJ209*BI209</f>
        <v>153067.67968437134</v>
      </c>
      <c r="BL211" s="8">
        <f t="shared" si="10"/>
        <v>305827.0356903713</v>
      </c>
      <c r="BM211" s="8"/>
      <c r="BN211" s="8"/>
      <c r="BO211" s="8">
        <v>14738.178098</v>
      </c>
      <c r="BP211" s="8"/>
      <c r="BQ211" s="8">
        <f t="shared" si="11"/>
        <v>6745132.121811737</v>
      </c>
      <c r="BT211" s="8">
        <f t="shared" si="12"/>
        <v>5666718.621595925</v>
      </c>
      <c r="BW211" s="52"/>
      <c r="BX211" s="8">
        <f t="shared" si="8"/>
        <v>11775932.475743737</v>
      </c>
      <c r="BY211" s="8">
        <f t="shared" si="9"/>
        <v>10793648.918596689</v>
      </c>
    </row>
    <row r="212" spans="1:77" ht="12.75">
      <c r="A212" t="s">
        <v>842</v>
      </c>
      <c r="B212" t="s">
        <v>208</v>
      </c>
      <c r="L212"/>
      <c r="V212"/>
      <c r="X212"/>
      <c r="Z212" s="12">
        <f>Z213+Z214</f>
        <v>67480165.273604</v>
      </c>
      <c r="AC212" s="12">
        <f>AC213+AC214</f>
        <v>68769595.1832907</v>
      </c>
      <c r="AF212" s="51"/>
      <c r="AG212"/>
      <c r="AI212"/>
      <c r="AT212"/>
      <c r="AZ212"/>
      <c r="BB212"/>
      <c r="BI212">
        <v>2504971</v>
      </c>
      <c r="BJ212" s="1">
        <v>124876847.228607</v>
      </c>
      <c r="BQ212" s="1">
        <f>BQ213+BQ214</f>
        <v>89572206.556913</v>
      </c>
      <c r="BT212" s="1">
        <f>BT213+BT214</f>
        <v>66882697.49929746</v>
      </c>
      <c r="BW212" s="52"/>
      <c r="BX212" s="1">
        <f t="shared" si="8"/>
        <v>157052371.830517</v>
      </c>
      <c r="BY212" s="1">
        <f t="shared" si="9"/>
        <v>135652292.68258816</v>
      </c>
    </row>
    <row r="213" spans="1:77" ht="12.75">
      <c r="A213" s="5" t="s">
        <v>843</v>
      </c>
      <c r="B213" s="5" t="s">
        <v>209</v>
      </c>
      <c r="C213" s="5" t="s">
        <v>1344</v>
      </c>
      <c r="D213" s="6">
        <v>50296384.613177</v>
      </c>
      <c r="E213" s="6">
        <f>D213*RPI_inc</f>
        <v>51257462.026167646</v>
      </c>
      <c r="F213" s="6"/>
      <c r="G213" s="6"/>
      <c r="H213" s="6"/>
      <c r="I213" s="6"/>
      <c r="J213" s="6">
        <v>2328031.435279</v>
      </c>
      <c r="K213" s="6">
        <f>J213*RPI_inc</f>
        <v>2372516.112386242</v>
      </c>
      <c r="L213" s="6">
        <v>6359606.164779</v>
      </c>
      <c r="M213" s="6">
        <f>L213*RPI_inc</f>
        <v>6481127.301685605</v>
      </c>
      <c r="N213" s="6"/>
      <c r="O213" s="6"/>
      <c r="P213" s="6"/>
      <c r="Q213" s="6"/>
      <c r="R213" s="6"/>
      <c r="S213" s="6"/>
      <c r="T213" s="6"/>
      <c r="U213" s="6"/>
      <c r="V213" s="6">
        <v>66101.568943</v>
      </c>
      <c r="W213" s="6">
        <f>V213*RPI_inc</f>
        <v>67364.65624764332</v>
      </c>
      <c r="X213" s="6">
        <v>4862294.158048</v>
      </c>
      <c r="Y213" s="6">
        <f>X213*RPI_inc</f>
        <v>4955204.237501146</v>
      </c>
      <c r="Z213" s="14">
        <f>D213+F213+H213+J213+L213+N213+P213+R213+T213+V213+X213</f>
        <v>63912417.940226</v>
      </c>
      <c r="AC213" s="14">
        <f>E213+G213+I213+K213+M213+O213+Q213+S213+U213+W213+Y213</f>
        <v>65133674.33398828</v>
      </c>
      <c r="AF213" s="51"/>
      <c r="AG213" s="6">
        <v>1104856</v>
      </c>
      <c r="AH213" s="6">
        <f>AG213/$AG$680*$AH$680</f>
        <v>831879.7742895639</v>
      </c>
      <c r="AI213" s="6">
        <v>60097219.261702</v>
      </c>
      <c r="AJ213" s="6">
        <f>AI213/$AI$680*$AJ$680</f>
        <v>41193677.34048424</v>
      </c>
      <c r="AK213" s="6">
        <f>AJ213-AH213</f>
        <v>40361797.566194676</v>
      </c>
      <c r="AL213" s="6"/>
      <c r="AM213" s="6"/>
      <c r="AN213" s="6"/>
      <c r="AO213" s="6"/>
      <c r="AP213" s="6"/>
      <c r="AQ213" s="6"/>
      <c r="AR213" s="6">
        <v>3362458.854033</v>
      </c>
      <c r="AS213" s="6">
        <f>AR213/$AR$680*$AS$680</f>
        <v>3296298.183023041</v>
      </c>
      <c r="AT213" s="6">
        <v>8044379.157364</v>
      </c>
      <c r="AU213" s="6">
        <f>AT213/$AT$680*$AU$680</f>
        <v>6639054.732307443</v>
      </c>
      <c r="AV213" s="6"/>
      <c r="AW213" s="6"/>
      <c r="AX213" s="6"/>
      <c r="AY213" s="6"/>
      <c r="AZ213" s="6">
        <v>93770.347529</v>
      </c>
      <c r="BA213" s="6">
        <f>AZ213/$AZ$680*$BA$680</f>
        <v>91891.79458611914</v>
      </c>
      <c r="BB213" s="6">
        <v>7189752.451621</v>
      </c>
      <c r="BC213" s="6">
        <f>BB213/$BB$680*$BC$680</f>
        <v>7051570.2024648925</v>
      </c>
      <c r="BD213" s="6"/>
      <c r="BE213" s="6"/>
      <c r="BF213" s="6"/>
      <c r="BG213" s="6"/>
      <c r="BH213" s="6">
        <v>2316609.969915</v>
      </c>
      <c r="BI213" s="6"/>
      <c r="BJ213" s="6">
        <v>117510816.898908</v>
      </c>
      <c r="BK213" s="6">
        <f>BJ213/BJ212*BI212</f>
        <v>2357211.8855563304</v>
      </c>
      <c r="BL213" s="6">
        <f t="shared" si="10"/>
        <v>4673821.85547133</v>
      </c>
      <c r="BM213" s="6"/>
      <c r="BN213" s="6"/>
      <c r="BO213" s="6">
        <v>187237.125703</v>
      </c>
      <c r="BP213" s="6">
        <v>-111181</v>
      </c>
      <c r="BQ213" s="6">
        <f t="shared" si="11"/>
        <v>84753495.05342333</v>
      </c>
      <c r="BT213" s="6">
        <f t="shared" si="12"/>
        <v>62835133.10833707</v>
      </c>
      <c r="BW213" s="52"/>
      <c r="BX213" s="6">
        <f t="shared" si="8"/>
        <v>148665912.99364933</v>
      </c>
      <c r="BY213" s="6">
        <f t="shared" si="9"/>
        <v>127968807.44232535</v>
      </c>
    </row>
    <row r="214" spans="1:77" ht="12.75">
      <c r="A214" s="7" t="s">
        <v>844</v>
      </c>
      <c r="B214" s="7" t="s">
        <v>210</v>
      </c>
      <c r="C214" s="7" t="s">
        <v>1344</v>
      </c>
      <c r="D214" s="7"/>
      <c r="E214" s="8"/>
      <c r="F214" s="8"/>
      <c r="G214" s="8"/>
      <c r="H214" s="8">
        <v>3411961.201958</v>
      </c>
      <c r="I214" s="8">
        <f>H214*RPI_inc</f>
        <v>3477157.9128234396</v>
      </c>
      <c r="J214" s="8">
        <v>155786.13142</v>
      </c>
      <c r="K214" s="8">
        <f>J214*RPI_inc</f>
        <v>158762.93647898088</v>
      </c>
      <c r="L214" s="7"/>
      <c r="M214" s="8"/>
      <c r="N214" s="8"/>
      <c r="O214" s="8"/>
      <c r="P214" s="8"/>
      <c r="Q214" s="8"/>
      <c r="R214" s="8"/>
      <c r="S214" s="8"/>
      <c r="T214" s="8"/>
      <c r="U214" s="8"/>
      <c r="V214" s="7"/>
      <c r="W214" s="8"/>
      <c r="X214" s="7"/>
      <c r="Y214" s="8"/>
      <c r="Z214" s="15">
        <f>D214+F214+H214+J214+L214+N214+P214+R214+T214+V214+X214</f>
        <v>3567747.333378</v>
      </c>
      <c r="AC214" s="15">
        <f>E214+G214+I214+K214+M214+O214+Q214+S214+U214+W214+Y214</f>
        <v>3635920.8493024204</v>
      </c>
      <c r="AF214" s="51"/>
      <c r="AG214" s="7"/>
      <c r="AH214" s="8"/>
      <c r="AI214" s="7"/>
      <c r="AJ214" s="8"/>
      <c r="AK214" s="8"/>
      <c r="AL214" s="8"/>
      <c r="AM214" s="8"/>
      <c r="AN214" s="8">
        <v>4310660.857859</v>
      </c>
      <c r="AO214" s="8">
        <f>AN214/$AN$680*$AO$680</f>
        <v>3554393.0883816406</v>
      </c>
      <c r="AP214" s="8">
        <v>-20382</v>
      </c>
      <c r="AQ214" s="8">
        <f>AO214+AP214</f>
        <v>3534011.0883816406</v>
      </c>
      <c r="AR214" s="8">
        <v>225007.467249</v>
      </c>
      <c r="AS214" s="8">
        <f>AR214/$AR$680*$AS$680</f>
        <v>220580.15805008155</v>
      </c>
      <c r="AT214" s="7"/>
      <c r="AU214" s="8"/>
      <c r="AV214" s="8"/>
      <c r="AW214" s="8"/>
      <c r="AX214" s="8"/>
      <c r="AY214" s="8"/>
      <c r="AZ214" s="7"/>
      <c r="BA214" s="8"/>
      <c r="BB214" s="7"/>
      <c r="BC214" s="8"/>
      <c r="BD214" s="8"/>
      <c r="BE214" s="8"/>
      <c r="BF214" s="8"/>
      <c r="BG214" s="8"/>
      <c r="BH214" s="8">
        <v>145214.030085</v>
      </c>
      <c r="BI214" s="8"/>
      <c r="BJ214" s="8">
        <v>7366030.329699</v>
      </c>
      <c r="BK214" s="8">
        <f>BJ214/BJ212*BI212</f>
        <v>147759.11444366997</v>
      </c>
      <c r="BL214" s="8">
        <f t="shared" si="10"/>
        <v>292973.14452867</v>
      </c>
      <c r="BM214" s="8"/>
      <c r="BN214" s="8"/>
      <c r="BO214" s="8">
        <v>10452.033853</v>
      </c>
      <c r="BP214" s="8"/>
      <c r="BQ214" s="8">
        <f t="shared" si="11"/>
        <v>4818711.50348967</v>
      </c>
      <c r="BT214" s="8">
        <f t="shared" si="12"/>
        <v>4047564.3909603925</v>
      </c>
      <c r="BW214" s="52"/>
      <c r="BX214" s="8">
        <f t="shared" si="8"/>
        <v>8386458.8368676705</v>
      </c>
      <c r="BY214" s="8">
        <f t="shared" si="9"/>
        <v>7683485.240262813</v>
      </c>
    </row>
    <row r="215" spans="1:77" ht="12.75">
      <c r="A215" t="s">
        <v>845</v>
      </c>
      <c r="B215" t="s">
        <v>211</v>
      </c>
      <c r="L215"/>
      <c r="V215"/>
      <c r="X215"/>
      <c r="Z215" s="12">
        <f>Z216+Z217</f>
        <v>110490365.115642</v>
      </c>
      <c r="AC215" s="12">
        <f>AC216+AC217</f>
        <v>112601645.97772434</v>
      </c>
      <c r="AF215" s="51"/>
      <c r="AG215"/>
      <c r="AI215"/>
      <c r="AT215"/>
      <c r="AZ215"/>
      <c r="BB215"/>
      <c r="BI215">
        <v>5126406</v>
      </c>
      <c r="BJ215" s="1">
        <v>142000034.207127</v>
      </c>
      <c r="BQ215" s="1">
        <f>BQ216+BQ217</f>
        <v>151780136.967813</v>
      </c>
      <c r="BT215" s="1">
        <f>BT216+BT217</f>
        <v>118170174.74050024</v>
      </c>
      <c r="BW215" s="52"/>
      <c r="BX215" s="1">
        <f t="shared" si="8"/>
        <v>262270502.08345497</v>
      </c>
      <c r="BY215" s="1">
        <f t="shared" si="9"/>
        <v>230771820.71822459</v>
      </c>
    </row>
    <row r="216" spans="1:77" ht="12.75">
      <c r="A216" s="5" t="s">
        <v>846</v>
      </c>
      <c r="B216" s="5" t="s">
        <v>212</v>
      </c>
      <c r="C216" s="5" t="s">
        <v>1344</v>
      </c>
      <c r="D216" s="6">
        <v>70078404.853157</v>
      </c>
      <c r="E216" s="6">
        <f>D216*RPI_inc</f>
        <v>71417482.65289885</v>
      </c>
      <c r="F216" s="6"/>
      <c r="G216" s="6"/>
      <c r="H216" s="6"/>
      <c r="I216" s="6"/>
      <c r="J216" s="6">
        <v>4584414.168919</v>
      </c>
      <c r="K216" s="6">
        <f>J216*RPI_inc</f>
        <v>4672014.439662675</v>
      </c>
      <c r="L216" s="6">
        <v>11108570.763191</v>
      </c>
      <c r="M216" s="6">
        <f>L216*RPI_inc</f>
        <v>11320836.446564076</v>
      </c>
      <c r="N216" s="6"/>
      <c r="O216" s="6"/>
      <c r="P216" s="6"/>
      <c r="Q216" s="6"/>
      <c r="R216" s="6"/>
      <c r="S216" s="6"/>
      <c r="T216" s="6"/>
      <c r="U216" s="6"/>
      <c r="V216" s="6">
        <v>84388.447844</v>
      </c>
      <c r="W216" s="6">
        <f>V216*RPI_inc</f>
        <v>86000.96595566878</v>
      </c>
      <c r="X216" s="6">
        <v>16063446.125321</v>
      </c>
      <c r="Y216" s="6">
        <f>X216*RPI_inc</f>
        <v>16370390.955741147</v>
      </c>
      <c r="Z216" s="14">
        <f>D216+F216+H216+J216+L216+N216+P216+R216+T216+V216+X216</f>
        <v>101919224.358432</v>
      </c>
      <c r="AC216" s="14">
        <f>E216+G216+I216+K216+M216+O216+Q216+S216+U216+W216+Y216</f>
        <v>103866725.46082243</v>
      </c>
      <c r="AF216" s="51"/>
      <c r="AG216" s="6">
        <v>2107187</v>
      </c>
      <c r="AH216" s="6">
        <f>AG216/$AG$680*$AH$680</f>
        <v>1586565.349643667</v>
      </c>
      <c r="AI216" s="6">
        <v>83733995.879839</v>
      </c>
      <c r="AJ216" s="6">
        <f>AI216/$AI$680*$AJ$680</f>
        <v>57395520.975488104</v>
      </c>
      <c r="AK216" s="6">
        <f>AJ216-AH216</f>
        <v>55808955.625844434</v>
      </c>
      <c r="AL216" s="6"/>
      <c r="AM216" s="6"/>
      <c r="AN216" s="6"/>
      <c r="AO216" s="6"/>
      <c r="AP216" s="6"/>
      <c r="AQ216" s="6"/>
      <c r="AR216" s="6">
        <v>6621432.932234</v>
      </c>
      <c r="AS216" s="6">
        <f>AR216/$AR$680*$AS$680</f>
        <v>6491147.78530392</v>
      </c>
      <c r="AT216" s="6">
        <v>14051429.097986</v>
      </c>
      <c r="AU216" s="6">
        <f>AT216/$AT$680*$AU$680</f>
        <v>11596694.41528852</v>
      </c>
      <c r="AV216" s="6"/>
      <c r="AW216" s="6"/>
      <c r="AX216" s="6"/>
      <c r="AY216" s="6"/>
      <c r="AZ216" s="6">
        <v>119711.743733</v>
      </c>
      <c r="BA216" s="6">
        <f>AZ216/$AZ$680*$BA$680</f>
        <v>117313.49253298735</v>
      </c>
      <c r="BB216" s="6">
        <v>23752615.001672</v>
      </c>
      <c r="BC216" s="6">
        <f>BB216/$BB$680*$BC$680</f>
        <v>23296105.57574175</v>
      </c>
      <c r="BD216" s="6"/>
      <c r="BE216" s="6"/>
      <c r="BF216" s="6"/>
      <c r="BG216" s="6"/>
      <c r="BH216" s="6">
        <v>4554987.047444</v>
      </c>
      <c r="BI216" s="6"/>
      <c r="BJ216" s="6">
        <v>127863967.09068</v>
      </c>
      <c r="BK216" s="6">
        <f>BJ216/BJ215*BI215</f>
        <v>4616073.592780625</v>
      </c>
      <c r="BL216" s="6">
        <f t="shared" si="10"/>
        <v>9171060.640224624</v>
      </c>
      <c r="BM216" s="6"/>
      <c r="BN216" s="6"/>
      <c r="BO216" s="6">
        <v>298581.453147</v>
      </c>
      <c r="BP216" s="6"/>
      <c r="BQ216" s="6">
        <f t="shared" si="11"/>
        <v>139856013.74883562</v>
      </c>
      <c r="BT216" s="6">
        <f t="shared" si="12"/>
        <v>108067842.8845799</v>
      </c>
      <c r="BW216" s="52"/>
      <c r="BX216" s="6">
        <f t="shared" si="8"/>
        <v>241775238.10726762</v>
      </c>
      <c r="BY216" s="6">
        <f t="shared" si="9"/>
        <v>211934568.34540233</v>
      </c>
    </row>
    <row r="217" spans="1:77" ht="12.75">
      <c r="A217" s="7" t="s">
        <v>847</v>
      </c>
      <c r="B217" s="7" t="s">
        <v>213</v>
      </c>
      <c r="C217" s="7" t="s">
        <v>1344</v>
      </c>
      <c r="D217" s="7"/>
      <c r="E217" s="8"/>
      <c r="F217" s="8"/>
      <c r="G217" s="8"/>
      <c r="H217" s="8">
        <v>8037440.365228</v>
      </c>
      <c r="I217" s="8">
        <f>H217*RPI_inc</f>
        <v>8191022.028257835</v>
      </c>
      <c r="J217" s="8">
        <v>533700.391982</v>
      </c>
      <c r="K217" s="8">
        <f>J217*RPI_inc</f>
        <v>543898.4886440764</v>
      </c>
      <c r="L217" s="7"/>
      <c r="M217" s="8"/>
      <c r="N217" s="8"/>
      <c r="O217" s="8"/>
      <c r="P217" s="8"/>
      <c r="Q217" s="8"/>
      <c r="R217" s="8"/>
      <c r="S217" s="8"/>
      <c r="T217" s="8"/>
      <c r="U217" s="8"/>
      <c r="V217" s="7"/>
      <c r="W217" s="8"/>
      <c r="X217" s="7"/>
      <c r="Y217" s="8"/>
      <c r="Z217" s="15">
        <f>D217+F217+H217+J217+L217+N217+P217+R217+T217+V217+X217</f>
        <v>8571140.75721</v>
      </c>
      <c r="AC217" s="15">
        <f>E217+G217+I217+K217+M217+O217+Q217+S217+U217+W217+Y217</f>
        <v>8734920.51690191</v>
      </c>
      <c r="AF217" s="51"/>
      <c r="AG217" s="7"/>
      <c r="AH217" s="8"/>
      <c r="AI217" s="7"/>
      <c r="AJ217" s="8"/>
      <c r="AK217" s="8"/>
      <c r="AL217" s="8"/>
      <c r="AM217" s="8"/>
      <c r="AN217" s="8">
        <v>10154476.4225</v>
      </c>
      <c r="AO217" s="8">
        <f>AN217/$AN$680*$AO$680</f>
        <v>8372962.291029047</v>
      </c>
      <c r="AP217" s="8">
        <v>-40217</v>
      </c>
      <c r="AQ217" s="8">
        <f>AO217+AP217</f>
        <v>8332745.291029047</v>
      </c>
      <c r="AR217" s="8">
        <v>770842.515796</v>
      </c>
      <c r="AS217" s="8">
        <f>AR217/$AR$680*$AS$680</f>
        <v>755675.2051159308</v>
      </c>
      <c r="AT217" s="7"/>
      <c r="AU217" s="8"/>
      <c r="AV217" s="8"/>
      <c r="AW217" s="8"/>
      <c r="AX217" s="8"/>
      <c r="AY217" s="8"/>
      <c r="AZ217" s="7"/>
      <c r="BA217" s="8"/>
      <c r="BB217" s="7"/>
      <c r="BC217" s="8"/>
      <c r="BD217" s="8"/>
      <c r="BE217" s="8"/>
      <c r="BF217" s="8"/>
      <c r="BG217" s="8"/>
      <c r="BH217" s="8">
        <v>503578.952556</v>
      </c>
      <c r="BI217" s="8"/>
      <c r="BJ217" s="8">
        <v>14136067.116447</v>
      </c>
      <c r="BK217" s="8">
        <f>BJ217/BJ215*BI215</f>
        <v>510332.40721937414</v>
      </c>
      <c r="BL217" s="8">
        <f t="shared" si="10"/>
        <v>1013911.3597753742</v>
      </c>
      <c r="BM217" s="8"/>
      <c r="BN217" s="8"/>
      <c r="BO217" s="8">
        <v>25109.920906</v>
      </c>
      <c r="BP217" s="8"/>
      <c r="BQ217" s="8">
        <f t="shared" si="11"/>
        <v>11924123.218977373</v>
      </c>
      <c r="BT217" s="8">
        <f t="shared" si="12"/>
        <v>10102331.855920352</v>
      </c>
      <c r="BW217" s="52"/>
      <c r="BX217" s="8">
        <f t="shared" si="8"/>
        <v>20495263.97618737</v>
      </c>
      <c r="BY217" s="8">
        <f t="shared" si="9"/>
        <v>18837252.372822262</v>
      </c>
    </row>
    <row r="218" spans="1:77" ht="12.75">
      <c r="A218" t="s">
        <v>848</v>
      </c>
      <c r="B218" t="s">
        <v>214</v>
      </c>
      <c r="L218"/>
      <c r="V218"/>
      <c r="X218"/>
      <c r="Z218" s="12">
        <f>Z219+Z220</f>
        <v>99269976.34761801</v>
      </c>
      <c r="AC218" s="12">
        <f>AC219+AC220</f>
        <v>101166854.87655337</v>
      </c>
      <c r="AF218" s="51"/>
      <c r="AG218"/>
      <c r="AI218"/>
      <c r="AT218"/>
      <c r="AZ218"/>
      <c r="BB218"/>
      <c r="BI218">
        <v>2584611</v>
      </c>
      <c r="BJ218" s="1">
        <v>209994175.021488</v>
      </c>
      <c r="BQ218" s="1">
        <f>BQ219+BQ220</f>
        <v>129081307.27967836</v>
      </c>
      <c r="BT218" s="1">
        <f>BT219+BT220</f>
        <v>93751624.8650847</v>
      </c>
      <c r="BW218" s="52"/>
      <c r="BX218" s="1">
        <f t="shared" si="8"/>
        <v>228351283.6272964</v>
      </c>
      <c r="BY218" s="1">
        <f t="shared" si="9"/>
        <v>194918479.74163806</v>
      </c>
    </row>
    <row r="219" spans="1:77" ht="12.75">
      <c r="A219" s="5" t="s">
        <v>849</v>
      </c>
      <c r="B219" s="5" t="s">
        <v>215</v>
      </c>
      <c r="C219" s="5" t="s">
        <v>1344</v>
      </c>
      <c r="D219" s="6">
        <v>80525121.303846</v>
      </c>
      <c r="E219" s="6">
        <f>D219*RPI_inc</f>
        <v>82063817.88926981</v>
      </c>
      <c r="F219" s="6"/>
      <c r="G219" s="6"/>
      <c r="H219" s="6"/>
      <c r="I219" s="6"/>
      <c r="J219" s="6">
        <v>2399784.830301</v>
      </c>
      <c r="K219" s="6">
        <f>J219*RPI_inc</f>
        <v>2445640.591389554</v>
      </c>
      <c r="L219" s="6">
        <v>7977365.173007</v>
      </c>
      <c r="M219" s="6">
        <f>L219*RPI_inc</f>
        <v>8129798.902427516</v>
      </c>
      <c r="N219" s="6"/>
      <c r="O219" s="6"/>
      <c r="P219" s="6"/>
      <c r="Q219" s="6"/>
      <c r="R219" s="6"/>
      <c r="S219" s="6"/>
      <c r="T219" s="6"/>
      <c r="U219" s="6"/>
      <c r="V219" s="6">
        <v>97177.044669</v>
      </c>
      <c r="W219" s="6">
        <f>V219*RPI_inc</f>
        <v>99033.93087286624</v>
      </c>
      <c r="X219" s="6">
        <v>2484966.096733</v>
      </c>
      <c r="Y219" s="6">
        <f>X219*RPI_inc</f>
        <v>2532449.525332994</v>
      </c>
      <c r="Z219" s="14">
        <f>D219+F219+H219+J219+L219+N219+P219+R219+T219+V219+X219</f>
        <v>93484414.448556</v>
      </c>
      <c r="AC219" s="14">
        <f>E219+G219+I219+K219+M219+O219+Q219+S219+U219+W219+Y219</f>
        <v>95270740.83929273</v>
      </c>
      <c r="AF219" s="51"/>
      <c r="AG219" s="6">
        <v>1775234</v>
      </c>
      <c r="AH219" s="6">
        <f>AG219/$AG$680*$AH$680</f>
        <v>1336627.8132454907</v>
      </c>
      <c r="AI219" s="6">
        <v>96216376.351723</v>
      </c>
      <c r="AJ219" s="6">
        <f>AI219/$AI$680*$AJ$680</f>
        <v>65951576.64523239</v>
      </c>
      <c r="AK219" s="6">
        <f>AJ219-AH219</f>
        <v>64614948.8319869</v>
      </c>
      <c r="AL219" s="6"/>
      <c r="AM219" s="6"/>
      <c r="AN219" s="6"/>
      <c r="AO219" s="6"/>
      <c r="AP219" s="6"/>
      <c r="AQ219" s="6"/>
      <c r="AR219" s="6">
        <v>3466094.84225</v>
      </c>
      <c r="AS219" s="6">
        <f>AR219/$AR$680*$AS$680</f>
        <v>3397895.0008534673</v>
      </c>
      <c r="AT219" s="6">
        <v>10090711.353137</v>
      </c>
      <c r="AU219" s="6">
        <f>AT219/$AT$680*$AU$680</f>
        <v>8327899.972251556</v>
      </c>
      <c r="AV219" s="6"/>
      <c r="AW219" s="6"/>
      <c r="AX219" s="6"/>
      <c r="AY219" s="6"/>
      <c r="AZ219" s="6">
        <v>137853.388295</v>
      </c>
      <c r="BA219" s="6">
        <f>AZ219/$AZ$680*$BA$680</f>
        <v>135091.6955521254</v>
      </c>
      <c r="BB219" s="6">
        <v>3674457.057808</v>
      </c>
      <c r="BC219" s="6">
        <f>BB219/$BB$680*$BC$680</f>
        <v>3603836.4426905825</v>
      </c>
      <c r="BD219" s="6">
        <v>752353.701471</v>
      </c>
      <c r="BE219" s="6">
        <f>BD219/BD$680*BE$680</f>
        <v>1069134.32381623</v>
      </c>
      <c r="BF219" s="6">
        <v>158390.14113636353</v>
      </c>
      <c r="BG219" s="6">
        <f>BE219+BF219</f>
        <v>1227524.4649525937</v>
      </c>
      <c r="BH219" s="6">
        <v>2389779.160203</v>
      </c>
      <c r="BI219" s="6"/>
      <c r="BJ219" s="6">
        <v>197068515.054427</v>
      </c>
      <c r="BK219" s="6">
        <f>BJ219/BJ218*BI218</f>
        <v>2425521.8113131854</v>
      </c>
      <c r="BL219" s="6">
        <f t="shared" si="10"/>
        <v>4815300.971516185</v>
      </c>
      <c r="BM219" s="6"/>
      <c r="BN219" s="6"/>
      <c r="BO219" s="6">
        <v>273870.925612</v>
      </c>
      <c r="BP219" s="6">
        <v>-186061</v>
      </c>
      <c r="BQ219" s="6">
        <f t="shared" si="11"/>
        <v>121360642.73294854</v>
      </c>
      <c r="BT219" s="6">
        <f t="shared" si="12"/>
        <v>87273064.1930489</v>
      </c>
      <c r="BW219" s="52"/>
      <c r="BX219" s="6">
        <f t="shared" si="8"/>
        <v>214845057.18150455</v>
      </c>
      <c r="BY219" s="6">
        <f t="shared" si="9"/>
        <v>182543805.03234163</v>
      </c>
    </row>
    <row r="220" spans="1:77" ht="12.75">
      <c r="A220" s="7" t="s">
        <v>850</v>
      </c>
      <c r="B220" s="7" t="s">
        <v>216</v>
      </c>
      <c r="C220" s="7" t="s">
        <v>1344</v>
      </c>
      <c r="D220" s="7"/>
      <c r="E220" s="8"/>
      <c r="F220" s="8"/>
      <c r="G220" s="8"/>
      <c r="H220" s="8">
        <v>5622331.500379</v>
      </c>
      <c r="I220" s="8">
        <f>H220*RPI_inc</f>
        <v>5729764.586373503</v>
      </c>
      <c r="J220" s="8">
        <v>163230.398683</v>
      </c>
      <c r="K220" s="8">
        <f>J220*RPI_inc</f>
        <v>166349.45088713377</v>
      </c>
      <c r="L220" s="7"/>
      <c r="M220" s="8"/>
      <c r="N220" s="8"/>
      <c r="O220" s="8"/>
      <c r="P220" s="8"/>
      <c r="Q220" s="8"/>
      <c r="R220" s="8"/>
      <c r="S220" s="8"/>
      <c r="T220" s="8"/>
      <c r="U220" s="8"/>
      <c r="V220" s="7"/>
      <c r="W220" s="8"/>
      <c r="X220" s="7"/>
      <c r="Y220" s="8"/>
      <c r="Z220" s="15">
        <f>D220+F220+H220+J220+L220+N220+P220+R220+T220+V220+X220</f>
        <v>5785561.899062</v>
      </c>
      <c r="AC220" s="15">
        <f>E220+G220+I220+K220+M220+O220+Q220+S220+U220+W220+Y220</f>
        <v>5896114.037260637</v>
      </c>
      <c r="AF220" s="51"/>
      <c r="AG220" s="7"/>
      <c r="AH220" s="8"/>
      <c r="AI220" s="7"/>
      <c r="AJ220" s="8"/>
      <c r="AK220" s="8"/>
      <c r="AL220" s="8"/>
      <c r="AM220" s="8"/>
      <c r="AN220" s="8">
        <v>7103235.615542</v>
      </c>
      <c r="AO220" s="8">
        <f>AN220/$AN$680*$AO$680</f>
        <v>5857035.013784107</v>
      </c>
      <c r="AP220" s="8">
        <v>-24958</v>
      </c>
      <c r="AQ220" s="8">
        <f>AO220+AP220</f>
        <v>5832077.013784107</v>
      </c>
      <c r="AR220" s="8">
        <v>235759.488031</v>
      </c>
      <c r="AS220" s="8">
        <f>AR220/$AR$680*$AS$680</f>
        <v>231120.61909543318</v>
      </c>
      <c r="AT220" s="7"/>
      <c r="AU220" s="8"/>
      <c r="AV220" s="8"/>
      <c r="AW220" s="8"/>
      <c r="AX220" s="8"/>
      <c r="AY220" s="8"/>
      <c r="AZ220" s="7"/>
      <c r="BA220" s="8"/>
      <c r="BB220" s="7"/>
      <c r="BC220" s="8"/>
      <c r="BD220" s="8">
        <v>61001.651471</v>
      </c>
      <c r="BE220" s="8">
        <f>BD220/BD$680*BE$680</f>
        <v>86686.56679644823</v>
      </c>
      <c r="BF220" s="8">
        <v>12842.443876001023</v>
      </c>
      <c r="BG220" s="8">
        <f>BE220+BF220</f>
        <v>99529.01067244925</v>
      </c>
      <c r="BH220" s="8">
        <v>156744.839797</v>
      </c>
      <c r="BI220" s="8"/>
      <c r="BJ220" s="8">
        <v>12925659.967061</v>
      </c>
      <c r="BK220" s="8">
        <f>BJ220/BJ218*BI218</f>
        <v>159089.1886868147</v>
      </c>
      <c r="BL220" s="8">
        <f t="shared" si="10"/>
        <v>315834.0284838147</v>
      </c>
      <c r="BM220" s="8"/>
      <c r="BN220" s="8"/>
      <c r="BO220" s="8">
        <v>16949.319326</v>
      </c>
      <c r="BP220" s="8"/>
      <c r="BQ220" s="8">
        <f t="shared" si="11"/>
        <v>7720664.546729817</v>
      </c>
      <c r="BT220" s="8">
        <f t="shared" si="12"/>
        <v>6478560.672035804</v>
      </c>
      <c r="BW220" s="52"/>
      <c r="BX220" s="8">
        <f t="shared" si="8"/>
        <v>13506226.445791818</v>
      </c>
      <c r="BY220" s="8">
        <f t="shared" si="9"/>
        <v>12374674.70929644</v>
      </c>
    </row>
    <row r="221" spans="1:77" ht="12.75">
      <c r="A221" t="s">
        <v>851</v>
      </c>
      <c r="B221" t="s">
        <v>217</v>
      </c>
      <c r="L221"/>
      <c r="V221"/>
      <c r="X221"/>
      <c r="Z221" s="12">
        <f>Z222+Z223</f>
        <v>138059824.530792</v>
      </c>
      <c r="AC221" s="12">
        <f>AC222+AC223</f>
        <v>140697910.34985173</v>
      </c>
      <c r="AF221" s="51"/>
      <c r="AG221"/>
      <c r="AI221"/>
      <c r="AT221"/>
      <c r="AZ221"/>
      <c r="BB221"/>
      <c r="BI221">
        <v>3511834</v>
      </c>
      <c r="BJ221" s="1">
        <v>250657632.375171</v>
      </c>
      <c r="BQ221" s="1">
        <f>BQ222+BQ223</f>
        <v>181993652.14531612</v>
      </c>
      <c r="BT221" s="1">
        <f>BT222+BT223</f>
        <v>137261965.69558713</v>
      </c>
      <c r="BW221" s="52"/>
      <c r="BX221" s="1">
        <f t="shared" si="8"/>
        <v>320053476.6761081</v>
      </c>
      <c r="BY221" s="1">
        <f t="shared" si="9"/>
        <v>277959876.0454389</v>
      </c>
    </row>
    <row r="222" spans="1:77" ht="12.75">
      <c r="A222" s="5" t="s">
        <v>852</v>
      </c>
      <c r="B222" s="5" t="s">
        <v>218</v>
      </c>
      <c r="C222" s="5" t="s">
        <v>1344</v>
      </c>
      <c r="D222" s="6">
        <v>101139133.260612</v>
      </c>
      <c r="E222" s="6">
        <f>D222*RPI_inc</f>
        <v>103071728.16368102</v>
      </c>
      <c r="F222" s="6"/>
      <c r="G222" s="6"/>
      <c r="H222" s="6"/>
      <c r="I222" s="6"/>
      <c r="J222" s="6">
        <v>3256872.67958</v>
      </c>
      <c r="K222" s="6">
        <f>J222*RPI_inc</f>
        <v>3319105.9154955414</v>
      </c>
      <c r="L222" s="6">
        <v>9735059.343286</v>
      </c>
      <c r="M222" s="6">
        <f>L222*RPI_inc</f>
        <v>9921079.585514395</v>
      </c>
      <c r="N222" s="6"/>
      <c r="O222" s="6"/>
      <c r="P222" s="6"/>
      <c r="Q222" s="6"/>
      <c r="R222" s="6"/>
      <c r="S222" s="6"/>
      <c r="T222" s="6"/>
      <c r="U222" s="6"/>
      <c r="V222" s="6">
        <v>80885.838522</v>
      </c>
      <c r="W222" s="6">
        <f>V222*RPI_inc</f>
        <v>82431.42779312102</v>
      </c>
      <c r="X222" s="6">
        <v>16826197.953462</v>
      </c>
      <c r="Y222" s="6">
        <f>X222*RPI_inc</f>
        <v>17147717.65957911</v>
      </c>
      <c r="Z222" s="14">
        <f>D222+F222+H222+J222+L222+N222+P222+R222+T222+V222+X222</f>
        <v>131038149.075462</v>
      </c>
      <c r="AC222" s="14">
        <f>E222+G222+I222+K222+M222+O222+Q222+S222+U222+W222+Y222</f>
        <v>133542062.75206318</v>
      </c>
      <c r="AF222" s="51"/>
      <c r="AG222" s="6">
        <v>2274588</v>
      </c>
      <c r="AH222" s="6">
        <f>AG222/$AG$680*$AH$680</f>
        <v>1712606.6673319878</v>
      </c>
      <c r="AI222" s="6">
        <v>120847267.934823</v>
      </c>
      <c r="AJ222" s="6">
        <f>AI222/$AI$680*$AJ$680</f>
        <v>82834837.01813397</v>
      </c>
      <c r="AK222" s="6">
        <f>AJ222-AH222</f>
        <v>81122230.35080197</v>
      </c>
      <c r="AL222" s="6"/>
      <c r="AM222" s="6"/>
      <c r="AN222" s="6"/>
      <c r="AO222" s="6"/>
      <c r="AP222" s="6"/>
      <c r="AQ222" s="6"/>
      <c r="AR222" s="6">
        <v>4704017.399403</v>
      </c>
      <c r="AS222" s="6">
        <f>AR222/$AR$680*$AS$680</f>
        <v>4611459.851163045</v>
      </c>
      <c r="AT222" s="6">
        <v>12314050.028844</v>
      </c>
      <c r="AU222" s="6">
        <f>AT222/$AT$680*$AU$680</f>
        <v>10162829.289694568</v>
      </c>
      <c r="AV222" s="6"/>
      <c r="AW222" s="6"/>
      <c r="AX222" s="6"/>
      <c r="AY222" s="6"/>
      <c r="AZ222" s="6">
        <v>114743.013057</v>
      </c>
      <c r="BA222" s="6">
        <f>AZ222/$AZ$680*$BA$680</f>
        <v>112444.30317127006</v>
      </c>
      <c r="BB222" s="6">
        <v>24880477.004279</v>
      </c>
      <c r="BC222" s="6">
        <f>BB222/$BB$680*$BC$680</f>
        <v>24402290.822534602</v>
      </c>
      <c r="BD222" s="6">
        <v>431940.775</v>
      </c>
      <c r="BE222" s="6">
        <f>BD222/BD$680*BE$680</f>
        <v>613810.6418634851</v>
      </c>
      <c r="BF222" s="6">
        <v>90934.8358106501</v>
      </c>
      <c r="BG222" s="6">
        <f>BE222+BF222</f>
        <v>704745.4776741352</v>
      </c>
      <c r="BH222" s="6">
        <v>3281448.307529</v>
      </c>
      <c r="BI222" s="6"/>
      <c r="BJ222" s="6">
        <v>235618880.081828</v>
      </c>
      <c r="BK222" s="6">
        <f>BJ222/BJ221*BI221</f>
        <v>3301133.846484262</v>
      </c>
      <c r="BL222" s="6">
        <f t="shared" si="10"/>
        <v>6582582.154013262</v>
      </c>
      <c r="BM222" s="6"/>
      <c r="BN222" s="6"/>
      <c r="BO222" s="6">
        <v>383887.938855</v>
      </c>
      <c r="BP222" s="6"/>
      <c r="BQ222" s="6">
        <f t="shared" si="11"/>
        <v>172624489.08408493</v>
      </c>
      <c r="BT222" s="6">
        <f t="shared" si="12"/>
        <v>129411188.91638486</v>
      </c>
      <c r="BW222" s="52"/>
      <c r="BX222" s="6">
        <f t="shared" si="8"/>
        <v>303662638.1595469</v>
      </c>
      <c r="BY222" s="6">
        <f t="shared" si="9"/>
        <v>262953251.66844803</v>
      </c>
    </row>
    <row r="223" spans="1:77" ht="12.75">
      <c r="A223" s="7" t="s">
        <v>853</v>
      </c>
      <c r="B223" s="7" t="s">
        <v>219</v>
      </c>
      <c r="C223" s="7" t="s">
        <v>1344</v>
      </c>
      <c r="D223" s="7"/>
      <c r="E223" s="8"/>
      <c r="F223" s="8"/>
      <c r="G223" s="8"/>
      <c r="H223" s="8">
        <v>6794974.680317</v>
      </c>
      <c r="I223" s="8">
        <f>H223*RPI_inc</f>
        <v>6924814.960832611</v>
      </c>
      <c r="J223" s="8">
        <v>226700.775013</v>
      </c>
      <c r="K223" s="8">
        <f>J223*RPI_inc</f>
        <v>231032.63695592358</v>
      </c>
      <c r="L223" s="7"/>
      <c r="M223" s="8"/>
      <c r="N223" s="8"/>
      <c r="O223" s="8"/>
      <c r="P223" s="8"/>
      <c r="Q223" s="8"/>
      <c r="R223" s="8"/>
      <c r="S223" s="8"/>
      <c r="T223" s="8"/>
      <c r="U223" s="8"/>
      <c r="V223" s="7"/>
      <c r="W223" s="8"/>
      <c r="X223" s="7"/>
      <c r="Y223" s="8"/>
      <c r="Z223" s="15">
        <f>D223+F223+H223+J223+L223+N223+P223+R223+T223+V223+X223</f>
        <v>7021675.455329999</v>
      </c>
      <c r="AC223" s="15">
        <f>E223+G223+I223+K223+M223+O223+Q223+S223+U223+W223+Y223</f>
        <v>7155847.597788534</v>
      </c>
      <c r="AF223" s="51"/>
      <c r="AG223" s="7"/>
      <c r="AH223" s="8"/>
      <c r="AI223" s="7"/>
      <c r="AJ223" s="8"/>
      <c r="AK223" s="8"/>
      <c r="AL223" s="8"/>
      <c r="AM223" s="8"/>
      <c r="AN223" s="8">
        <v>8584749.254412</v>
      </c>
      <c r="AO223" s="8">
        <f>AN223/$AN$680*$AO$680</f>
        <v>7078630.034125859</v>
      </c>
      <c r="AP223" s="8">
        <v>-26128</v>
      </c>
      <c r="AQ223" s="8">
        <f>AO223+AP223</f>
        <v>7052502.034125859</v>
      </c>
      <c r="AR223" s="8">
        <v>327432.016857</v>
      </c>
      <c r="AS223" s="8">
        <f>AR223/$AR$680*$AS$680</f>
        <v>320989.3738728576</v>
      </c>
      <c r="AT223" s="7"/>
      <c r="AU223" s="8"/>
      <c r="AV223" s="8"/>
      <c r="AW223" s="8"/>
      <c r="AX223" s="8"/>
      <c r="AY223" s="8"/>
      <c r="AZ223" s="7"/>
      <c r="BA223" s="8"/>
      <c r="BB223" s="7"/>
      <c r="BC223" s="8"/>
      <c r="BD223" s="8">
        <v>35022.225</v>
      </c>
      <c r="BE223" s="8">
        <f>BD223/BD$680*BE$680</f>
        <v>49768.43042136365</v>
      </c>
      <c r="BF223" s="8">
        <v>7373.094795458114</v>
      </c>
      <c r="BG223" s="8">
        <f>BE223+BF223</f>
        <v>57141.52521682176</v>
      </c>
      <c r="BH223" s="8">
        <v>209443.692471</v>
      </c>
      <c r="BI223" s="8"/>
      <c r="BJ223" s="8">
        <v>15038752.293342</v>
      </c>
      <c r="BK223" s="8">
        <f>BJ223/BJ221*BI221</f>
        <v>210700.15351572388</v>
      </c>
      <c r="BL223" s="8">
        <f t="shared" si="10"/>
        <v>420143.8459867239</v>
      </c>
      <c r="BM223" s="8"/>
      <c r="BN223" s="8"/>
      <c r="BO223" s="8">
        <v>20570.62418</v>
      </c>
      <c r="BP223" s="8"/>
      <c r="BQ223" s="8">
        <f t="shared" si="11"/>
        <v>9369163.061231181</v>
      </c>
      <c r="BT223" s="8">
        <f t="shared" si="12"/>
        <v>7850776.779202262</v>
      </c>
      <c r="BW223" s="52"/>
      <c r="BX223" s="8">
        <f t="shared" si="8"/>
        <v>16390838.51656118</v>
      </c>
      <c r="BY223" s="8">
        <f t="shared" si="9"/>
        <v>15006624.376990795</v>
      </c>
    </row>
    <row r="224" spans="1:77" ht="12.75">
      <c r="A224" t="s">
        <v>854</v>
      </c>
      <c r="B224" t="s">
        <v>220</v>
      </c>
      <c r="L224"/>
      <c r="V224"/>
      <c r="X224"/>
      <c r="Z224" s="12">
        <f>Z225+Z226</f>
        <v>81950986.18037999</v>
      </c>
      <c r="AC224" s="12">
        <f>AC225+AC226</f>
        <v>83516928.59147006</v>
      </c>
      <c r="AF224" s="51"/>
      <c r="AG224"/>
      <c r="AI224"/>
      <c r="AT224"/>
      <c r="AZ224"/>
      <c r="BB224"/>
      <c r="BI224"/>
      <c r="BJ224" s="1">
        <v>154094963.637188</v>
      </c>
      <c r="BQ224" s="1">
        <f>BQ225+BQ226</f>
        <v>105582906.82455602</v>
      </c>
      <c r="BT224" s="1">
        <f>BT225+BT226</f>
        <v>77239942.70234513</v>
      </c>
      <c r="BW224" s="52"/>
      <c r="BX224" s="1">
        <f t="shared" si="8"/>
        <v>187533893.004936</v>
      </c>
      <c r="BY224" s="1">
        <f t="shared" si="9"/>
        <v>160756871.2938152</v>
      </c>
    </row>
    <row r="225" spans="1:77" ht="12.75">
      <c r="A225" s="5" t="s">
        <v>855</v>
      </c>
      <c r="B225" s="5" t="s">
        <v>221</v>
      </c>
      <c r="C225" s="5" t="s">
        <v>1344</v>
      </c>
      <c r="D225" s="6">
        <v>61066693.264368</v>
      </c>
      <c r="E225" s="6">
        <f>D225*RPI_inc</f>
        <v>62233572.75349605</v>
      </c>
      <c r="F225" s="6"/>
      <c r="G225" s="6"/>
      <c r="H225" s="6"/>
      <c r="I225" s="6"/>
      <c r="J225" s="6">
        <v>2274670.729199</v>
      </c>
      <c r="K225" s="6">
        <f>J225*RPI_inc</f>
        <v>2318135.7749798726</v>
      </c>
      <c r="L225" s="6">
        <v>8617199.815519</v>
      </c>
      <c r="M225" s="6">
        <f>L225*RPI_inc</f>
        <v>8781859.684605349</v>
      </c>
      <c r="N225" s="6"/>
      <c r="O225" s="6"/>
      <c r="P225" s="6"/>
      <c r="Q225" s="6"/>
      <c r="R225" s="6"/>
      <c r="S225" s="6"/>
      <c r="T225" s="6"/>
      <c r="U225" s="6"/>
      <c r="V225" s="6">
        <v>61051.295037</v>
      </c>
      <c r="W225" s="6">
        <f>V225*RPI_inc</f>
        <v>62217.88029248408</v>
      </c>
      <c r="X225" s="6">
        <v>5121909.597373</v>
      </c>
      <c r="Y225" s="6">
        <f>X225*RPI_inc</f>
        <v>5219780.481399236</v>
      </c>
      <c r="Z225" s="14">
        <f>D225+F225+H225+J225+L225+N225+P225+R225+T225+V225+X225</f>
        <v>77141524.70149599</v>
      </c>
      <c r="AC225" s="14">
        <f>E225+G225+I225+K225+M225+O225+Q225+S225+U225+W225+Y225</f>
        <v>78615566.574773</v>
      </c>
      <c r="AF225" s="51"/>
      <c r="AG225" s="6">
        <v>2003570</v>
      </c>
      <c r="AH225" s="6">
        <f>AG225/$AG$680*$AH$680</f>
        <v>1508548.9506083522</v>
      </c>
      <c r="AI225" s="6">
        <v>72966247.632327</v>
      </c>
      <c r="AJ225" s="6">
        <f>AI225/$AI$680*$AJ$680</f>
        <v>50014761.059459135</v>
      </c>
      <c r="AK225" s="6">
        <f>AJ225-AH225</f>
        <v>48506212.108850785</v>
      </c>
      <c r="AL225" s="6"/>
      <c r="AM225" s="6"/>
      <c r="AN225" s="6"/>
      <c r="AO225" s="6"/>
      <c r="AP225" s="6"/>
      <c r="AQ225" s="6"/>
      <c r="AR225" s="6">
        <v>3285388.082609</v>
      </c>
      <c r="AS225" s="6">
        <f>AR225/$AR$680*$AS$680</f>
        <v>3220743.877427776</v>
      </c>
      <c r="AT225" s="6">
        <v>10900049.593433</v>
      </c>
      <c r="AU225" s="6">
        <f>AT225/$AT$680*$AU$680</f>
        <v>8995849.70077172</v>
      </c>
      <c r="AV225" s="6"/>
      <c r="AW225" s="6"/>
      <c r="AX225" s="6"/>
      <c r="AY225" s="6"/>
      <c r="AZ225" s="6">
        <v>86606.131205</v>
      </c>
      <c r="BA225" s="6">
        <f>AZ225/$AZ$680*$BA$680</f>
        <v>84871.10294783839</v>
      </c>
      <c r="BB225" s="6">
        <v>7573639.292008</v>
      </c>
      <c r="BC225" s="6">
        <f>BB225/$BB$680*$BC$680</f>
        <v>7428078.993693311</v>
      </c>
      <c r="BD225" s="6"/>
      <c r="BE225" s="6"/>
      <c r="BF225" s="6"/>
      <c r="BG225" s="6"/>
      <c r="BH225" s="6">
        <v>2284996.165508</v>
      </c>
      <c r="BI225" s="6"/>
      <c r="BJ225" s="6">
        <v>143990185.877301</v>
      </c>
      <c r="BK225" s="6"/>
      <c r="BL225" s="6">
        <f t="shared" si="10"/>
        <v>2284996.165508</v>
      </c>
      <c r="BM225" s="6"/>
      <c r="BN225" s="6"/>
      <c r="BO225" s="6">
        <v>225992.973243</v>
      </c>
      <c r="BP225" s="6"/>
      <c r="BQ225" s="6">
        <f t="shared" si="11"/>
        <v>99326489.87033302</v>
      </c>
      <c r="BT225" s="6">
        <f t="shared" si="12"/>
        <v>72029300.89980778</v>
      </c>
      <c r="BW225" s="52"/>
      <c r="BX225" s="6">
        <f t="shared" si="8"/>
        <v>176468014.57182902</v>
      </c>
      <c r="BY225" s="6">
        <f t="shared" si="9"/>
        <v>150644867.47458076</v>
      </c>
    </row>
    <row r="226" spans="1:77" ht="12.75">
      <c r="A226" s="7" t="s">
        <v>856</v>
      </c>
      <c r="B226" s="7" t="s">
        <v>222</v>
      </c>
      <c r="C226" s="7" t="s">
        <v>1344</v>
      </c>
      <c r="D226" s="7"/>
      <c r="E226" s="8"/>
      <c r="F226" s="8"/>
      <c r="G226" s="8"/>
      <c r="H226" s="8">
        <v>4631743.229004</v>
      </c>
      <c r="I226" s="8">
        <f>H226*RPI_inc</f>
        <v>4720247.876691975</v>
      </c>
      <c r="J226" s="8">
        <v>177718.24988</v>
      </c>
      <c r="K226" s="8">
        <f>J226*RPI_inc</f>
        <v>181114.14000509554</v>
      </c>
      <c r="L226" s="7"/>
      <c r="M226" s="8"/>
      <c r="N226" s="8"/>
      <c r="O226" s="8"/>
      <c r="P226" s="8"/>
      <c r="Q226" s="8"/>
      <c r="R226" s="8"/>
      <c r="S226" s="8"/>
      <c r="T226" s="8"/>
      <c r="U226" s="8"/>
      <c r="V226" s="7"/>
      <c r="W226" s="8"/>
      <c r="X226" s="7"/>
      <c r="Y226" s="8"/>
      <c r="Z226" s="15">
        <f>D226+F226+H226+J226+L226+N226+P226+R226+T226+V226+X226</f>
        <v>4809461.478884</v>
      </c>
      <c r="AC226" s="15">
        <f>E226+G226+I226+K226+M226+O226+Q226+S226+U226+W226+Y226</f>
        <v>4901362.016697071</v>
      </c>
      <c r="AF226" s="51"/>
      <c r="AG226" s="7"/>
      <c r="AH226" s="8"/>
      <c r="AI226" s="7"/>
      <c r="AJ226" s="8"/>
      <c r="AK226" s="8"/>
      <c r="AL226" s="8"/>
      <c r="AM226" s="8"/>
      <c r="AN226" s="8">
        <v>5851729.565233</v>
      </c>
      <c r="AO226" s="8">
        <f>AN226/$AN$680*$AO$680</f>
        <v>4825094.761009152</v>
      </c>
      <c r="AP226" s="8">
        <v>-26441</v>
      </c>
      <c r="AQ226" s="8">
        <f>AO226+AP226</f>
        <v>4798653.761009152</v>
      </c>
      <c r="AR226" s="8">
        <v>256684.808366</v>
      </c>
      <c r="AS226" s="8">
        <f>AR226/$AR$680*$AS$680</f>
        <v>251634.20703620586</v>
      </c>
      <c r="AT226" s="7"/>
      <c r="AU226" s="8"/>
      <c r="AV226" s="8"/>
      <c r="AW226" s="8"/>
      <c r="AX226" s="8"/>
      <c r="AY226" s="8"/>
      <c r="AZ226" s="7"/>
      <c r="BA226" s="8"/>
      <c r="BB226" s="7"/>
      <c r="BC226" s="8"/>
      <c r="BD226" s="8"/>
      <c r="BE226" s="8"/>
      <c r="BF226" s="8"/>
      <c r="BG226" s="8"/>
      <c r="BH226" s="8">
        <v>160353.834492</v>
      </c>
      <c r="BI226" s="8"/>
      <c r="BJ226" s="8">
        <v>10104777.759887</v>
      </c>
      <c r="BK226" s="8"/>
      <c r="BL226" s="8">
        <f t="shared" si="10"/>
        <v>160353.834492</v>
      </c>
      <c r="BM226" s="8"/>
      <c r="BN226" s="8"/>
      <c r="BO226" s="8">
        <v>14089.746132</v>
      </c>
      <c r="BP226" s="8"/>
      <c r="BQ226" s="8">
        <f t="shared" si="11"/>
        <v>6256416.9542229995</v>
      </c>
      <c r="BT226" s="8">
        <f t="shared" si="12"/>
        <v>5210641.802537357</v>
      </c>
      <c r="BW226" s="52"/>
      <c r="BX226" s="8">
        <f t="shared" si="8"/>
        <v>11065878.433107</v>
      </c>
      <c r="BY226" s="8">
        <f t="shared" si="9"/>
        <v>10112003.819234427</v>
      </c>
    </row>
    <row r="227" spans="1:77" ht="12.75">
      <c r="A227" t="s">
        <v>857</v>
      </c>
      <c r="B227" t="s">
        <v>223</v>
      </c>
      <c r="L227"/>
      <c r="V227"/>
      <c r="X227"/>
      <c r="Z227" s="12">
        <f>Z228+Z229</f>
        <v>64084035.47113299</v>
      </c>
      <c r="AC227" s="12">
        <f>AC228+AC229</f>
        <v>65308571.18077248</v>
      </c>
      <c r="AF227" s="51"/>
      <c r="AG227"/>
      <c r="AI227"/>
      <c r="AT227"/>
      <c r="AZ227"/>
      <c r="BB227"/>
      <c r="BI227"/>
      <c r="BJ227" s="1">
        <v>91952474.488392</v>
      </c>
      <c r="BQ227" s="1">
        <f>BQ228+BQ229</f>
        <v>81527917.73988901</v>
      </c>
      <c r="BT227" s="1">
        <f>BT228+BT229</f>
        <v>61832457.62875464</v>
      </c>
      <c r="BW227" s="52"/>
      <c r="BX227" s="1">
        <f t="shared" si="8"/>
        <v>145611953.21102202</v>
      </c>
      <c r="BY227" s="1">
        <f t="shared" si="9"/>
        <v>127141028.80952713</v>
      </c>
    </row>
    <row r="228" spans="1:77" ht="12.75">
      <c r="A228" s="5" t="s">
        <v>858</v>
      </c>
      <c r="B228" s="5" t="s">
        <v>224</v>
      </c>
      <c r="C228" s="5" t="s">
        <v>1344</v>
      </c>
      <c r="D228" s="6">
        <v>41468457.264749</v>
      </c>
      <c r="E228" s="6">
        <f>D228*RPI_inc</f>
        <v>42260848.16789707</v>
      </c>
      <c r="F228" s="6"/>
      <c r="G228" s="6"/>
      <c r="H228" s="6"/>
      <c r="I228" s="6"/>
      <c r="J228" s="6">
        <v>2610691.206314</v>
      </c>
      <c r="K228" s="6">
        <f>J228*RPI_inc</f>
        <v>2660577.02554293</v>
      </c>
      <c r="L228" s="6">
        <v>7074329.109479</v>
      </c>
      <c r="M228" s="6">
        <f>L228*RPI_inc</f>
        <v>7209507.372717452</v>
      </c>
      <c r="N228" s="6"/>
      <c r="O228" s="6"/>
      <c r="P228" s="6"/>
      <c r="Q228" s="6"/>
      <c r="R228" s="6"/>
      <c r="S228" s="6"/>
      <c r="T228" s="6"/>
      <c r="U228" s="6"/>
      <c r="V228" s="6">
        <v>64187.352221</v>
      </c>
      <c r="W228" s="6">
        <f>V228*RPI_inc</f>
        <v>65413.86213605096</v>
      </c>
      <c r="X228" s="6">
        <v>8233644.417255</v>
      </c>
      <c r="Y228" s="6">
        <f>X228*RPI_inc</f>
        <v>8390975.20229809</v>
      </c>
      <c r="Z228" s="14">
        <f>D228+F228+H228+J228+L228+N228+P228+R228+T228+V228+X228</f>
        <v>59451309.350017995</v>
      </c>
      <c r="AC228" s="14">
        <f>E228+G228+I228+K228+M228+O228+Q228+S228+U228+W228+Y228</f>
        <v>60587321.63059159</v>
      </c>
      <c r="AF228" s="51"/>
      <c r="AG228" s="6">
        <v>930136</v>
      </c>
      <c r="AH228" s="6">
        <f>AG228/$AG$680*$AH$680</f>
        <v>700327.7583129365</v>
      </c>
      <c r="AI228" s="6">
        <v>49549067.748127</v>
      </c>
      <c r="AJ228" s="6">
        <f>AI228/$AI$680*$AJ$680</f>
        <v>33963440.146037996</v>
      </c>
      <c r="AK228" s="6">
        <f>AJ228-AH228</f>
        <v>33263112.38772506</v>
      </c>
      <c r="AL228" s="6"/>
      <c r="AM228" s="6"/>
      <c r="AN228" s="6"/>
      <c r="AO228" s="6"/>
      <c r="AP228" s="6"/>
      <c r="AQ228" s="6"/>
      <c r="AR228" s="6">
        <v>3770714.445169</v>
      </c>
      <c r="AS228" s="6">
        <f>AR228/$AR$680*$AS$680</f>
        <v>3696520.824158559</v>
      </c>
      <c r="AT228" s="6">
        <v>8948444.945506</v>
      </c>
      <c r="AU228" s="6">
        <f>AT228/$AT$680*$AU$680</f>
        <v>7385183.443009365</v>
      </c>
      <c r="AV228" s="6"/>
      <c r="AW228" s="6"/>
      <c r="AX228" s="6"/>
      <c r="AY228" s="6"/>
      <c r="AZ228" s="6">
        <v>91054.878438</v>
      </c>
      <c r="BA228" s="6">
        <f>AZ228/$AZ$680*$BA$680</f>
        <v>89230.72598084435</v>
      </c>
      <c r="BB228" s="6">
        <v>12174883.544786</v>
      </c>
      <c r="BC228" s="6">
        <f>BB228/$BB$680*$BC$680</f>
        <v>11940890.39929837</v>
      </c>
      <c r="BD228" s="6"/>
      <c r="BE228" s="6"/>
      <c r="BF228" s="6"/>
      <c r="BG228" s="6"/>
      <c r="BH228" s="6"/>
      <c r="BI228" s="6"/>
      <c r="BJ228" s="6">
        <v>83556340.126749</v>
      </c>
      <c r="BK228" s="6"/>
      <c r="BL228" s="6"/>
      <c r="BM228" s="6"/>
      <c r="BN228" s="6"/>
      <c r="BO228" s="6">
        <v>174167.910411</v>
      </c>
      <c r="BP228" s="6">
        <v>-143520</v>
      </c>
      <c r="BQ228" s="6">
        <f t="shared" si="11"/>
        <v>75638469.47243701</v>
      </c>
      <c r="BT228" s="6">
        <f t="shared" si="12"/>
        <v>56931745.53848514</v>
      </c>
      <c r="BW228" s="52"/>
      <c r="BX228" s="6">
        <f t="shared" si="8"/>
        <v>135089778.822455</v>
      </c>
      <c r="BY228" s="6">
        <f t="shared" si="9"/>
        <v>117519067.16907674</v>
      </c>
    </row>
    <row r="229" spans="1:77" ht="12.75">
      <c r="A229" s="7" t="s">
        <v>859</v>
      </c>
      <c r="B229" s="7" t="s">
        <v>225</v>
      </c>
      <c r="C229" s="7" t="s">
        <v>1344</v>
      </c>
      <c r="D229" s="7"/>
      <c r="E229" s="8"/>
      <c r="F229" s="8"/>
      <c r="G229" s="8"/>
      <c r="H229" s="8">
        <v>4365232.831597</v>
      </c>
      <c r="I229" s="8">
        <f>H229*RPI_inc</f>
        <v>4448644.92392051</v>
      </c>
      <c r="J229" s="8">
        <v>267493.289518</v>
      </c>
      <c r="K229" s="8">
        <f>J229*RPI_inc</f>
        <v>272604.6262603821</v>
      </c>
      <c r="L229" s="7"/>
      <c r="M229" s="8"/>
      <c r="N229" s="8"/>
      <c r="O229" s="8"/>
      <c r="P229" s="8"/>
      <c r="Q229" s="8"/>
      <c r="R229" s="8"/>
      <c r="S229" s="8"/>
      <c r="T229" s="8"/>
      <c r="U229" s="8"/>
      <c r="V229" s="7"/>
      <c r="W229" s="8"/>
      <c r="X229" s="7"/>
      <c r="Y229" s="8"/>
      <c r="Z229" s="15">
        <f>D229+F229+H229+J229+L229+N229+P229+R229+T229+V229+X229</f>
        <v>4632726.121115</v>
      </c>
      <c r="AC229" s="15">
        <f>E229+G229+I229+K229+M229+O229+Q229+S229+U229+W229+Y229</f>
        <v>4721249.550180892</v>
      </c>
      <c r="AF229" s="51"/>
      <c r="AG229" s="7"/>
      <c r="AH229" s="8"/>
      <c r="AI229" s="7"/>
      <c r="AJ229" s="8"/>
      <c r="AK229" s="8"/>
      <c r="AL229" s="8"/>
      <c r="AM229" s="8"/>
      <c r="AN229" s="8">
        <v>5515021.182484</v>
      </c>
      <c r="AO229" s="8">
        <f>AN229/$AN$680*$AO$680</f>
        <v>4547458.920958952</v>
      </c>
      <c r="AP229" s="8">
        <v>-25495</v>
      </c>
      <c r="AQ229" s="8">
        <f>AO229+AP229</f>
        <v>4521963.920958952</v>
      </c>
      <c r="AR229" s="8">
        <v>386350.100821</v>
      </c>
      <c r="AS229" s="8">
        <f>AR229/$AR$680*$AS$680</f>
        <v>378748.1693105448</v>
      </c>
      <c r="AT229" s="7"/>
      <c r="AU229" s="8"/>
      <c r="AV229" s="8"/>
      <c r="AW229" s="8"/>
      <c r="AX229" s="8"/>
      <c r="AY229" s="8"/>
      <c r="AZ229" s="7"/>
      <c r="BA229" s="8"/>
      <c r="BB229" s="7"/>
      <c r="BC229" s="8"/>
      <c r="BD229" s="8"/>
      <c r="BE229" s="8"/>
      <c r="BF229" s="8"/>
      <c r="BG229" s="8"/>
      <c r="BH229" s="8"/>
      <c r="BI229" s="8"/>
      <c r="BJ229" s="8">
        <v>8396134.361643</v>
      </c>
      <c r="BK229" s="8"/>
      <c r="BL229" s="8"/>
      <c r="BM229" s="8"/>
      <c r="BN229" s="8"/>
      <c r="BO229" s="8">
        <v>13571.984147</v>
      </c>
      <c r="BP229" s="8"/>
      <c r="BQ229" s="8">
        <f t="shared" si="11"/>
        <v>5889448.267452</v>
      </c>
      <c r="BT229" s="8">
        <f t="shared" si="12"/>
        <v>4900712.090269497</v>
      </c>
      <c r="BW229" s="52"/>
      <c r="BX229" s="8">
        <f t="shared" si="8"/>
        <v>10522174.388567</v>
      </c>
      <c r="BY229" s="8">
        <f t="shared" si="9"/>
        <v>9621961.640450388</v>
      </c>
    </row>
    <row r="230" spans="1:77" ht="12.75">
      <c r="A230" t="s">
        <v>860</v>
      </c>
      <c r="B230" t="s">
        <v>226</v>
      </c>
      <c r="L230"/>
      <c r="V230"/>
      <c r="X230"/>
      <c r="Z230" s="12">
        <f>Z231+Z232</f>
        <v>91469076.790763</v>
      </c>
      <c r="AC230" s="12">
        <f>AC231+AC232</f>
        <v>93216893.54472661</v>
      </c>
      <c r="AF230" s="51"/>
      <c r="AG230"/>
      <c r="AI230"/>
      <c r="AT230"/>
      <c r="AZ230"/>
      <c r="BB230"/>
      <c r="BI230">
        <v>2930505</v>
      </c>
      <c r="BJ230" s="1">
        <v>178712810.15151</v>
      </c>
      <c r="BQ230" s="1">
        <f>BQ231+BQ232</f>
        <v>120727034.44908762</v>
      </c>
      <c r="BT230" s="1">
        <f>BT231+BT232</f>
        <v>89473702.43036413</v>
      </c>
      <c r="BW230" s="52"/>
      <c r="BX230" s="1">
        <f t="shared" si="8"/>
        <v>212196111.23985064</v>
      </c>
      <c r="BY230" s="1">
        <f t="shared" si="9"/>
        <v>182690595.97509074</v>
      </c>
    </row>
    <row r="231" spans="1:77" ht="12.75">
      <c r="A231" s="5" t="s">
        <v>861</v>
      </c>
      <c r="B231" s="5" t="s">
        <v>227</v>
      </c>
      <c r="C231" s="5" t="s">
        <v>1344</v>
      </c>
      <c r="D231" s="6">
        <v>70019999.626373</v>
      </c>
      <c r="E231" s="6">
        <f>D231*RPI_inc</f>
        <v>71357961.40267311</v>
      </c>
      <c r="F231" s="6"/>
      <c r="G231" s="6"/>
      <c r="H231" s="6"/>
      <c r="I231" s="6"/>
      <c r="J231" s="6">
        <v>2750527.706259</v>
      </c>
      <c r="K231" s="6">
        <f>J231*RPI_inc</f>
        <v>2803085.5605187262</v>
      </c>
      <c r="L231" s="6">
        <v>7876090.412621</v>
      </c>
      <c r="M231" s="6">
        <f>L231*RPI_inc</f>
        <v>8026588.955537325</v>
      </c>
      <c r="N231" s="6"/>
      <c r="O231" s="6"/>
      <c r="P231" s="6"/>
      <c r="Q231" s="6"/>
      <c r="R231" s="6"/>
      <c r="S231" s="6"/>
      <c r="T231" s="6"/>
      <c r="U231" s="6"/>
      <c r="V231" s="6">
        <v>70337.282542</v>
      </c>
      <c r="W231" s="6">
        <f>V231*RPI_inc</f>
        <v>71681.30704917197</v>
      </c>
      <c r="X231" s="6">
        <v>5886585.009681</v>
      </c>
      <c r="Y231" s="6">
        <f>X231*RPI_inc</f>
        <v>5999067.525789554</v>
      </c>
      <c r="Z231" s="14">
        <f>D231+F231+H231+J231+L231+N231+P231+R231+T231+V231+X231</f>
        <v>86603540.037476</v>
      </c>
      <c r="AC231" s="14">
        <f>E231+G231+I231+K231+M231+O231+Q231+S231+U231+W231+Y231</f>
        <v>88258384.75156789</v>
      </c>
      <c r="AF231" s="51"/>
      <c r="AG231" s="6">
        <v>1746555</v>
      </c>
      <c r="AH231" s="6">
        <f>AG231/$AG$680*$AH$680</f>
        <v>1315034.5195974037</v>
      </c>
      <c r="AI231" s="6">
        <v>83664209.716338</v>
      </c>
      <c r="AJ231" s="6">
        <f>AI231/$AI$680*$AJ$680</f>
        <v>57347686.005128294</v>
      </c>
      <c r="AK231" s="6">
        <f>AJ231-AH231</f>
        <v>56032651.48553089</v>
      </c>
      <c r="AL231" s="6"/>
      <c r="AM231" s="6"/>
      <c r="AN231" s="6"/>
      <c r="AO231" s="6"/>
      <c r="AP231" s="6"/>
      <c r="AQ231" s="6"/>
      <c r="AR231" s="6">
        <v>3972685.290679</v>
      </c>
      <c r="AS231" s="6">
        <f>AR231/$AR$680*$AS$680</f>
        <v>3894517.635414619</v>
      </c>
      <c r="AT231" s="6">
        <v>9962607.104146</v>
      </c>
      <c r="AU231" s="6">
        <f>AT231/$AT$680*$AU$680</f>
        <v>8222175.079894409</v>
      </c>
      <c r="AV231" s="6"/>
      <c r="AW231" s="6"/>
      <c r="AX231" s="6"/>
      <c r="AY231" s="6"/>
      <c r="AZ231" s="6">
        <v>99779.04509</v>
      </c>
      <c r="BA231" s="6">
        <f>AZ231/$AZ$680*$BA$680</f>
        <v>97780.11660427914</v>
      </c>
      <c r="BB231" s="6">
        <v>8704345.650287</v>
      </c>
      <c r="BC231" s="6">
        <f>BB231/$BB$680*$BC$680</f>
        <v>8537053.929538306</v>
      </c>
      <c r="BD231" s="6">
        <v>235681.783824</v>
      </c>
      <c r="BE231" s="6">
        <f>BD231/BD$680*BE$680</f>
        <v>334916.2556013393</v>
      </c>
      <c r="BF231" s="6">
        <v>49617.182623234796</v>
      </c>
      <c r="BG231" s="6">
        <f>BE231+BF231</f>
        <v>384533.4382245741</v>
      </c>
      <c r="BH231" s="6">
        <v>2738535.233751</v>
      </c>
      <c r="BI231" s="6"/>
      <c r="BJ231" s="6">
        <v>168210968.696963</v>
      </c>
      <c r="BK231" s="6">
        <f>BJ231/BJ230*BI230</f>
        <v>2758297.4292854774</v>
      </c>
      <c r="BL231" s="6">
        <f t="shared" si="10"/>
        <v>5496832.663036477</v>
      </c>
      <c r="BM231" s="6"/>
      <c r="BN231" s="6"/>
      <c r="BO231" s="6">
        <v>253712.790642</v>
      </c>
      <c r="BP231" s="6"/>
      <c r="BQ231" s="6">
        <f t="shared" si="11"/>
        <v>114186026.2266657</v>
      </c>
      <c r="BT231" s="6">
        <f t="shared" si="12"/>
        <v>83980578.86784096</v>
      </c>
      <c r="BW231" s="52"/>
      <c r="BX231" s="6">
        <f t="shared" si="8"/>
        <v>200789566.2641417</v>
      </c>
      <c r="BY231" s="6">
        <f t="shared" si="9"/>
        <v>172238963.61940885</v>
      </c>
    </row>
    <row r="232" spans="1:77" ht="12.75">
      <c r="A232" s="7" t="s">
        <v>862</v>
      </c>
      <c r="B232" s="7" t="s">
        <v>228</v>
      </c>
      <c r="C232" s="7" t="s">
        <v>1344</v>
      </c>
      <c r="D232" s="7"/>
      <c r="E232" s="8"/>
      <c r="F232" s="8"/>
      <c r="G232" s="8"/>
      <c r="H232" s="8">
        <v>4675201.991743</v>
      </c>
      <c r="I232" s="8">
        <f>H232*RPI_inc</f>
        <v>4764537.061648917</v>
      </c>
      <c r="J232" s="8">
        <v>190334.761544</v>
      </c>
      <c r="K232" s="8">
        <f>J232*RPI_inc</f>
        <v>193971.73150980892</v>
      </c>
      <c r="L232" s="7"/>
      <c r="M232" s="8"/>
      <c r="N232" s="8"/>
      <c r="O232" s="8"/>
      <c r="P232" s="8"/>
      <c r="Q232" s="8"/>
      <c r="R232" s="8"/>
      <c r="S232" s="8"/>
      <c r="T232" s="8"/>
      <c r="U232" s="8"/>
      <c r="V232" s="7"/>
      <c r="W232" s="8"/>
      <c r="X232" s="7"/>
      <c r="Y232" s="8"/>
      <c r="Z232" s="15">
        <f>D232+F232+H232+J232+L232+N232+P232+R232+T232+V232+X232</f>
        <v>4865536.753287001</v>
      </c>
      <c r="AC232" s="15">
        <f>E232+G232+I232+K232+M232+O232+Q232+S232+U232+W232+Y232</f>
        <v>4958508.793158727</v>
      </c>
      <c r="AF232" s="51"/>
      <c r="AG232" s="7"/>
      <c r="AH232" s="8"/>
      <c r="AI232" s="7"/>
      <c r="AJ232" s="8"/>
      <c r="AK232" s="8"/>
      <c r="AL232" s="8"/>
      <c r="AM232" s="8"/>
      <c r="AN232" s="8">
        <v>5906635.226927</v>
      </c>
      <c r="AO232" s="8">
        <f>AN232/$AN$680*$AO$680</f>
        <v>4870367.704270828</v>
      </c>
      <c r="AP232" s="8">
        <v>-21102</v>
      </c>
      <c r="AQ232" s="8">
        <f>AO232+AP232</f>
        <v>4849265.704270828</v>
      </c>
      <c r="AR232" s="8">
        <v>274907.286253</v>
      </c>
      <c r="AS232" s="8">
        <f>AR232/$AR$680*$AS$680</f>
        <v>269498.13440502714</v>
      </c>
      <c r="AT232" s="7"/>
      <c r="AU232" s="8"/>
      <c r="AV232" s="8"/>
      <c r="AW232" s="8"/>
      <c r="AX232" s="8"/>
      <c r="AY232" s="8"/>
      <c r="AZ232" s="7"/>
      <c r="BA232" s="8"/>
      <c r="BB232" s="7"/>
      <c r="BC232" s="8"/>
      <c r="BD232" s="8">
        <v>19109.333824</v>
      </c>
      <c r="BE232" s="8">
        <f>BD232/BD$680*BE$680</f>
        <v>27155.372076398777</v>
      </c>
      <c r="BF232" s="8">
        <v>4023.0148073803457</v>
      </c>
      <c r="BG232" s="8">
        <f>BE232+BF232</f>
        <v>31178.386883779123</v>
      </c>
      <c r="BH232" s="8">
        <v>170973.766249</v>
      </c>
      <c r="BI232" s="8"/>
      <c r="BJ232" s="8">
        <v>10501841.454548</v>
      </c>
      <c r="BK232" s="8">
        <f>BJ232/BJ230*BI230</f>
        <v>172207.57071453924</v>
      </c>
      <c r="BL232" s="8">
        <f t="shared" si="10"/>
        <v>343181.33696353924</v>
      </c>
      <c r="BM232" s="8"/>
      <c r="BN232" s="8"/>
      <c r="BO232" s="8">
        <v>14254.023647</v>
      </c>
      <c r="BP232" s="8"/>
      <c r="BQ232" s="8">
        <f t="shared" si="11"/>
        <v>6541008.22242192</v>
      </c>
      <c r="BT232" s="8">
        <f t="shared" si="12"/>
        <v>5493123.562523173</v>
      </c>
      <c r="BW232" s="52"/>
      <c r="BX232" s="8">
        <f t="shared" si="8"/>
        <v>11406544.97570892</v>
      </c>
      <c r="BY232" s="8">
        <f t="shared" si="9"/>
        <v>10451632.3556819</v>
      </c>
    </row>
    <row r="233" spans="1:77" ht="12.75">
      <c r="A233" t="s">
        <v>863</v>
      </c>
      <c r="B233" t="s">
        <v>229</v>
      </c>
      <c r="L233"/>
      <c r="V233"/>
      <c r="X233"/>
      <c r="Z233" s="12">
        <f>Z234+Z235</f>
        <v>102527538.16313702</v>
      </c>
      <c r="AC233" s="12">
        <f>AC234+AC235</f>
        <v>104486663.09619059</v>
      </c>
      <c r="AF233" s="51"/>
      <c r="AG233"/>
      <c r="AI233"/>
      <c r="AT233"/>
      <c r="AZ233"/>
      <c r="BB233"/>
      <c r="BI233"/>
      <c r="BJ233" s="1">
        <v>67153059.244421</v>
      </c>
      <c r="BQ233" s="1">
        <f>BQ234+BQ235</f>
        <v>134563076.32550302</v>
      </c>
      <c r="BT233" s="1">
        <f>BT234+BT235</f>
        <v>109234216.76189585</v>
      </c>
      <c r="BW233" s="52"/>
      <c r="BX233" s="1">
        <f t="shared" si="8"/>
        <v>237090614.48864004</v>
      </c>
      <c r="BY233" s="1">
        <f t="shared" si="9"/>
        <v>213720879.85808644</v>
      </c>
    </row>
    <row r="234" spans="1:77" ht="12.75">
      <c r="A234" s="5" t="s">
        <v>864</v>
      </c>
      <c r="B234" s="5" t="s">
        <v>230</v>
      </c>
      <c r="C234" s="5" t="s">
        <v>1344</v>
      </c>
      <c r="D234" s="6">
        <v>49518553.603284</v>
      </c>
      <c r="E234" s="6">
        <f>D234*RPI_inc</f>
        <v>50464768.003346756</v>
      </c>
      <c r="F234" s="6"/>
      <c r="G234" s="6"/>
      <c r="H234" s="6"/>
      <c r="I234" s="6"/>
      <c r="J234" s="6">
        <v>4727942.818462</v>
      </c>
      <c r="K234" s="6">
        <f>J234*RPI_inc</f>
        <v>4818285.674865733</v>
      </c>
      <c r="L234" s="6">
        <v>10036157.194819</v>
      </c>
      <c r="M234" s="6">
        <f>L234*RPI_inc</f>
        <v>10227930.899178598</v>
      </c>
      <c r="N234" s="6"/>
      <c r="O234" s="6"/>
      <c r="P234" s="6"/>
      <c r="Q234" s="6"/>
      <c r="R234" s="6"/>
      <c r="S234" s="6"/>
      <c r="T234" s="6"/>
      <c r="U234" s="6"/>
      <c r="V234" s="6">
        <v>88379.79335</v>
      </c>
      <c r="W234" s="6">
        <f>V234*RPI_inc</f>
        <v>90068.57921019109</v>
      </c>
      <c r="X234" s="6">
        <v>27761152.426846</v>
      </c>
      <c r="Y234" s="6">
        <f>X234*RPI_inc</f>
        <v>28291620.30761376</v>
      </c>
      <c r="Z234" s="14">
        <f>D234+F234+H234+J234+L234+N234+P234+R234+T234+V234+X234</f>
        <v>92132185.83676101</v>
      </c>
      <c r="AC234" s="14">
        <f>E234+G234+I234+K234+M234+O234+Q234+S234+U234+W234+Y234</f>
        <v>93892673.46421504</v>
      </c>
      <c r="AF234" s="51"/>
      <c r="AG234" s="6">
        <v>1144931</v>
      </c>
      <c r="AH234" s="6">
        <f>AG234/$AG$680*$AH$680</f>
        <v>862053.4638515108</v>
      </c>
      <c r="AI234" s="6">
        <v>59167818.846353</v>
      </c>
      <c r="AJ234" s="6">
        <f>AI234/$AI$680*$AJ$680</f>
        <v>40556619.23196712</v>
      </c>
      <c r="AK234" s="6">
        <f>AJ234-AH234</f>
        <v>39694565.76811561</v>
      </c>
      <c r="AL234" s="6"/>
      <c r="AM234" s="6"/>
      <c r="AN234" s="6"/>
      <c r="AO234" s="6"/>
      <c r="AP234" s="6"/>
      <c r="AQ234" s="6"/>
      <c r="AR234" s="6">
        <v>6828736.481126</v>
      </c>
      <c r="AS234" s="6">
        <f>AR234/$AR$680*$AS$680</f>
        <v>6694372.37219435</v>
      </c>
      <c r="AT234" s="6">
        <v>12694914.066402</v>
      </c>
      <c r="AU234" s="6">
        <f>AT234/$AT$680*$AU$680</f>
        <v>10477157.734618803</v>
      </c>
      <c r="AV234" s="6"/>
      <c r="AW234" s="6"/>
      <c r="AX234" s="6"/>
      <c r="AY234" s="6"/>
      <c r="AZ234" s="6">
        <v>125373.785667</v>
      </c>
      <c r="BA234" s="6">
        <f>AZ234/$AZ$680*$BA$680</f>
        <v>122862.10366697308</v>
      </c>
      <c r="BB234" s="6">
        <v>41049719.994902</v>
      </c>
      <c r="BC234" s="6">
        <f>BB234/$BB$680*$BC$680</f>
        <v>40260771.74191381</v>
      </c>
      <c r="BD234" s="6"/>
      <c r="BE234" s="6"/>
      <c r="BF234" s="6"/>
      <c r="BG234" s="6"/>
      <c r="BH234" s="6"/>
      <c r="BI234" s="6"/>
      <c r="BJ234" s="6">
        <v>56114426.327998</v>
      </c>
      <c r="BK234" s="6"/>
      <c r="BL234" s="6"/>
      <c r="BM234" s="6"/>
      <c r="BN234" s="6"/>
      <c r="BO234" s="6">
        <v>269909.451352</v>
      </c>
      <c r="BP234" s="6"/>
      <c r="BQ234" s="6">
        <f t="shared" si="11"/>
        <v>121281403.62580201</v>
      </c>
      <c r="BT234" s="6">
        <f t="shared" si="12"/>
        <v>98111783.18436107</v>
      </c>
      <c r="BW234" s="52"/>
      <c r="BX234" s="6">
        <f t="shared" si="8"/>
        <v>213413589.46256304</v>
      </c>
      <c r="BY234" s="6">
        <f t="shared" si="9"/>
        <v>192004456.6485761</v>
      </c>
    </row>
    <row r="235" spans="1:77" ht="12.75">
      <c r="A235" s="7" t="s">
        <v>865</v>
      </c>
      <c r="B235" s="7" t="s">
        <v>231</v>
      </c>
      <c r="C235" s="7" t="s">
        <v>1344</v>
      </c>
      <c r="D235" s="7"/>
      <c r="E235" s="8"/>
      <c r="F235" s="8"/>
      <c r="G235" s="8"/>
      <c r="H235" s="8">
        <v>9487820.750313</v>
      </c>
      <c r="I235" s="8">
        <f>H235*RPI_inc</f>
        <v>9669116.68821707</v>
      </c>
      <c r="J235" s="8">
        <v>907531.576063</v>
      </c>
      <c r="K235" s="8">
        <f>J235*RPI_inc</f>
        <v>924872.9437584714</v>
      </c>
      <c r="L235" s="7"/>
      <c r="M235" s="8"/>
      <c r="N235" s="8"/>
      <c r="O235" s="8"/>
      <c r="P235" s="8"/>
      <c r="Q235" s="8"/>
      <c r="R235" s="8"/>
      <c r="S235" s="8"/>
      <c r="T235" s="8"/>
      <c r="U235" s="8"/>
      <c r="V235" s="7"/>
      <c r="W235" s="8"/>
      <c r="X235" s="7"/>
      <c r="Y235" s="8"/>
      <c r="Z235" s="15">
        <f>D235+F235+H235+J235+L235+N235+P235+R235+T235+V235+X235</f>
        <v>10395352.326376</v>
      </c>
      <c r="AC235" s="15">
        <f>E235+G235+I235+K235+M235+O235+Q235+S235+U235+W235+Y235</f>
        <v>10593989.63197554</v>
      </c>
      <c r="AF235" s="51"/>
      <c r="AG235" s="7"/>
      <c r="AH235" s="8"/>
      <c r="AI235" s="7"/>
      <c r="AJ235" s="8"/>
      <c r="AK235" s="8"/>
      <c r="AL235" s="8"/>
      <c r="AM235" s="8"/>
      <c r="AN235" s="8">
        <v>11986882.357072</v>
      </c>
      <c r="AO235" s="8">
        <f>AN235/$AN$680*$AO$680</f>
        <v>9883888.620823203</v>
      </c>
      <c r="AP235" s="8">
        <v>-46444</v>
      </c>
      <c r="AQ235" s="8">
        <f>AO235+AP235</f>
        <v>9837444.620823203</v>
      </c>
      <c r="AR235" s="8">
        <v>1310780.231316</v>
      </c>
      <c r="AS235" s="8">
        <f>AR235/$AR$680*$AS$680</f>
        <v>1284988.956711572</v>
      </c>
      <c r="AT235" s="7"/>
      <c r="AU235" s="8"/>
      <c r="AV235" s="8"/>
      <c r="AW235" s="8"/>
      <c r="AX235" s="8"/>
      <c r="AY235" s="8"/>
      <c r="AZ235" s="7"/>
      <c r="BA235" s="8"/>
      <c r="BB235" s="7"/>
      <c r="BC235" s="8"/>
      <c r="BD235" s="8"/>
      <c r="BE235" s="8"/>
      <c r="BF235" s="8"/>
      <c r="BG235" s="8"/>
      <c r="BH235" s="8"/>
      <c r="BI235" s="8"/>
      <c r="BJ235" s="8">
        <v>11038632.916423</v>
      </c>
      <c r="BK235" s="8"/>
      <c r="BL235" s="8"/>
      <c r="BM235" s="8"/>
      <c r="BN235" s="8"/>
      <c r="BO235" s="8">
        <v>30454.111313</v>
      </c>
      <c r="BP235" s="8"/>
      <c r="BQ235" s="8">
        <f t="shared" si="11"/>
        <v>13281672.699701</v>
      </c>
      <c r="BT235" s="8">
        <f t="shared" si="12"/>
        <v>11122433.577534774</v>
      </c>
      <c r="BW235" s="52"/>
      <c r="BX235" s="8">
        <f t="shared" si="8"/>
        <v>23677025.026077002</v>
      </c>
      <c r="BY235" s="8">
        <f t="shared" si="9"/>
        <v>21716423.209510315</v>
      </c>
    </row>
    <row r="236" spans="1:77" ht="12.75">
      <c r="A236" t="s">
        <v>866</v>
      </c>
      <c r="B236" t="s">
        <v>232</v>
      </c>
      <c r="L236"/>
      <c r="V236"/>
      <c r="X236"/>
      <c r="Z236" s="12">
        <f>Z237+Z238</f>
        <v>57084029.045976005</v>
      </c>
      <c r="AC236" s="12">
        <f>AC237+AC238</f>
        <v>58174806.67105836</v>
      </c>
      <c r="AF236" s="51"/>
      <c r="AG236"/>
      <c r="AI236"/>
      <c r="AT236"/>
      <c r="AZ236"/>
      <c r="BB236"/>
      <c r="BI236"/>
      <c r="BJ236" s="1">
        <v>96649106.55163</v>
      </c>
      <c r="BQ236" s="1">
        <f>BQ237+BQ238</f>
        <v>74506948.345902</v>
      </c>
      <c r="BT236" s="1">
        <f>BT237+BT238</f>
        <v>55622716.63389566</v>
      </c>
      <c r="BW236" s="52"/>
      <c r="BX236" s="1">
        <f t="shared" si="8"/>
        <v>131590977.39187801</v>
      </c>
      <c r="BY236" s="1">
        <f t="shared" si="9"/>
        <v>113797523.30495402</v>
      </c>
    </row>
    <row r="237" spans="1:77" ht="12.75">
      <c r="A237" s="5" t="s">
        <v>867</v>
      </c>
      <c r="B237" s="5" t="s">
        <v>233</v>
      </c>
      <c r="C237" s="5" t="s">
        <v>1344</v>
      </c>
      <c r="D237" s="6">
        <v>40302502.931922</v>
      </c>
      <c r="E237" s="6">
        <f>D237*RPI_inc</f>
        <v>41072614.45291414</v>
      </c>
      <c r="F237" s="6"/>
      <c r="G237" s="6"/>
      <c r="H237" s="6"/>
      <c r="I237" s="6"/>
      <c r="J237" s="6">
        <v>2179234.426155</v>
      </c>
      <c r="K237" s="6">
        <f>J237*RPI_inc</f>
        <v>2220875.848310828</v>
      </c>
      <c r="L237" s="6">
        <v>5749832.086546</v>
      </c>
      <c r="M237" s="6">
        <f>L237*RPI_inc</f>
        <v>5859701.489473631</v>
      </c>
      <c r="N237" s="6"/>
      <c r="O237" s="6"/>
      <c r="P237" s="6"/>
      <c r="Q237" s="6"/>
      <c r="R237" s="6"/>
      <c r="S237" s="6"/>
      <c r="T237" s="6"/>
      <c r="U237" s="6"/>
      <c r="V237" s="6">
        <v>58037.4219</v>
      </c>
      <c r="W237" s="6">
        <f>V237*RPI_inc</f>
        <v>59146.41722292994</v>
      </c>
      <c r="X237" s="6">
        <v>5024343.192877</v>
      </c>
      <c r="Y237" s="6">
        <f>X237*RPI_inc</f>
        <v>5120349.750702675</v>
      </c>
      <c r="Z237" s="14">
        <f>D237+F237+H237+J237+L237+N237+P237+R237+T237+V237+X237</f>
        <v>53313950.05940001</v>
      </c>
      <c r="AC237" s="14">
        <f>E237+G237+I237+K237+M237+O237+Q237+S237+U237+W237+Y237</f>
        <v>54332687.958624214</v>
      </c>
      <c r="AF237" s="51"/>
      <c r="AG237" s="6">
        <v>1125801</v>
      </c>
      <c r="AH237" s="6">
        <f>AG237/$AG$680*$AH$680</f>
        <v>847649.9034941796</v>
      </c>
      <c r="AI237" s="6">
        <v>48155913.67298</v>
      </c>
      <c r="AJ237" s="6">
        <f>AI237/$AI$680*$AJ$680</f>
        <v>33008501.795109034</v>
      </c>
      <c r="AK237" s="6">
        <f>AJ237-AH237</f>
        <v>32160851.891614854</v>
      </c>
      <c r="AL237" s="6"/>
      <c r="AM237" s="6"/>
      <c r="AN237" s="6"/>
      <c r="AO237" s="6"/>
      <c r="AP237" s="6"/>
      <c r="AQ237" s="6"/>
      <c r="AR237" s="6">
        <v>3147546.025451</v>
      </c>
      <c r="AS237" s="6">
        <f>AR237/$AR$680*$AS$680</f>
        <v>3085614.038735744</v>
      </c>
      <c r="AT237" s="6">
        <v>7273065.060461</v>
      </c>
      <c r="AU237" s="6">
        <f>AT237/$AT$680*$AU$680</f>
        <v>6002486.464580826</v>
      </c>
      <c r="AV237" s="6"/>
      <c r="AW237" s="6"/>
      <c r="AX237" s="6"/>
      <c r="AY237" s="6"/>
      <c r="AZ237" s="6">
        <v>82330.711786</v>
      </c>
      <c r="BA237" s="6">
        <f>AZ237/$AZ$680*$BA$680</f>
        <v>80681.33535740955</v>
      </c>
      <c r="BB237" s="6">
        <v>7429370.296114</v>
      </c>
      <c r="BC237" s="6">
        <f>BB237/$BB$680*$BC$680</f>
        <v>7286582.751725159</v>
      </c>
      <c r="BD237" s="6"/>
      <c r="BE237" s="6"/>
      <c r="BF237" s="6"/>
      <c r="BG237" s="6"/>
      <c r="BH237" s="6">
        <v>2165537.330951</v>
      </c>
      <c r="BI237" s="6"/>
      <c r="BJ237" s="6">
        <v>89135104.804613</v>
      </c>
      <c r="BK237" s="6"/>
      <c r="BL237" s="6">
        <f t="shared" si="10"/>
        <v>2165537.330951</v>
      </c>
      <c r="BM237" s="6"/>
      <c r="BN237" s="6"/>
      <c r="BO237" s="6">
        <v>156187.969266</v>
      </c>
      <c r="BP237" s="6">
        <v>-167872</v>
      </c>
      <c r="BQ237" s="6">
        <f t="shared" si="11"/>
        <v>69535752.067009</v>
      </c>
      <c r="BT237" s="6">
        <f t="shared" si="12"/>
        <v>51461531.71645918</v>
      </c>
      <c r="BW237" s="52"/>
      <c r="BX237" s="6">
        <f t="shared" si="8"/>
        <v>122849702.12640901</v>
      </c>
      <c r="BY237" s="6">
        <f t="shared" si="9"/>
        <v>105794219.6750834</v>
      </c>
    </row>
    <row r="238" spans="1:77" ht="12.75">
      <c r="A238" s="7" t="s">
        <v>868</v>
      </c>
      <c r="B238" s="7" t="s">
        <v>234</v>
      </c>
      <c r="C238" s="7" t="s">
        <v>1344</v>
      </c>
      <c r="D238" s="7"/>
      <c r="E238" s="8"/>
      <c r="F238" s="8"/>
      <c r="G238" s="8"/>
      <c r="H238" s="8">
        <v>3580262.913259</v>
      </c>
      <c r="I238" s="8">
        <f>H238*RPI_inc</f>
        <v>3648675.5803913376</v>
      </c>
      <c r="J238" s="8">
        <v>189816.073317</v>
      </c>
      <c r="K238" s="8">
        <f>J238*RPI_inc</f>
        <v>193443.13204280255</v>
      </c>
      <c r="L238" s="7"/>
      <c r="M238" s="8"/>
      <c r="N238" s="8"/>
      <c r="O238" s="8"/>
      <c r="P238" s="8"/>
      <c r="Q238" s="8"/>
      <c r="R238" s="8"/>
      <c r="S238" s="8"/>
      <c r="T238" s="8"/>
      <c r="U238" s="8"/>
      <c r="V238" s="7"/>
      <c r="W238" s="8"/>
      <c r="X238" s="7"/>
      <c r="Y238" s="8"/>
      <c r="Z238" s="15">
        <f>D238+F238+H238+J238+L238+N238+P238+R238+T238+V238+X238</f>
        <v>3770078.986576</v>
      </c>
      <c r="AC238" s="15">
        <f>E238+G238+I238+K238+M238+O238+Q238+S238+U238+W238+Y238</f>
        <v>3842118.71243414</v>
      </c>
      <c r="AF238" s="51"/>
      <c r="AG238" s="7"/>
      <c r="AH238" s="8"/>
      <c r="AI238" s="7"/>
      <c r="AJ238" s="8"/>
      <c r="AK238" s="8"/>
      <c r="AL238" s="8"/>
      <c r="AM238" s="8"/>
      <c r="AN238" s="8">
        <v>4523292.701035</v>
      </c>
      <c r="AO238" s="8">
        <f>AN238/$AN$680*$AO$680</f>
        <v>3729720.5332157034</v>
      </c>
      <c r="AP238" s="8">
        <v>-19852</v>
      </c>
      <c r="AQ238" s="8">
        <f>AO238+AP238</f>
        <v>3709868.5332157034</v>
      </c>
      <c r="AR238" s="8">
        <v>274158.126342</v>
      </c>
      <c r="AS238" s="8">
        <f>AR238/$AR$680*$AS$680</f>
        <v>268763.7151717743</v>
      </c>
      <c r="AT238" s="7"/>
      <c r="AU238" s="8"/>
      <c r="AV238" s="8"/>
      <c r="AW238" s="8"/>
      <c r="AX238" s="8"/>
      <c r="AY238" s="8"/>
      <c r="AZ238" s="7"/>
      <c r="BA238" s="8"/>
      <c r="BB238" s="7"/>
      <c r="BC238" s="8"/>
      <c r="BD238" s="8"/>
      <c r="BE238" s="8"/>
      <c r="BF238" s="8"/>
      <c r="BG238" s="8"/>
      <c r="BH238" s="8">
        <v>182552.669049</v>
      </c>
      <c r="BI238" s="8"/>
      <c r="BJ238" s="8">
        <v>7514001.747017</v>
      </c>
      <c r="BK238" s="8"/>
      <c r="BL238" s="8">
        <f t="shared" si="10"/>
        <v>182552.669049</v>
      </c>
      <c r="BM238" s="8"/>
      <c r="BN238" s="8"/>
      <c r="BO238" s="8">
        <v>11044.782467</v>
      </c>
      <c r="BP238" s="8"/>
      <c r="BQ238" s="8">
        <f t="shared" si="11"/>
        <v>4971196.278893001</v>
      </c>
      <c r="BT238" s="8">
        <f t="shared" si="12"/>
        <v>4161184.9174364777</v>
      </c>
      <c r="BW238" s="52"/>
      <c r="BX238" s="8">
        <f t="shared" si="8"/>
        <v>8741275.265469002</v>
      </c>
      <c r="BY238" s="8">
        <f t="shared" si="9"/>
        <v>8003303.629870618</v>
      </c>
    </row>
    <row r="239" spans="1:77" ht="12.75">
      <c r="A239" t="s">
        <v>869</v>
      </c>
      <c r="B239" t="s">
        <v>235</v>
      </c>
      <c r="L239"/>
      <c r="V239"/>
      <c r="X239"/>
      <c r="Z239" s="12">
        <f>Z240+Z241</f>
        <v>70586294.293194</v>
      </c>
      <c r="AC239" s="12">
        <f>AC240+AC241</f>
        <v>71935076.98669451</v>
      </c>
      <c r="AF239" s="51"/>
      <c r="AG239"/>
      <c r="AI239"/>
      <c r="AT239"/>
      <c r="AZ239"/>
      <c r="BB239"/>
      <c r="BI239">
        <v>3915432</v>
      </c>
      <c r="BJ239" s="1">
        <v>102895314.402033</v>
      </c>
      <c r="BQ239" s="1">
        <f>BQ240+BQ241</f>
        <v>97734544.83241402</v>
      </c>
      <c r="BT239" s="1">
        <f>BT240+BT241</f>
        <v>75892133.08609839</v>
      </c>
      <c r="BW239" s="52"/>
      <c r="BX239" s="1">
        <f t="shared" si="8"/>
        <v>168320839.12560803</v>
      </c>
      <c r="BY239" s="1">
        <f t="shared" si="9"/>
        <v>147827210.0727929</v>
      </c>
    </row>
    <row r="240" spans="1:77" ht="12.75">
      <c r="A240" s="5" t="s">
        <v>870</v>
      </c>
      <c r="B240" s="5" t="s">
        <v>236</v>
      </c>
      <c r="C240" s="5" t="s">
        <v>1344</v>
      </c>
      <c r="D240" s="6">
        <v>46221067.290283</v>
      </c>
      <c r="E240" s="6">
        <f>D240*RPI_inc</f>
        <v>47104272.39774064</v>
      </c>
      <c r="F240" s="6"/>
      <c r="G240" s="6"/>
      <c r="H240" s="6"/>
      <c r="I240" s="6"/>
      <c r="J240" s="6">
        <v>3489142.085738</v>
      </c>
      <c r="K240" s="6">
        <f>J240*RPI_inc</f>
        <v>3555813.5905610193</v>
      </c>
      <c r="L240" s="6">
        <v>7590987.675629</v>
      </c>
      <c r="M240" s="6">
        <f>L240*RPI_inc</f>
        <v>7736038.395545478</v>
      </c>
      <c r="N240" s="6"/>
      <c r="O240" s="6"/>
      <c r="P240" s="6"/>
      <c r="Q240" s="6"/>
      <c r="R240" s="6"/>
      <c r="S240" s="6"/>
      <c r="T240" s="6"/>
      <c r="U240" s="6"/>
      <c r="V240" s="6">
        <v>71966.403156</v>
      </c>
      <c r="W240" s="6">
        <f>V240*RPI_inc</f>
        <v>73341.55735643313</v>
      </c>
      <c r="X240" s="6">
        <v>8280436.834112</v>
      </c>
      <c r="Y240" s="6">
        <f>X240*RPI_inc</f>
        <v>8438661.741770191</v>
      </c>
      <c r="Z240" s="14">
        <f>D240+F240+H240+J240+L240+N240+P240+R240+T240+V240+X240</f>
        <v>65653600.288918</v>
      </c>
      <c r="AC240" s="14">
        <f>E240+G240+I240+K240+M240+O240+Q240+S240+U240+W240+Y240</f>
        <v>66908127.68297376</v>
      </c>
      <c r="AF240" s="51"/>
      <c r="AG240" s="6">
        <v>1230408</v>
      </c>
      <c r="AH240" s="6">
        <f>AG240/$AG$680*$AH$680</f>
        <v>926411.7037189225</v>
      </c>
      <c r="AI240" s="6">
        <v>55227779.030588</v>
      </c>
      <c r="AJ240" s="6">
        <f>AI240/$AI$680*$AJ$680</f>
        <v>37855916.42286534</v>
      </c>
      <c r="AK240" s="6">
        <f>AJ240-AH240</f>
        <v>36929504.719146416</v>
      </c>
      <c r="AL240" s="6"/>
      <c r="AM240" s="6"/>
      <c r="AN240" s="6"/>
      <c r="AO240" s="6"/>
      <c r="AP240" s="6"/>
      <c r="AQ240" s="6"/>
      <c r="AR240" s="6">
        <v>5039492.388883</v>
      </c>
      <c r="AS240" s="6">
        <f>AR240/$AR$680*$AS$680</f>
        <v>4940333.94190359</v>
      </c>
      <c r="AT240" s="6">
        <v>9601975.571982</v>
      </c>
      <c r="AU240" s="6">
        <f>AT240/$AT$680*$AU$680</f>
        <v>7924544.593638557</v>
      </c>
      <c r="AV240" s="6"/>
      <c r="AW240" s="6"/>
      <c r="AX240" s="6"/>
      <c r="AY240" s="6"/>
      <c r="AZ240" s="6">
        <v>102090.082614</v>
      </c>
      <c r="BA240" s="6">
        <f>AZ240/$AZ$680*$BA$680</f>
        <v>100044.85584256068</v>
      </c>
      <c r="BB240" s="6">
        <v>12244074.318293</v>
      </c>
      <c r="BC240" s="6">
        <f>BB240/$BB$680*$BC$680</f>
        <v>12008751.372263782</v>
      </c>
      <c r="BD240" s="6"/>
      <c r="BE240" s="6"/>
      <c r="BF240" s="6"/>
      <c r="BG240" s="6"/>
      <c r="BH240" s="6">
        <v>3554524.178054</v>
      </c>
      <c r="BI240" s="6"/>
      <c r="BJ240" s="6">
        <v>93926960.673144</v>
      </c>
      <c r="BK240" s="6">
        <f>BJ240/BJ239*BI239</f>
        <v>3574163.0182054555</v>
      </c>
      <c r="BL240" s="6">
        <f t="shared" si="10"/>
        <v>7128687.196259456</v>
      </c>
      <c r="BM240" s="6"/>
      <c r="BN240" s="6"/>
      <c r="BO240" s="6">
        <v>192338.074608</v>
      </c>
      <c r="BP240" s="6"/>
      <c r="BQ240" s="6">
        <f t="shared" si="11"/>
        <v>90766844.66322747</v>
      </c>
      <c r="BT240" s="6">
        <f t="shared" si="12"/>
        <v>69958278.38277328</v>
      </c>
      <c r="BW240" s="52"/>
      <c r="BX240" s="6">
        <f t="shared" si="8"/>
        <v>156420444.95214546</v>
      </c>
      <c r="BY240" s="6">
        <f t="shared" si="9"/>
        <v>136866406.06574702</v>
      </c>
    </row>
    <row r="241" spans="1:77" ht="12.75">
      <c r="A241" s="7" t="s">
        <v>871</v>
      </c>
      <c r="B241" s="7" t="s">
        <v>237</v>
      </c>
      <c r="C241" s="7" t="s">
        <v>1344</v>
      </c>
      <c r="D241" s="7"/>
      <c r="E241" s="8"/>
      <c r="F241" s="8"/>
      <c r="G241" s="8"/>
      <c r="H241" s="8">
        <v>4550013.461477</v>
      </c>
      <c r="I241" s="8">
        <f>H241*RPI_inc</f>
        <v>4636956.393861911</v>
      </c>
      <c r="J241" s="8">
        <v>382680.542799</v>
      </c>
      <c r="K241" s="8">
        <f>J241*RPI_inc</f>
        <v>389992.9098588535</v>
      </c>
      <c r="L241" s="7"/>
      <c r="M241" s="8"/>
      <c r="N241" s="8"/>
      <c r="O241" s="8"/>
      <c r="P241" s="8"/>
      <c r="Q241" s="8"/>
      <c r="R241" s="8"/>
      <c r="S241" s="8"/>
      <c r="T241" s="8"/>
      <c r="U241" s="8"/>
      <c r="V241" s="7"/>
      <c r="W241" s="8"/>
      <c r="X241" s="7"/>
      <c r="Y241" s="8"/>
      <c r="Z241" s="15">
        <f>D241+F241+H241+J241+L241+N241+P241+R241+T241+V241+X241</f>
        <v>4932694.004276</v>
      </c>
      <c r="AC241" s="15">
        <f>E241+G241+I241+K241+M241+O241+Q241+S241+U241+W241+Y241</f>
        <v>5026949.303720765</v>
      </c>
      <c r="AF241" s="51"/>
      <c r="AG241" s="7"/>
      <c r="AH241" s="8"/>
      <c r="AI241" s="7"/>
      <c r="AJ241" s="8"/>
      <c r="AK241" s="8"/>
      <c r="AL241" s="8"/>
      <c r="AM241" s="8"/>
      <c r="AN241" s="8">
        <v>5748472.438628</v>
      </c>
      <c r="AO241" s="8">
        <f>AN241/$AN$680*$AO$680</f>
        <v>4739953.19473125</v>
      </c>
      <c r="AP241" s="8">
        <v>-28605</v>
      </c>
      <c r="AQ241" s="8">
        <f>AO241+AP241</f>
        <v>4711348.19473125</v>
      </c>
      <c r="AR241" s="8">
        <v>552719.160017</v>
      </c>
      <c r="AS241" s="8">
        <f>AR241/$AR$680*$AS$680</f>
        <v>541843.704853311</v>
      </c>
      <c r="AT241" s="7"/>
      <c r="AU241" s="8"/>
      <c r="AV241" s="8"/>
      <c r="AW241" s="8"/>
      <c r="AX241" s="8"/>
      <c r="AY241" s="8"/>
      <c r="AZ241" s="7"/>
      <c r="BA241" s="8"/>
      <c r="BB241" s="7"/>
      <c r="BC241" s="8"/>
      <c r="BD241" s="8"/>
      <c r="BE241" s="8"/>
      <c r="BF241" s="8"/>
      <c r="BG241" s="8"/>
      <c r="BH241" s="8">
        <v>339393.821946</v>
      </c>
      <c r="BI241" s="8"/>
      <c r="BJ241" s="8">
        <v>8968353.728889</v>
      </c>
      <c r="BK241" s="8">
        <f>BJ241/BJ239*BI239</f>
        <v>341268.9817945443</v>
      </c>
      <c r="BL241" s="8">
        <f t="shared" si="10"/>
        <v>680662.8037405442</v>
      </c>
      <c r="BM241" s="8"/>
      <c r="BN241" s="8"/>
      <c r="BO241" s="8">
        <v>14450.766801</v>
      </c>
      <c r="BP241" s="8"/>
      <c r="BQ241" s="8">
        <f t="shared" si="11"/>
        <v>6967700.169186544</v>
      </c>
      <c r="BT241" s="8">
        <f t="shared" si="12"/>
        <v>5933854.703325106</v>
      </c>
      <c r="BW241" s="52"/>
      <c r="BX241" s="8">
        <f t="shared" si="8"/>
        <v>11900394.173462544</v>
      </c>
      <c r="BY241" s="8">
        <f t="shared" si="9"/>
        <v>10960804.00704587</v>
      </c>
    </row>
    <row r="242" spans="1:77" ht="12.75">
      <c r="A242" t="s">
        <v>875</v>
      </c>
      <c r="B242" t="s">
        <v>241</v>
      </c>
      <c r="L242"/>
      <c r="V242"/>
      <c r="X242"/>
      <c r="Z242" s="12">
        <f>Z243+Z244+Z245</f>
        <v>29185069.208681997</v>
      </c>
      <c r="AC242" s="12">
        <f>AC243+AC244+AC245</f>
        <v>29742745.69037656</v>
      </c>
      <c r="AF242" s="51"/>
      <c r="AG242"/>
      <c r="AI242"/>
      <c r="AT242"/>
      <c r="AZ242"/>
      <c r="BB242"/>
      <c r="BI242"/>
      <c r="BJ242" s="1">
        <v>57264393.926158</v>
      </c>
      <c r="BQ242" s="1">
        <f>BQ243+BQ244+BQ245</f>
        <v>36360069.15096799</v>
      </c>
      <c r="BT242" s="1">
        <f>BT243+BT244+BT245</f>
        <v>25865800.85218196</v>
      </c>
      <c r="BW242" s="52"/>
      <c r="BX242" s="1">
        <f t="shared" si="8"/>
        <v>65545138.359649986</v>
      </c>
      <c r="BY242" s="1">
        <f t="shared" si="9"/>
        <v>55608546.54255852</v>
      </c>
    </row>
    <row r="243" spans="1:77" ht="12.75">
      <c r="A243" s="3" t="s">
        <v>876</v>
      </c>
      <c r="B243" s="3" t="s">
        <v>242</v>
      </c>
      <c r="C243" s="3" t="s">
        <v>1345</v>
      </c>
      <c r="D243" s="3"/>
      <c r="E243" s="4"/>
      <c r="F243" s="4">
        <v>3699762.238972</v>
      </c>
      <c r="G243" s="4">
        <f>F243*RPI_inc</f>
        <v>3770458.3327103183</v>
      </c>
      <c r="H243" s="4"/>
      <c r="I243" s="4"/>
      <c r="J243" s="4">
        <v>103646.404218</v>
      </c>
      <c r="K243" s="4">
        <f>J243*RPI_inc</f>
        <v>105626.90875719745</v>
      </c>
      <c r="L243" s="3"/>
      <c r="M243" s="4"/>
      <c r="N243" s="4"/>
      <c r="O243" s="4"/>
      <c r="P243" s="4"/>
      <c r="Q243" s="4"/>
      <c r="R243" s="4"/>
      <c r="S243" s="4"/>
      <c r="T243" s="4">
        <v>49800.588072</v>
      </c>
      <c r="U243" s="4">
        <f>T243*RPI_inc</f>
        <v>50752.191665732484</v>
      </c>
      <c r="V243" s="3"/>
      <c r="W243" s="4"/>
      <c r="X243" s="3"/>
      <c r="Y243" s="4"/>
      <c r="Z243" s="13">
        <f>D243+F243+H243+J243+L243+N243+P243+R243+T243+V243+X243</f>
        <v>3853209.231262</v>
      </c>
      <c r="AC243" s="13">
        <f>E243+G243+I243+K243+M243+O243+Q243+S243+U243+W243+Y243</f>
        <v>3926837.4331332482</v>
      </c>
      <c r="AF243" s="51"/>
      <c r="AG243" s="3"/>
      <c r="AH243" s="4"/>
      <c r="AI243" s="3"/>
      <c r="AJ243" s="4"/>
      <c r="AK243" s="4"/>
      <c r="AL243" s="4">
        <v>4087418.931209</v>
      </c>
      <c r="AM243" s="4">
        <f>AL243/$AL$680*$AM$680</f>
        <v>2736697.667002639</v>
      </c>
      <c r="AN243" s="4"/>
      <c r="AO243" s="4"/>
      <c r="AP243" s="4"/>
      <c r="AQ243" s="4"/>
      <c r="AR243" s="4">
        <v>149700.199176</v>
      </c>
      <c r="AS243" s="4">
        <f>AR243/$AR$680*$AS$680</f>
        <v>146754.65662581258</v>
      </c>
      <c r="AT243" s="3"/>
      <c r="AU243" s="4"/>
      <c r="AV243" s="4"/>
      <c r="AW243" s="4"/>
      <c r="AX243" s="4">
        <v>70646.105915</v>
      </c>
      <c r="AY243" s="4">
        <f>AX243/$AX$680*$AY$680</f>
        <v>69230.81485228185</v>
      </c>
      <c r="AZ243" s="3"/>
      <c r="BA243" s="4"/>
      <c r="BB243" s="3"/>
      <c r="BC243" s="4"/>
      <c r="BD243" s="4"/>
      <c r="BE243" s="4"/>
      <c r="BF243" s="4"/>
      <c r="BG243" s="4"/>
      <c r="BH243" s="4">
        <v>96182.111786</v>
      </c>
      <c r="BI243" s="4"/>
      <c r="BJ243" s="4">
        <v>7599317.221645</v>
      </c>
      <c r="BK243" s="4"/>
      <c r="BL243" s="4">
        <f t="shared" si="10"/>
        <v>96182.111786</v>
      </c>
      <c r="BM243" s="4"/>
      <c r="BN243" s="4"/>
      <c r="BO243" s="4">
        <v>11288.31993</v>
      </c>
      <c r="BP243" s="4"/>
      <c r="BQ243" s="4">
        <f t="shared" si="11"/>
        <v>4415235.668016001</v>
      </c>
      <c r="BT243" s="4">
        <f t="shared" si="12"/>
        <v>3048865.250266733</v>
      </c>
      <c r="BW243" s="52"/>
      <c r="BX243" s="4">
        <f t="shared" si="8"/>
        <v>8268444.899278</v>
      </c>
      <c r="BY243" s="4">
        <f t="shared" si="9"/>
        <v>6975702.683399981</v>
      </c>
    </row>
    <row r="244" spans="1:77" ht="12.75">
      <c r="A244" s="5" t="s">
        <v>877</v>
      </c>
      <c r="B244" s="5" t="s">
        <v>243</v>
      </c>
      <c r="C244" s="5" t="s">
        <v>1345</v>
      </c>
      <c r="D244" s="6">
        <v>20827343.754523</v>
      </c>
      <c r="E244" s="6">
        <f>D244*RPI_inc</f>
        <v>21225318.475947008</v>
      </c>
      <c r="F244" s="6"/>
      <c r="G244" s="6"/>
      <c r="H244" s="6"/>
      <c r="I244" s="6"/>
      <c r="J244" s="6">
        <v>577170.821427</v>
      </c>
      <c r="K244" s="6">
        <f>J244*RPI_inc</f>
        <v>588199.563237707</v>
      </c>
      <c r="L244" s="6">
        <v>1587986.965009</v>
      </c>
      <c r="M244" s="6">
        <f>L244*RPI_inc</f>
        <v>1618330.6649773247</v>
      </c>
      <c r="N244" s="6"/>
      <c r="O244" s="6"/>
      <c r="P244" s="6"/>
      <c r="Q244" s="6"/>
      <c r="R244" s="6"/>
      <c r="S244" s="6"/>
      <c r="T244" s="6"/>
      <c r="U244" s="6"/>
      <c r="V244" s="6">
        <v>48873.618442</v>
      </c>
      <c r="W244" s="6">
        <f>V244*RPI_inc</f>
        <v>49807.509240254774</v>
      </c>
      <c r="X244" s="6">
        <v>642961.774779</v>
      </c>
      <c r="Y244" s="6">
        <f>X244*RPI_inc</f>
        <v>655247.668564586</v>
      </c>
      <c r="Z244" s="14">
        <f>D244+F244+H244+J244+L244+N244+P244+R244+T244+V244+X244</f>
        <v>23684336.93418</v>
      </c>
      <c r="AC244" s="14">
        <f>E244+G244+I244+K244+M244+O244+Q244+S244+U244+W244+Y244</f>
        <v>24136903.88196688</v>
      </c>
      <c r="AF244" s="51"/>
      <c r="AG244" s="6">
        <v>410951</v>
      </c>
      <c r="AH244" s="6">
        <f>AG244/$AG$680*$AH$680</f>
        <v>309417.53959255375</v>
      </c>
      <c r="AI244" s="6">
        <v>24885793.559136</v>
      </c>
      <c r="AJ244" s="6">
        <f>AI244/$AI$680*$AJ$680</f>
        <v>17057983.095238417</v>
      </c>
      <c r="AK244" s="6">
        <f>AJ244-AH244</f>
        <v>16748565.555645864</v>
      </c>
      <c r="AL244" s="6"/>
      <c r="AM244" s="6"/>
      <c r="AN244" s="6"/>
      <c r="AO244" s="6"/>
      <c r="AP244" s="6"/>
      <c r="AQ244" s="6"/>
      <c r="AR244" s="6">
        <v>833628.407842</v>
      </c>
      <c r="AS244" s="6">
        <f>AR244/$AR$680*$AS$680</f>
        <v>817225.7045733376</v>
      </c>
      <c r="AT244" s="6">
        <v>2008673.007809</v>
      </c>
      <c r="AU244" s="6">
        <f>AT244/$AT$680*$AU$680</f>
        <v>1657764.978164261</v>
      </c>
      <c r="AV244" s="6"/>
      <c r="AW244" s="6"/>
      <c r="AX244" s="6"/>
      <c r="AY244" s="6"/>
      <c r="AZ244" s="6">
        <v>69331.125714</v>
      </c>
      <c r="BA244" s="6">
        <f>AZ244/$AZ$680*$BA$680</f>
        <v>67942.17714256595</v>
      </c>
      <c r="BB244" s="6">
        <v>950731.454383</v>
      </c>
      <c r="BC244" s="6">
        <f>BB244/$BB$680*$BC$680</f>
        <v>932459.0296237193</v>
      </c>
      <c r="BD244" s="6"/>
      <c r="BE244" s="6"/>
      <c r="BF244" s="6"/>
      <c r="BG244" s="6"/>
      <c r="BH244" s="6">
        <v>584836.514821</v>
      </c>
      <c r="BI244" s="6"/>
      <c r="BJ244" s="6">
        <v>46207741.922124</v>
      </c>
      <c r="BK244" s="6"/>
      <c r="BL244" s="6">
        <f t="shared" si="10"/>
        <v>584836.514821</v>
      </c>
      <c r="BM244" s="6"/>
      <c r="BN244" s="6"/>
      <c r="BO244" s="6">
        <v>69385.376342</v>
      </c>
      <c r="BP244" s="6">
        <v>-71916</v>
      </c>
      <c r="BQ244" s="6">
        <f t="shared" si="11"/>
        <v>29813330.446046997</v>
      </c>
      <c r="BT244" s="6">
        <f t="shared" si="12"/>
        <v>21046295.4995633</v>
      </c>
      <c r="BW244" s="52"/>
      <c r="BX244" s="6">
        <f t="shared" si="8"/>
        <v>53497667.380227</v>
      </c>
      <c r="BY244" s="6">
        <f t="shared" si="9"/>
        <v>45183199.38153018</v>
      </c>
    </row>
    <row r="245" spans="1:77" ht="12.75">
      <c r="A245" s="7" t="s">
        <v>878</v>
      </c>
      <c r="B245" s="7" t="s">
        <v>244</v>
      </c>
      <c r="C245" s="7" t="s">
        <v>1345</v>
      </c>
      <c r="D245" s="7"/>
      <c r="E245" s="8"/>
      <c r="F245" s="8"/>
      <c r="G245" s="8"/>
      <c r="H245" s="8">
        <v>1600221.101332</v>
      </c>
      <c r="I245" s="8">
        <f>H245*RPI_inc</f>
        <v>1630798.5746058598</v>
      </c>
      <c r="J245" s="8">
        <v>47301.941908</v>
      </c>
      <c r="K245" s="8">
        <f>J245*RPI_inc</f>
        <v>48205.80067057325</v>
      </c>
      <c r="L245" s="7"/>
      <c r="M245" s="8"/>
      <c r="N245" s="8"/>
      <c r="O245" s="8"/>
      <c r="P245" s="8"/>
      <c r="Q245" s="8"/>
      <c r="R245" s="8"/>
      <c r="S245" s="8"/>
      <c r="T245" s="8"/>
      <c r="U245" s="8"/>
      <c r="V245" s="7"/>
      <c r="W245" s="8"/>
      <c r="X245" s="7"/>
      <c r="Y245" s="8"/>
      <c r="Z245" s="15">
        <f>D245+F245+H245+J245+L245+N245+P245+R245+T245+V245+X245</f>
        <v>1647523.04324</v>
      </c>
      <c r="AC245" s="15">
        <f>E245+G245+I245+K245+M245+O245+Q245+S245+U245+W245+Y245</f>
        <v>1679004.375276433</v>
      </c>
      <c r="AF245" s="51"/>
      <c r="AG245" s="7"/>
      <c r="AH245" s="8"/>
      <c r="AI245" s="7"/>
      <c r="AJ245" s="8"/>
      <c r="AK245" s="8"/>
      <c r="AL245" s="8"/>
      <c r="AM245" s="8"/>
      <c r="AN245" s="8">
        <v>2021714.215706</v>
      </c>
      <c r="AO245" s="8">
        <f>AN245/$AN$680*$AO$680</f>
        <v>1667022.1276830884</v>
      </c>
      <c r="AP245" s="8">
        <v>-7116</v>
      </c>
      <c r="AQ245" s="8">
        <f>AO245+AP245</f>
        <v>1659906.1276830884</v>
      </c>
      <c r="AR245" s="8">
        <v>68319.882185</v>
      </c>
      <c r="AS245" s="8">
        <f>AR245/$AR$680*$AS$680</f>
        <v>66975.60127483823</v>
      </c>
      <c r="AT245" s="7"/>
      <c r="AU245" s="8"/>
      <c r="AV245" s="8"/>
      <c r="AW245" s="8"/>
      <c r="AX245" s="8"/>
      <c r="AY245" s="8"/>
      <c r="AZ245" s="7"/>
      <c r="BA245" s="8"/>
      <c r="BB245" s="7"/>
      <c r="BC245" s="8"/>
      <c r="BD245" s="8"/>
      <c r="BE245" s="8"/>
      <c r="BF245" s="8"/>
      <c r="BG245" s="8"/>
      <c r="BH245" s="8">
        <v>43758.373394</v>
      </c>
      <c r="BI245" s="8"/>
      <c r="BJ245" s="8">
        <v>3457334.782389</v>
      </c>
      <c r="BK245" s="8"/>
      <c r="BL245" s="8">
        <f t="shared" si="10"/>
        <v>43758.373394</v>
      </c>
      <c r="BM245" s="8"/>
      <c r="BN245" s="8"/>
      <c r="BO245" s="8">
        <v>4826.56562</v>
      </c>
      <c r="BP245" s="8"/>
      <c r="BQ245" s="8">
        <f t="shared" si="11"/>
        <v>2131503.036905</v>
      </c>
      <c r="BT245" s="8">
        <f t="shared" si="12"/>
        <v>1770640.1023519267</v>
      </c>
      <c r="BW245" s="52"/>
      <c r="BX245" s="8">
        <f t="shared" si="8"/>
        <v>3779026.080145</v>
      </c>
      <c r="BY245" s="8">
        <f t="shared" si="9"/>
        <v>3449644.4776283596</v>
      </c>
    </row>
    <row r="246" spans="1:77" ht="12.75">
      <c r="A246" t="s">
        <v>879</v>
      </c>
      <c r="B246" t="s">
        <v>245</v>
      </c>
      <c r="K246"/>
      <c r="L246"/>
      <c r="V246"/>
      <c r="X246"/>
      <c r="Z246" s="12">
        <f>Z247+Z248</f>
        <v>21097185.223516997</v>
      </c>
      <c r="AC246" s="12">
        <f>AC247+AC248</f>
        <v>21500316.1513549</v>
      </c>
      <c r="AF246" s="51"/>
      <c r="AG246"/>
      <c r="AI246"/>
      <c r="AT246"/>
      <c r="AZ246"/>
      <c r="BB246"/>
      <c r="BI246">
        <v>798667</v>
      </c>
      <c r="BJ246" s="1">
        <v>38020462.79947</v>
      </c>
      <c r="BQ246" s="1">
        <f>BQ247+BQ248</f>
        <v>27564731.273335025</v>
      </c>
      <c r="BT246" s="1">
        <f>BT247+BT248</f>
        <v>20354415.110878393</v>
      </c>
      <c r="BW246" s="52"/>
      <c r="BX246" s="1">
        <f t="shared" si="8"/>
        <v>48661916.496852025</v>
      </c>
      <c r="BY246" s="1">
        <f t="shared" si="9"/>
        <v>41854731.262233295</v>
      </c>
    </row>
    <row r="247" spans="1:77" ht="12.75">
      <c r="A247" s="3" t="s">
        <v>880</v>
      </c>
      <c r="B247" s="3" t="s">
        <v>246</v>
      </c>
      <c r="C247" s="3" t="s">
        <v>1346</v>
      </c>
      <c r="D247" s="3"/>
      <c r="E247" s="4"/>
      <c r="F247" s="4">
        <v>3800568.866207</v>
      </c>
      <c r="G247" s="4">
        <f>F247*RPI_inc</f>
        <v>3873191.2012300636</v>
      </c>
      <c r="H247" s="4"/>
      <c r="I247" s="4"/>
      <c r="J247" s="4">
        <v>182000.173269</v>
      </c>
      <c r="K247" s="4">
        <f>J247*RPI_inc</f>
        <v>185477.88358624204</v>
      </c>
      <c r="L247" s="3"/>
      <c r="M247" s="4"/>
      <c r="N247" s="4"/>
      <c r="O247" s="4"/>
      <c r="P247" s="4"/>
      <c r="Q247" s="4"/>
      <c r="R247" s="4"/>
      <c r="S247" s="4"/>
      <c r="T247" s="4">
        <v>83819.070189</v>
      </c>
      <c r="U247" s="4">
        <f>T247*RPI_inc</f>
        <v>85420.70847286624</v>
      </c>
      <c r="V247" s="3"/>
      <c r="W247" s="4"/>
      <c r="X247" s="3"/>
      <c r="Y247" s="4"/>
      <c r="Z247" s="13">
        <f>D247+F247+H247+J247+L247+N247+P247+R247+T247+V247+X247</f>
        <v>4066388.109665</v>
      </c>
      <c r="AC247" s="13">
        <f>E247+G247+I247+K247+M247+O247+Q247+S247+U247+W247+Y247</f>
        <v>4144089.7932891715</v>
      </c>
      <c r="AF247" s="51"/>
      <c r="AG247" s="3"/>
      <c r="AH247" s="4"/>
      <c r="AI247" s="3"/>
      <c r="AJ247" s="4"/>
      <c r="AK247" s="4"/>
      <c r="AL247" s="4">
        <v>4198787.957092</v>
      </c>
      <c r="AM247" s="4">
        <f>AL247/$AL$680*$AM$680</f>
        <v>2811263.8806547867</v>
      </c>
      <c r="AN247" s="4"/>
      <c r="AO247" s="4"/>
      <c r="AP247" s="4"/>
      <c r="AQ247" s="4"/>
      <c r="AR247" s="4">
        <v>262869.343073</v>
      </c>
      <c r="AS247" s="4">
        <f>AR247/$AR$680*$AS$680</f>
        <v>257697.05312667193</v>
      </c>
      <c r="AT247" s="3"/>
      <c r="AU247" s="4"/>
      <c r="AV247" s="4"/>
      <c r="AW247" s="4"/>
      <c r="AX247" s="4">
        <v>118904.035866</v>
      </c>
      <c r="AY247" s="4">
        <f>AX247/$AX$680*$AY$680</f>
        <v>116521.96799258117</v>
      </c>
      <c r="AZ247" s="3"/>
      <c r="BA247" s="4"/>
      <c r="BB247" s="3"/>
      <c r="BC247" s="4"/>
      <c r="BD247" s="4"/>
      <c r="BE247" s="4"/>
      <c r="BF247" s="4"/>
      <c r="BG247" s="4"/>
      <c r="BH247" s="4">
        <v>166184.204425</v>
      </c>
      <c r="BI247" s="4"/>
      <c r="BJ247" s="4">
        <v>7995758.596299</v>
      </c>
      <c r="BK247" s="4">
        <f>BJ247/BJ246*BI246</f>
        <v>167960.8311059105</v>
      </c>
      <c r="BL247" s="4">
        <f t="shared" si="10"/>
        <v>334145.0355309105</v>
      </c>
      <c r="BM247" s="4"/>
      <c r="BN247" s="4"/>
      <c r="BO247" s="4">
        <v>11912.846457</v>
      </c>
      <c r="BP247" s="4"/>
      <c r="BQ247" s="4">
        <f t="shared" si="11"/>
        <v>4926619.21801891</v>
      </c>
      <c r="BT247" s="4">
        <f t="shared" si="12"/>
        <v>3519627.93730495</v>
      </c>
      <c r="BW247" s="52"/>
      <c r="BX247" s="4">
        <f t="shared" si="8"/>
        <v>8993007.32768391</v>
      </c>
      <c r="BY247" s="4">
        <f t="shared" si="9"/>
        <v>7663717.730594121</v>
      </c>
    </row>
    <row r="248" spans="1:77" ht="12.75">
      <c r="A248" s="5" t="s">
        <v>881</v>
      </c>
      <c r="B248" s="5" t="s">
        <v>247</v>
      </c>
      <c r="C248" s="5" t="s">
        <v>1346</v>
      </c>
      <c r="D248" s="6">
        <v>13140079.762253</v>
      </c>
      <c r="E248" s="6">
        <f>D248*RPI_inc</f>
        <v>13391164.088920254</v>
      </c>
      <c r="F248" s="6"/>
      <c r="G248" s="6"/>
      <c r="H248" s="6"/>
      <c r="I248" s="6"/>
      <c r="J248" s="6">
        <v>606358.579975</v>
      </c>
      <c r="K248" s="6">
        <f>J248*RPI_inc</f>
        <v>617945.049656051</v>
      </c>
      <c r="L248" s="6">
        <v>1842464.436251</v>
      </c>
      <c r="M248" s="6">
        <f>L248*RPI_inc</f>
        <v>1877670.763058344</v>
      </c>
      <c r="N248" s="6"/>
      <c r="O248" s="6"/>
      <c r="P248" s="6"/>
      <c r="Q248" s="6"/>
      <c r="R248" s="6"/>
      <c r="S248" s="6"/>
      <c r="T248" s="6"/>
      <c r="U248" s="6"/>
      <c r="V248" s="6">
        <v>51276.571349</v>
      </c>
      <c r="W248" s="6">
        <f>V248*RPI_inc</f>
        <v>52256.37844484076</v>
      </c>
      <c r="X248" s="6">
        <v>1390617.764024</v>
      </c>
      <c r="Y248" s="6">
        <f>X248*RPI_inc</f>
        <v>1417190.077986242</v>
      </c>
      <c r="Z248" s="14">
        <f>D248+F248+H248+J248+L248+N248+P248+R248+T248+V248+X248</f>
        <v>17030797.113851998</v>
      </c>
      <c r="AC248" s="14">
        <f>E248+G248+I248+K248+M248+O248+Q248+S248+U248+W248+Y248</f>
        <v>17356226.35806573</v>
      </c>
      <c r="AF248" s="51"/>
      <c r="AG248" s="6">
        <v>297538</v>
      </c>
      <c r="AH248" s="6">
        <f>AG248/$AG$680*$AH$680</f>
        <v>224025.43343437358</v>
      </c>
      <c r="AI248" s="6">
        <v>15700576.903523</v>
      </c>
      <c r="AJ248" s="6">
        <f>AI248/$AI$680*$AJ$680</f>
        <v>10761970.469993902</v>
      </c>
      <c r="AK248" s="6">
        <f>AJ248-AH248</f>
        <v>10537945.03655953</v>
      </c>
      <c r="AL248" s="6"/>
      <c r="AM248" s="6"/>
      <c r="AN248" s="6"/>
      <c r="AO248" s="6"/>
      <c r="AP248" s="6"/>
      <c r="AQ248" s="6"/>
      <c r="AR248" s="6">
        <v>875785.32878</v>
      </c>
      <c r="AS248" s="6">
        <f>AR248/$AR$680*$AS$680</f>
        <v>858553.1342675631</v>
      </c>
      <c r="AT248" s="6">
        <v>2330566.095625</v>
      </c>
      <c r="AU248" s="6">
        <f>AT248/$AT$680*$AU$680</f>
        <v>1923424.4885076482</v>
      </c>
      <c r="AV248" s="6"/>
      <c r="AW248" s="6"/>
      <c r="AX248" s="6"/>
      <c r="AY248" s="6"/>
      <c r="AZ248" s="6">
        <v>72739.906062</v>
      </c>
      <c r="BA248" s="6">
        <f>AZ248/$AZ$680*$BA$680</f>
        <v>71282.6675191292</v>
      </c>
      <c r="BB248" s="6">
        <v>2056271.618535</v>
      </c>
      <c r="BC248" s="6">
        <f>BB248/$BB$680*$BC$680</f>
        <v>2016751.4488160866</v>
      </c>
      <c r="BD248" s="6"/>
      <c r="BE248" s="6"/>
      <c r="BF248" s="6"/>
      <c r="BG248" s="6"/>
      <c r="BH248" s="6">
        <v>624034.795575</v>
      </c>
      <c r="BI248" s="6"/>
      <c r="BJ248" s="6">
        <v>30024704.203172</v>
      </c>
      <c r="BK248" s="6">
        <f>BJ248/BJ246*BI246</f>
        <v>630706.1688941105</v>
      </c>
      <c r="BL248" s="6">
        <f t="shared" si="10"/>
        <v>1254740.9644691106</v>
      </c>
      <c r="BM248" s="6"/>
      <c r="BN248" s="6"/>
      <c r="BO248" s="6">
        <v>49893.238322</v>
      </c>
      <c r="BP248" s="6">
        <v>-51936</v>
      </c>
      <c r="BQ248" s="6">
        <f t="shared" si="11"/>
        <v>22638112.055316113</v>
      </c>
      <c r="BT248" s="6">
        <f t="shared" si="12"/>
        <v>16834787.17357344</v>
      </c>
      <c r="BW248" s="52"/>
      <c r="BX248" s="6">
        <f t="shared" si="8"/>
        <v>39668909.169168115</v>
      </c>
      <c r="BY248" s="6">
        <f t="shared" si="9"/>
        <v>34191013.53163917</v>
      </c>
    </row>
    <row r="249" spans="1:77" ht="12.75">
      <c r="A249" t="s">
        <v>882</v>
      </c>
      <c r="B249" t="s">
        <v>248</v>
      </c>
      <c r="K249"/>
      <c r="L249"/>
      <c r="V249"/>
      <c r="X249"/>
      <c r="Z249" s="12">
        <f>Z250+Z251</f>
        <v>90840184.14868</v>
      </c>
      <c r="AC249" s="12">
        <f>AC250+AC251</f>
        <v>92575983.84578854</v>
      </c>
      <c r="AF249" s="51"/>
      <c r="AG249"/>
      <c r="AI249"/>
      <c r="AT249"/>
      <c r="AZ249"/>
      <c r="BB249"/>
      <c r="BI249"/>
      <c r="BJ249" s="1">
        <v>164056014.539794</v>
      </c>
      <c r="BQ249" s="1">
        <f>BQ250+BQ251</f>
        <v>112339901.59484102</v>
      </c>
      <c r="BT249" s="1">
        <f>BT250+BT251</f>
        <v>80468749.8681947</v>
      </c>
      <c r="BW249" s="52"/>
      <c r="BX249" s="1">
        <f t="shared" si="8"/>
        <v>203180085.74352103</v>
      </c>
      <c r="BY249" s="1">
        <f t="shared" si="9"/>
        <v>173044733.71398324</v>
      </c>
    </row>
    <row r="250" spans="1:77" ht="12.75">
      <c r="A250" s="3" t="s">
        <v>883</v>
      </c>
      <c r="B250" s="3" t="s">
        <v>249</v>
      </c>
      <c r="C250" s="3" t="s">
        <v>1346</v>
      </c>
      <c r="D250" s="3"/>
      <c r="E250" s="4"/>
      <c r="F250" s="4">
        <v>15349478.052011</v>
      </c>
      <c r="G250" s="4">
        <f>F250*RPI_inc</f>
        <v>15642780.180393375</v>
      </c>
      <c r="H250" s="4"/>
      <c r="I250" s="4"/>
      <c r="J250" s="4">
        <v>370007.779268</v>
      </c>
      <c r="K250" s="4">
        <f>J250*RPI_inc</f>
        <v>377077.9916107006</v>
      </c>
      <c r="L250" s="3"/>
      <c r="M250" s="4"/>
      <c r="N250" s="4"/>
      <c r="O250" s="4"/>
      <c r="P250" s="4"/>
      <c r="Q250" s="4"/>
      <c r="R250" s="4"/>
      <c r="S250" s="4"/>
      <c r="T250" s="4">
        <v>440013.259637</v>
      </c>
      <c r="U250" s="4">
        <f>T250*RPI_inc</f>
        <v>448421.15631796175</v>
      </c>
      <c r="V250" s="3"/>
      <c r="W250" s="4"/>
      <c r="X250" s="3"/>
      <c r="Y250" s="4"/>
      <c r="Z250" s="13">
        <f>D250+F250+H250+J250+L250+N250+P250+R250+T250+V250+X250</f>
        <v>16159499.090916</v>
      </c>
      <c r="AC250" s="13">
        <f>E250+G250+I250+K250+M250+O250+Q250+S250+U250+W250+Y250</f>
        <v>16468279.328322038</v>
      </c>
      <c r="AF250" s="51"/>
      <c r="AG250" s="3"/>
      <c r="AH250" s="4"/>
      <c r="AI250" s="3"/>
      <c r="AJ250" s="4"/>
      <c r="AK250" s="4"/>
      <c r="AL250" s="4">
        <v>16957778.127765</v>
      </c>
      <c r="AM250" s="4">
        <f>AL250/$AL$680*$AM$680</f>
        <v>11353940.621417033</v>
      </c>
      <c r="AN250" s="4"/>
      <c r="AO250" s="4"/>
      <c r="AP250" s="4"/>
      <c r="AQ250" s="4"/>
      <c r="AR250" s="4">
        <v>534415.435551</v>
      </c>
      <c r="AS250" s="4">
        <f>AR250/$AR$680*$AS$680</f>
        <v>523900.12953566376</v>
      </c>
      <c r="AT250" s="3"/>
      <c r="AU250" s="4"/>
      <c r="AV250" s="4"/>
      <c r="AW250" s="4"/>
      <c r="AX250" s="4">
        <v>624193.901072</v>
      </c>
      <c r="AY250" s="4">
        <f>AX250/$AX$680*$AY$680</f>
        <v>611689.0922343654</v>
      </c>
      <c r="AZ250" s="3"/>
      <c r="BA250" s="4"/>
      <c r="BB250" s="3"/>
      <c r="BC250" s="4"/>
      <c r="BD250" s="4"/>
      <c r="BE250" s="4"/>
      <c r="BF250" s="4"/>
      <c r="BG250" s="4"/>
      <c r="BH250" s="4"/>
      <c r="BI250" s="4"/>
      <c r="BJ250" s="4">
        <v>32122384.40357</v>
      </c>
      <c r="BK250" s="4"/>
      <c r="BL250" s="4"/>
      <c r="BM250" s="4"/>
      <c r="BN250" s="4"/>
      <c r="BO250" s="4">
        <v>47340.693094</v>
      </c>
      <c r="BP250" s="4"/>
      <c r="BQ250" s="4">
        <f t="shared" si="11"/>
        <v>18163728.157482</v>
      </c>
      <c r="BT250" s="4">
        <f t="shared" si="12"/>
        <v>12489529.843187062</v>
      </c>
      <c r="BW250" s="52"/>
      <c r="BX250" s="4">
        <f t="shared" si="8"/>
        <v>34323227.248398</v>
      </c>
      <c r="BY250" s="4">
        <f t="shared" si="9"/>
        <v>28957809.171509102</v>
      </c>
    </row>
    <row r="251" spans="1:77" ht="12.75">
      <c r="A251" s="5" t="s">
        <v>884</v>
      </c>
      <c r="B251" s="5" t="s">
        <v>250</v>
      </c>
      <c r="C251" s="5" t="s">
        <v>1346</v>
      </c>
      <c r="D251" s="6">
        <v>60116273.817632</v>
      </c>
      <c r="E251" s="6">
        <f>D251*RPI_inc</f>
        <v>61264992.425612226</v>
      </c>
      <c r="F251" s="6"/>
      <c r="G251" s="6"/>
      <c r="H251" s="6"/>
      <c r="I251" s="6"/>
      <c r="J251" s="6">
        <v>1462102.485912</v>
      </c>
      <c r="K251" s="6">
        <f>J251*RPI_inc</f>
        <v>1490040.7499740128</v>
      </c>
      <c r="L251" s="6">
        <v>5723902.971526</v>
      </c>
      <c r="M251" s="6">
        <f>L251*RPI_inc</f>
        <v>5833276.91365707</v>
      </c>
      <c r="N251" s="6"/>
      <c r="O251" s="6"/>
      <c r="P251" s="6"/>
      <c r="Q251" s="6"/>
      <c r="R251" s="6"/>
      <c r="S251" s="6"/>
      <c r="T251" s="6"/>
      <c r="U251" s="6"/>
      <c r="V251" s="6">
        <v>55553.012963</v>
      </c>
      <c r="W251" s="6">
        <f>V251*RPI_inc</f>
        <v>56614.53550369427</v>
      </c>
      <c r="X251" s="6">
        <v>7322852.769731</v>
      </c>
      <c r="Y251" s="6">
        <f>X251*RPI_inc</f>
        <v>7462779.89271949</v>
      </c>
      <c r="Z251" s="14">
        <f>D251+F251+H251+J251+L251+N251+P251+R251+T251+V251+X251</f>
        <v>74680685.057764</v>
      </c>
      <c r="AC251" s="14">
        <f>E251+G251+I251+K251+M251+O251+Q251+S251+U251+W251+Y251</f>
        <v>76107704.5174665</v>
      </c>
      <c r="AF251" s="51"/>
      <c r="AG251" s="6">
        <v>1867803</v>
      </c>
      <c r="AH251" s="6">
        <f>AG251/$AG$680*$AH$680</f>
        <v>1406325.8361789864</v>
      </c>
      <c r="AI251" s="6">
        <v>71830627.918895</v>
      </c>
      <c r="AJ251" s="6">
        <f>AI251/$AI$680*$AJ$680</f>
        <v>49236349.80131259</v>
      </c>
      <c r="AK251" s="6">
        <f>AJ251-AH251</f>
        <v>47830023.9651336</v>
      </c>
      <c r="AL251" s="6"/>
      <c r="AM251" s="6"/>
      <c r="AN251" s="6"/>
      <c r="AO251" s="6"/>
      <c r="AP251" s="6"/>
      <c r="AQ251" s="6"/>
      <c r="AR251" s="6">
        <v>2111766.780618</v>
      </c>
      <c r="AS251" s="6">
        <f>AR251/$AR$680*$AS$680</f>
        <v>2070215.072987541</v>
      </c>
      <c r="AT251" s="6">
        <v>7240266.860852</v>
      </c>
      <c r="AU251" s="6">
        <f>AT251/$AT$680*$AU$680</f>
        <v>5975417.99378082</v>
      </c>
      <c r="AV251" s="6"/>
      <c r="AW251" s="6"/>
      <c r="AX251" s="6"/>
      <c r="AY251" s="6"/>
      <c r="AZ251" s="6">
        <v>78806.379562</v>
      </c>
      <c r="BA251" s="6">
        <f>AZ251/$AZ$680*$BA$680</f>
        <v>77227.60801912822</v>
      </c>
      <c r="BB251" s="6">
        <v>10828118.773292</v>
      </c>
      <c r="BC251" s="6">
        <f>BB251/$BB$680*$BC$680</f>
        <v>10620009.548907563</v>
      </c>
      <c r="BD251" s="6"/>
      <c r="BE251" s="6"/>
      <c r="BF251" s="6"/>
      <c r="BG251" s="6"/>
      <c r="BH251" s="6"/>
      <c r="BI251" s="6"/>
      <c r="BJ251" s="6">
        <v>131933630.136223</v>
      </c>
      <c r="BK251" s="6"/>
      <c r="BL251" s="6"/>
      <c r="BM251" s="6"/>
      <c r="BN251" s="6"/>
      <c r="BO251" s="6">
        <v>218783.72414</v>
      </c>
      <c r="BP251" s="6"/>
      <c r="BQ251" s="6">
        <f t="shared" si="11"/>
        <v>94176173.43735902</v>
      </c>
      <c r="BT251" s="6">
        <f t="shared" si="12"/>
        <v>67979220.02500764</v>
      </c>
      <c r="BW251" s="52"/>
      <c r="BX251" s="6">
        <f t="shared" si="8"/>
        <v>168856858.49512303</v>
      </c>
      <c r="BY251" s="6">
        <f t="shared" si="9"/>
        <v>144086924.54247415</v>
      </c>
    </row>
    <row r="252" spans="1:77" ht="12.75">
      <c r="A252" t="s">
        <v>885</v>
      </c>
      <c r="B252" t="s">
        <v>251</v>
      </c>
      <c r="K252"/>
      <c r="L252"/>
      <c r="V252"/>
      <c r="X252"/>
      <c r="Z252" s="12">
        <f>Z253+Z254</f>
        <v>33545467.344129</v>
      </c>
      <c r="AC252" s="12">
        <f>AC253+AC254</f>
        <v>34186463.53541809</v>
      </c>
      <c r="AF252" s="51"/>
      <c r="AG252"/>
      <c r="AI252"/>
      <c r="AT252"/>
      <c r="AZ252"/>
      <c r="BB252"/>
      <c r="BI252">
        <v>1173556</v>
      </c>
      <c r="BJ252" s="1">
        <v>51871519.43545</v>
      </c>
      <c r="BQ252" s="1">
        <f>BQ253+BQ254</f>
        <v>44755530.41167102</v>
      </c>
      <c r="BT252" s="1">
        <f>BT253+BT254</f>
        <v>34682460.06727564</v>
      </c>
      <c r="BW252" s="52"/>
      <c r="BX252" s="1">
        <f t="shared" si="8"/>
        <v>78300997.75580002</v>
      </c>
      <c r="BY252" s="1">
        <f t="shared" si="9"/>
        <v>68868923.60269374</v>
      </c>
    </row>
    <row r="253" spans="1:77" ht="12.75">
      <c r="A253" s="3" t="s">
        <v>886</v>
      </c>
      <c r="B253" s="3" t="s">
        <v>252</v>
      </c>
      <c r="C253" s="3" t="s">
        <v>1346</v>
      </c>
      <c r="D253" s="3"/>
      <c r="E253" s="4"/>
      <c r="F253" s="4">
        <v>5306314.411621</v>
      </c>
      <c r="G253" s="4">
        <f>F253*RPI_inc</f>
        <v>5407708.954518217</v>
      </c>
      <c r="H253" s="4"/>
      <c r="I253" s="4"/>
      <c r="J253" s="4">
        <v>251449.560103</v>
      </c>
      <c r="K253" s="4">
        <f>J253*RPI_inc</f>
        <v>256254.32876738854</v>
      </c>
      <c r="L253" s="3"/>
      <c r="M253" s="4"/>
      <c r="N253" s="4"/>
      <c r="O253" s="4"/>
      <c r="P253" s="4"/>
      <c r="Q253" s="4"/>
      <c r="R253" s="4"/>
      <c r="S253" s="4"/>
      <c r="T253" s="4">
        <v>45953.41974</v>
      </c>
      <c r="U253" s="4">
        <f>T253*RPI_inc</f>
        <v>46831.51056305732</v>
      </c>
      <c r="V253" s="3"/>
      <c r="W253" s="4"/>
      <c r="X253" s="3"/>
      <c r="Y253" s="4"/>
      <c r="Z253" s="13">
        <f>D253+F253+H253+J253+L253+N253+P253+R253+T253+V253+X253</f>
        <v>5603717.391464</v>
      </c>
      <c r="AC253" s="13">
        <f>E253+G253+I253+K253+M253+O253+Q253+S253+U253+W253+Y253</f>
        <v>5710794.793848662</v>
      </c>
      <c r="AF253" s="51"/>
      <c r="AG253" s="3"/>
      <c r="AH253" s="4"/>
      <c r="AI253" s="3"/>
      <c r="AJ253" s="4"/>
      <c r="AK253" s="4"/>
      <c r="AL253" s="4">
        <v>5862303.731992</v>
      </c>
      <c r="AM253" s="4">
        <f>AL253/$AL$680*$AM$680</f>
        <v>3925057.16116013</v>
      </c>
      <c r="AN253" s="4"/>
      <c r="AO253" s="4"/>
      <c r="AP253" s="4"/>
      <c r="AQ253" s="4"/>
      <c r="AR253" s="4">
        <v>363177.57007</v>
      </c>
      <c r="AS253" s="4">
        <f>AR253/$AR$680*$AS$680</f>
        <v>356031.58768785786</v>
      </c>
      <c r="AT253" s="3"/>
      <c r="AU253" s="4"/>
      <c r="AV253" s="4"/>
      <c r="AW253" s="4"/>
      <c r="AX253" s="4">
        <v>65188.590814</v>
      </c>
      <c r="AY253" s="4">
        <f>AX253/$AX$680*$AY$680</f>
        <v>63882.63305772607</v>
      </c>
      <c r="AZ253" s="3"/>
      <c r="BA253" s="4"/>
      <c r="BB253" s="3"/>
      <c r="BC253" s="4"/>
      <c r="BD253" s="4"/>
      <c r="BE253" s="4"/>
      <c r="BF253" s="4"/>
      <c r="BG253" s="4"/>
      <c r="BH253" s="4">
        <v>246028.416492</v>
      </c>
      <c r="BI253" s="4"/>
      <c r="BJ253" s="4">
        <v>10994217.498351</v>
      </c>
      <c r="BK253" s="4">
        <f>BJ253/BJ252*BI252</f>
        <v>248736.30174937777</v>
      </c>
      <c r="BL253" s="4">
        <f t="shared" si="10"/>
        <v>494764.71824137773</v>
      </c>
      <c r="BM253" s="4"/>
      <c r="BN253" s="4"/>
      <c r="BO253" s="4">
        <v>16416.589631</v>
      </c>
      <c r="BP253" s="4"/>
      <c r="BQ253" s="4">
        <f t="shared" si="11"/>
        <v>6801851.2007483775</v>
      </c>
      <c r="BT253" s="4">
        <f t="shared" si="12"/>
        <v>4839736.100147091</v>
      </c>
      <c r="BW253" s="52"/>
      <c r="BX253" s="4">
        <f t="shared" si="8"/>
        <v>12405568.592212377</v>
      </c>
      <c r="BY253" s="4">
        <f t="shared" si="9"/>
        <v>10550530.893995753</v>
      </c>
    </row>
    <row r="254" spans="1:77" ht="12.75">
      <c r="A254" s="5" t="s">
        <v>887</v>
      </c>
      <c r="B254" s="5" t="s">
        <v>253</v>
      </c>
      <c r="C254" s="5" t="s">
        <v>1346</v>
      </c>
      <c r="D254" s="6">
        <v>17939616.013661</v>
      </c>
      <c r="E254" s="6">
        <f>D254*RPI_inc</f>
        <v>18282411.22411312</v>
      </c>
      <c r="F254" s="6"/>
      <c r="G254" s="6"/>
      <c r="H254" s="6"/>
      <c r="I254" s="6"/>
      <c r="J254" s="6">
        <v>899377.126077</v>
      </c>
      <c r="K254" s="6">
        <f>J254*RPI_inc</f>
        <v>916562.6762568153</v>
      </c>
      <c r="L254" s="6">
        <v>2665478.940004</v>
      </c>
      <c r="M254" s="6">
        <f>L254*RPI_inc</f>
        <v>2716411.6586028025</v>
      </c>
      <c r="N254" s="6"/>
      <c r="O254" s="6"/>
      <c r="P254" s="6"/>
      <c r="Q254" s="6"/>
      <c r="R254" s="6"/>
      <c r="S254" s="6"/>
      <c r="T254" s="6"/>
      <c r="U254" s="6"/>
      <c r="V254" s="6">
        <v>50787.835165</v>
      </c>
      <c r="W254" s="6">
        <f>V254*RPI_inc</f>
        <v>51758.30335286624</v>
      </c>
      <c r="X254" s="6">
        <v>6386490.037758</v>
      </c>
      <c r="Y254" s="6">
        <f>X254*RPI_inc</f>
        <v>6508524.879243822</v>
      </c>
      <c r="Z254" s="14">
        <f>D254+F254+H254+J254+L254+N254+P254+R254+T254+V254+X254</f>
        <v>27941749.952665</v>
      </c>
      <c r="AC254" s="14">
        <f>E254+G254+I254+K254+M254+O254+Q254+S254+U254+W254+Y254</f>
        <v>28475668.74156943</v>
      </c>
      <c r="AF254" s="51"/>
      <c r="AG254" s="6">
        <v>410688</v>
      </c>
      <c r="AH254" s="6">
        <f>AG254/$AG$680*$AH$680</f>
        <v>309219.518872534</v>
      </c>
      <c r="AI254" s="6">
        <v>21435358.531939</v>
      </c>
      <c r="AJ254" s="6">
        <f>AI254/$AI$680*$AJ$680</f>
        <v>14692880.201280778</v>
      </c>
      <c r="AK254" s="6">
        <f>AJ254-AH254</f>
        <v>14383660.682408243</v>
      </c>
      <c r="AL254" s="6"/>
      <c r="AM254" s="6"/>
      <c r="AN254" s="6"/>
      <c r="AO254" s="6"/>
      <c r="AP254" s="6"/>
      <c r="AQ254" s="6"/>
      <c r="AR254" s="6">
        <v>1299002.468293</v>
      </c>
      <c r="AS254" s="6">
        <f>AR254/$AR$680*$AS$680</f>
        <v>1273442.9362134398</v>
      </c>
      <c r="AT254" s="6">
        <v>3371611.806421</v>
      </c>
      <c r="AU254" s="6">
        <f>AT254/$AT$680*$AU$680</f>
        <v>2782603.2166114273</v>
      </c>
      <c r="AV254" s="6"/>
      <c r="AW254" s="6"/>
      <c r="AX254" s="6"/>
      <c r="AY254" s="6"/>
      <c r="AZ254" s="6">
        <v>72046.594805</v>
      </c>
      <c r="BA254" s="6">
        <f>AZ254/$AZ$680*$BA$680</f>
        <v>70603.24574784075</v>
      </c>
      <c r="BB254" s="6">
        <v>9443542.680407</v>
      </c>
      <c r="BC254" s="6">
        <f>BB254/$BB$680*$BC$680</f>
        <v>9262044.08551642</v>
      </c>
      <c r="BD254" s="6"/>
      <c r="BE254" s="6"/>
      <c r="BF254" s="6"/>
      <c r="BG254" s="6"/>
      <c r="BH254" s="6">
        <v>914751.583508</v>
      </c>
      <c r="BI254" s="6"/>
      <c r="BJ254" s="6">
        <v>40877301.9371</v>
      </c>
      <c r="BK254" s="6">
        <f>BJ254/BJ252*BI252</f>
        <v>924819.6982506448</v>
      </c>
      <c r="BL254" s="6">
        <f t="shared" si="10"/>
        <v>1839571.2817586449</v>
      </c>
      <c r="BM254" s="6"/>
      <c r="BN254" s="6"/>
      <c r="BO254" s="6">
        <v>81857.847299</v>
      </c>
      <c r="BP254" s="6">
        <v>-78421</v>
      </c>
      <c r="BQ254" s="6">
        <f t="shared" si="11"/>
        <v>37953679.21092264</v>
      </c>
      <c r="BT254" s="6">
        <f t="shared" si="12"/>
        <v>29842723.96712855</v>
      </c>
      <c r="BW254" s="52"/>
      <c r="BX254" s="6">
        <f t="shared" si="8"/>
        <v>65895429.163587645</v>
      </c>
      <c r="BY254" s="6">
        <f t="shared" si="9"/>
        <v>58318392.708697975</v>
      </c>
    </row>
    <row r="255" spans="1:77" ht="12.75">
      <c r="A255" t="s">
        <v>888</v>
      </c>
      <c r="B255" t="s">
        <v>254</v>
      </c>
      <c r="K255"/>
      <c r="L255"/>
      <c r="V255"/>
      <c r="X255"/>
      <c r="Z255" s="12">
        <f>Z256+Z257</f>
        <v>28306041.024334997</v>
      </c>
      <c r="AC255" s="12">
        <f>AC256+AC257</f>
        <v>28846920.78913121</v>
      </c>
      <c r="AF255" s="51"/>
      <c r="AG255"/>
      <c r="AI255"/>
      <c r="AT255"/>
      <c r="AZ255"/>
      <c r="BB255"/>
      <c r="BI255">
        <v>941863</v>
      </c>
      <c r="BJ255" s="1">
        <v>50233048.153349</v>
      </c>
      <c r="BQ255" s="1">
        <f>BQ256+BQ257</f>
        <v>36077002.868711</v>
      </c>
      <c r="BT255" s="1">
        <f>BT256+BT257</f>
        <v>26279421.028381903</v>
      </c>
      <c r="BW255" s="52"/>
      <c r="BX255" s="1">
        <f t="shared" si="8"/>
        <v>64383043.893046</v>
      </c>
      <c r="BY255" s="1">
        <f t="shared" si="9"/>
        <v>55126341.81751311</v>
      </c>
    </row>
    <row r="256" spans="1:77" ht="12.75">
      <c r="A256" s="3" t="s">
        <v>889</v>
      </c>
      <c r="B256" s="3" t="s">
        <v>255</v>
      </c>
      <c r="C256" s="3" t="s">
        <v>1346</v>
      </c>
      <c r="D256" s="3"/>
      <c r="E256" s="4"/>
      <c r="F256" s="4">
        <v>4246985.890269</v>
      </c>
      <c r="G256" s="4">
        <f>F256*RPI_inc</f>
        <v>4328138.486898344</v>
      </c>
      <c r="H256" s="4"/>
      <c r="I256" s="4"/>
      <c r="J256" s="4">
        <v>179875.016557</v>
      </c>
      <c r="K256" s="4">
        <f>J256*RPI_inc</f>
        <v>183312.1187842038</v>
      </c>
      <c r="L256" s="3"/>
      <c r="M256" s="4"/>
      <c r="N256" s="4"/>
      <c r="O256" s="4"/>
      <c r="P256" s="4"/>
      <c r="Q256" s="4"/>
      <c r="R256" s="4"/>
      <c r="S256" s="4"/>
      <c r="T256" s="4">
        <v>23274.431663</v>
      </c>
      <c r="U256" s="4">
        <f>T256*RPI_inc</f>
        <v>23719.16602598726</v>
      </c>
      <c r="V256" s="3"/>
      <c r="W256" s="4"/>
      <c r="X256" s="3"/>
      <c r="Y256" s="4"/>
      <c r="Z256" s="13">
        <f>D256+F256+H256+J256+L256+N256+P256+R256+T256+V256+X256</f>
        <v>4450135.338489</v>
      </c>
      <c r="AC256" s="13">
        <f>E256+G256+I256+K256+M256+O256+Q256+S256+U256+W256+Y256</f>
        <v>4535169.771708535</v>
      </c>
      <c r="AF256" s="51"/>
      <c r="AG256" s="3"/>
      <c r="AH256" s="4"/>
      <c r="AI256" s="3"/>
      <c r="AJ256" s="4"/>
      <c r="AK256" s="4"/>
      <c r="AL256" s="4">
        <v>4691980.02661</v>
      </c>
      <c r="AM256" s="4">
        <f>AL256/$AL$680*$AM$680</f>
        <v>3141476.5671324334</v>
      </c>
      <c r="AN256" s="4"/>
      <c r="AO256" s="4"/>
      <c r="AP256" s="4"/>
      <c r="AQ256" s="4"/>
      <c r="AR256" s="4">
        <v>259799.903419</v>
      </c>
      <c r="AS256" s="4">
        <f>AR256/$AR$680*$AS$680</f>
        <v>254688.0086168057</v>
      </c>
      <c r="AT256" s="3"/>
      <c r="AU256" s="4"/>
      <c r="AV256" s="4"/>
      <c r="AW256" s="4"/>
      <c r="AX256" s="4">
        <v>33016.637514</v>
      </c>
      <c r="AY256" s="4">
        <f>AX256/$AX$680*$AY$680</f>
        <v>32355.197631513187</v>
      </c>
      <c r="AZ256" s="3"/>
      <c r="BA256" s="4"/>
      <c r="BB256" s="3"/>
      <c r="BC256" s="4"/>
      <c r="BD256" s="4"/>
      <c r="BE256" s="4"/>
      <c r="BF256" s="4"/>
      <c r="BG256" s="4"/>
      <c r="BH256" s="4"/>
      <c r="BI256" s="4"/>
      <c r="BJ256" s="4">
        <v>8769088.863829</v>
      </c>
      <c r="BK256" s="4">
        <f>BJ256/BJ255*BI255</f>
        <v>164419.25481684977</v>
      </c>
      <c r="BL256" s="4">
        <f t="shared" si="10"/>
        <v>164419.25481684977</v>
      </c>
      <c r="BM256" s="4"/>
      <c r="BN256" s="4"/>
      <c r="BO256" s="4">
        <v>13037.068173</v>
      </c>
      <c r="BP256" s="4"/>
      <c r="BQ256" s="4">
        <f t="shared" si="11"/>
        <v>5162252.890532849</v>
      </c>
      <c r="BT256" s="4">
        <f t="shared" si="12"/>
        <v>3592939.028197602</v>
      </c>
      <c r="BW256" s="52"/>
      <c r="BX256" s="4">
        <f t="shared" si="8"/>
        <v>9612388.22902185</v>
      </c>
      <c r="BY256" s="4">
        <f t="shared" si="9"/>
        <v>8128108.7999061365</v>
      </c>
    </row>
    <row r="257" spans="1:77" ht="12.75">
      <c r="A257" s="5" t="s">
        <v>890</v>
      </c>
      <c r="B257" s="5" t="s">
        <v>256</v>
      </c>
      <c r="C257" s="5" t="s">
        <v>1346</v>
      </c>
      <c r="D257" s="6">
        <v>18322545.639033</v>
      </c>
      <c r="E257" s="6">
        <f>D257*RPI_inc</f>
        <v>18672657.976084586</v>
      </c>
      <c r="F257" s="6"/>
      <c r="G257" s="6"/>
      <c r="H257" s="6"/>
      <c r="I257" s="6"/>
      <c r="J257" s="6">
        <v>738740.075438</v>
      </c>
      <c r="K257" s="6">
        <f>J257*RPI_inc</f>
        <v>752856.1278349045</v>
      </c>
      <c r="L257" s="6">
        <v>2242732.04347</v>
      </c>
      <c r="M257" s="6">
        <f>L257*RPI_inc</f>
        <v>2285586.7958929935</v>
      </c>
      <c r="N257" s="6"/>
      <c r="O257" s="6"/>
      <c r="P257" s="6"/>
      <c r="Q257" s="6"/>
      <c r="R257" s="6"/>
      <c r="S257" s="6"/>
      <c r="T257" s="6"/>
      <c r="U257" s="6"/>
      <c r="V257" s="6">
        <v>58811.254192</v>
      </c>
      <c r="W257" s="6">
        <f>V257*RPI_inc</f>
        <v>59935.03611923567</v>
      </c>
      <c r="X257" s="6">
        <v>2493076.673713</v>
      </c>
      <c r="Y257" s="6">
        <f>X257*RPI_inc</f>
        <v>2540715.0814909553</v>
      </c>
      <c r="Z257" s="14">
        <f>D257+F257+H257+J257+L257+N257+P257+R257+T257+V257+X257</f>
        <v>23855905.685845997</v>
      </c>
      <c r="AC257" s="14">
        <f>E257+G257+I257+K257+M257+O257+Q257+S257+U257+W257+Y257</f>
        <v>24311751.017422676</v>
      </c>
      <c r="AF257" s="51"/>
      <c r="AG257" s="6">
        <v>500773</v>
      </c>
      <c r="AH257" s="6">
        <f>AG257/$AG$680*$AH$680</f>
        <v>377047.2624580106</v>
      </c>
      <c r="AI257" s="6">
        <v>21892906.441888</v>
      </c>
      <c r="AJ257" s="6">
        <f>AI257/$AI$680*$AJ$680</f>
        <v>15006506.708493622</v>
      </c>
      <c r="AK257" s="6">
        <f>AJ257-AH257</f>
        <v>14629459.446035612</v>
      </c>
      <c r="AL257" s="6"/>
      <c r="AM257" s="6"/>
      <c r="AN257" s="6"/>
      <c r="AO257" s="6"/>
      <c r="AP257" s="6"/>
      <c r="AQ257" s="6"/>
      <c r="AR257" s="6">
        <v>1066988.645361</v>
      </c>
      <c r="AS257" s="6">
        <f>AR257/$AR$680*$AS$680</f>
        <v>1045994.2814738641</v>
      </c>
      <c r="AT257" s="6">
        <v>2836871.724221</v>
      </c>
      <c r="AU257" s="6">
        <f>AT257/$AT$680*$AU$680</f>
        <v>2341280.3247093866</v>
      </c>
      <c r="AV257" s="6"/>
      <c r="AW257" s="6"/>
      <c r="AX257" s="6"/>
      <c r="AY257" s="6"/>
      <c r="AZ257" s="6">
        <v>83428.45461</v>
      </c>
      <c r="BA257" s="6">
        <f>AZ257/$AZ$680*$BA$680</f>
        <v>81757.08649569128</v>
      </c>
      <c r="BB257" s="6">
        <v>3686449.96462</v>
      </c>
      <c r="BC257" s="6">
        <f>BB257/$BB$680*$BC$680</f>
        <v>3615598.8538285857</v>
      </c>
      <c r="BD257" s="6"/>
      <c r="BE257" s="6"/>
      <c r="BF257" s="6"/>
      <c r="BG257" s="6"/>
      <c r="BH257" s="6"/>
      <c r="BI257" s="6"/>
      <c r="BJ257" s="6">
        <v>41463959.28952</v>
      </c>
      <c r="BK257" s="6">
        <f>BJ257/BJ255*BI255</f>
        <v>777443.7451831504</v>
      </c>
      <c r="BL257" s="6">
        <f t="shared" si="10"/>
        <v>777443.7451831504</v>
      </c>
      <c r="BM257" s="6"/>
      <c r="BN257" s="6"/>
      <c r="BO257" s="6">
        <v>69888.002295</v>
      </c>
      <c r="BP257" s="6">
        <v>-182099</v>
      </c>
      <c r="BQ257" s="6">
        <f t="shared" si="11"/>
        <v>30914749.97817815</v>
      </c>
      <c r="BT257" s="6">
        <f t="shared" si="12"/>
        <v>22686482.0001843</v>
      </c>
      <c r="BW257" s="52"/>
      <c r="BX257" s="6">
        <f t="shared" si="8"/>
        <v>54770655.664024144</v>
      </c>
      <c r="BY257" s="6">
        <f t="shared" si="9"/>
        <v>46998233.01760697</v>
      </c>
    </row>
    <row r="258" spans="1:77" ht="12.75">
      <c r="A258" t="s">
        <v>891</v>
      </c>
      <c r="B258" t="s">
        <v>257</v>
      </c>
      <c r="K258"/>
      <c r="L258"/>
      <c r="V258"/>
      <c r="X258"/>
      <c r="Z258" s="12">
        <f>Z259+Z260</f>
        <v>25374088.944001004</v>
      </c>
      <c r="AC258" s="12">
        <f>AC259+AC260</f>
        <v>25858944.14675262</v>
      </c>
      <c r="AF258" s="51"/>
      <c r="AG258"/>
      <c r="AI258"/>
      <c r="AT258"/>
      <c r="AZ258"/>
      <c r="BB258"/>
      <c r="BI258">
        <v>407823</v>
      </c>
      <c r="BJ258" s="1">
        <v>46832399.952157</v>
      </c>
      <c r="BQ258" s="1">
        <f>BQ259+BQ260</f>
        <v>31994706.512999013</v>
      </c>
      <c r="BT258" s="1">
        <f>BT259+BT260</f>
        <v>22477980.14192228</v>
      </c>
      <c r="BW258" s="52"/>
      <c r="BX258" s="1">
        <f aca="true" t="shared" si="13" ref="BX258:BX321">Z258+BQ258</f>
        <v>57368795.45700002</v>
      </c>
      <c r="BY258" s="1">
        <f aca="true" t="shared" si="14" ref="BY258:BY321">AC258+BT258</f>
        <v>48336924.2886749</v>
      </c>
    </row>
    <row r="259" spans="1:77" ht="12.75">
      <c r="A259" s="3" t="s">
        <v>892</v>
      </c>
      <c r="B259" s="3" t="s">
        <v>258</v>
      </c>
      <c r="C259" s="3" t="s">
        <v>1346</v>
      </c>
      <c r="D259" s="3"/>
      <c r="E259" s="4"/>
      <c r="F259" s="4">
        <v>3910023.786493</v>
      </c>
      <c r="G259" s="4">
        <f>F259*RPI_inc</f>
        <v>3984737.6168081528</v>
      </c>
      <c r="H259" s="4"/>
      <c r="I259" s="4"/>
      <c r="J259" s="4">
        <v>69386.640171</v>
      </c>
      <c r="K259" s="4">
        <f>J259*RPI_inc</f>
        <v>70712.49953732485</v>
      </c>
      <c r="L259" s="3"/>
      <c r="M259" s="4"/>
      <c r="N259" s="4"/>
      <c r="O259" s="4"/>
      <c r="P259" s="4"/>
      <c r="Q259" s="4"/>
      <c r="R259" s="4"/>
      <c r="S259" s="4"/>
      <c r="T259" s="4">
        <v>30078.04663</v>
      </c>
      <c r="U259" s="4">
        <f>T259*RPI_inc</f>
        <v>30652.786374522293</v>
      </c>
      <c r="V259" s="3"/>
      <c r="W259" s="4"/>
      <c r="X259" s="3"/>
      <c r="Y259" s="4"/>
      <c r="Z259" s="13">
        <f>D259+F259+H259+J259+L259+N259+P259+R259+T259+V259+X259</f>
        <v>4009488.473294</v>
      </c>
      <c r="AC259" s="13">
        <f>E259+G259+I259+K259+M259+O259+Q259+S259+U259+W259+Y259</f>
        <v>4086102.90272</v>
      </c>
      <c r="AF259" s="51"/>
      <c r="AG259" s="3"/>
      <c r="AH259" s="4"/>
      <c r="AI259" s="3"/>
      <c r="AJ259" s="4"/>
      <c r="AK259" s="4"/>
      <c r="AL259" s="4">
        <v>4319711.433897</v>
      </c>
      <c r="AM259" s="4">
        <f>AL259/$AL$680*$AM$680</f>
        <v>2892227.198197627</v>
      </c>
      <c r="AN259" s="4"/>
      <c r="AO259" s="4"/>
      <c r="AP259" s="4"/>
      <c r="AQ259" s="4"/>
      <c r="AR259" s="4">
        <v>100217.599754</v>
      </c>
      <c r="AS259" s="4">
        <f>AR259/$AR$680*$AS$680</f>
        <v>98245.69052490135</v>
      </c>
      <c r="AT259" s="3"/>
      <c r="AU259" s="4"/>
      <c r="AV259" s="4"/>
      <c r="AW259" s="4"/>
      <c r="AX259" s="4">
        <v>42668.107952</v>
      </c>
      <c r="AY259" s="4">
        <f>AX259/$AX$680*$AY$680</f>
        <v>41813.315022291805</v>
      </c>
      <c r="AZ259" s="3"/>
      <c r="BA259" s="4"/>
      <c r="BB259" s="3"/>
      <c r="BC259" s="4"/>
      <c r="BD259" s="4"/>
      <c r="BE259" s="4"/>
      <c r="BF259" s="4"/>
      <c r="BG259" s="4"/>
      <c r="BH259" s="4">
        <v>69187.591663</v>
      </c>
      <c r="BI259" s="4"/>
      <c r="BJ259" s="4">
        <v>7939558.023394</v>
      </c>
      <c r="BK259" s="4">
        <f>BJ259/BJ258*BI258</f>
        <v>69138.76664621966</v>
      </c>
      <c r="BL259" s="4">
        <f t="shared" si="10"/>
        <v>138326.35830921965</v>
      </c>
      <c r="BM259" s="4"/>
      <c r="BN259" s="4"/>
      <c r="BO259" s="4">
        <v>11746.1539</v>
      </c>
      <c r="BP259" s="4"/>
      <c r="BQ259" s="4">
        <f t="shared" si="11"/>
        <v>4612669.653812219</v>
      </c>
      <c r="BT259" s="4">
        <f t="shared" si="12"/>
        <v>3170612.5620540394</v>
      </c>
      <c r="BW259" s="52"/>
      <c r="BX259" s="4">
        <f t="shared" si="13"/>
        <v>8622158.12710622</v>
      </c>
      <c r="BY259" s="4">
        <f t="shared" si="14"/>
        <v>7256715.46477404</v>
      </c>
    </row>
    <row r="260" spans="1:77" ht="12.75">
      <c r="A260" s="5" t="s">
        <v>893</v>
      </c>
      <c r="B260" s="5" t="s">
        <v>259</v>
      </c>
      <c r="C260" s="5" t="s">
        <v>1346</v>
      </c>
      <c r="D260" s="6">
        <v>18058313.555937</v>
      </c>
      <c r="E260" s="6">
        <f>D260*RPI_inc</f>
        <v>18403376.872292485</v>
      </c>
      <c r="F260" s="6"/>
      <c r="G260" s="6"/>
      <c r="H260" s="6"/>
      <c r="I260" s="6"/>
      <c r="J260" s="6">
        <v>334523.270243</v>
      </c>
      <c r="K260" s="6">
        <f>J260*RPI_inc</f>
        <v>340915.4346425478</v>
      </c>
      <c r="L260" s="6">
        <v>2083325.568238</v>
      </c>
      <c r="M260" s="6">
        <f>L260*RPI_inc</f>
        <v>2123134.3370578345</v>
      </c>
      <c r="N260" s="6"/>
      <c r="O260" s="6"/>
      <c r="P260" s="6"/>
      <c r="Q260" s="6"/>
      <c r="R260" s="6"/>
      <c r="S260" s="6"/>
      <c r="T260" s="6"/>
      <c r="U260" s="6"/>
      <c r="V260" s="6">
        <v>46918.673705</v>
      </c>
      <c r="W260" s="6">
        <f>V260*RPI_inc</f>
        <v>47815.20887133758</v>
      </c>
      <c r="X260" s="6">
        <v>841519.402584</v>
      </c>
      <c r="Y260" s="6">
        <f>X260*RPI_inc</f>
        <v>857599.3911684076</v>
      </c>
      <c r="Z260" s="14">
        <f>D260+F260+H260+J260+L260+N260+P260+R260+T260+V260+X260</f>
        <v>21364600.470707003</v>
      </c>
      <c r="AC260" s="14">
        <f>E260+G260+I260+K260+M260+O260+Q260+S260+U260+W260+Y260</f>
        <v>21772841.244032618</v>
      </c>
      <c r="AF260" s="51"/>
      <c r="AG260" s="6">
        <v>635363</v>
      </c>
      <c r="AH260" s="6">
        <f>AG260/$AG$680*$AH$680</f>
        <v>478384.1776955008</v>
      </c>
      <c r="AI260" s="6">
        <v>21577185.668797</v>
      </c>
      <c r="AJ260" s="6">
        <f>AI260/$AI$680*$AJ$680</f>
        <v>14790095.702856844</v>
      </c>
      <c r="AK260" s="6">
        <f>AJ260-AH260</f>
        <v>14311711.525161343</v>
      </c>
      <c r="AL260" s="6"/>
      <c r="AM260" s="6"/>
      <c r="AN260" s="6"/>
      <c r="AO260" s="6"/>
      <c r="AP260" s="6"/>
      <c r="AQ260" s="6"/>
      <c r="AR260" s="6">
        <v>483163.893263</v>
      </c>
      <c r="AS260" s="6">
        <f>AR260/$AR$680*$AS$680</f>
        <v>473657.02677815873</v>
      </c>
      <c r="AT260" s="6">
        <v>2635235.633293</v>
      </c>
      <c r="AU260" s="6">
        <f>AT260/$AT$680*$AU$680</f>
        <v>2174869.341649984</v>
      </c>
      <c r="AV260" s="6"/>
      <c r="AW260" s="6"/>
      <c r="AX260" s="6"/>
      <c r="AY260" s="6"/>
      <c r="AZ260" s="6">
        <v>66557.880686</v>
      </c>
      <c r="BA260" s="6">
        <f>AZ260/$AZ$680*$BA$680</f>
        <v>65224.490057412106</v>
      </c>
      <c r="BB260" s="6">
        <v>1244333.639873</v>
      </c>
      <c r="BC260" s="6">
        <f>BB260/$BB$680*$BC$680</f>
        <v>1220418.376835051</v>
      </c>
      <c r="BD260" s="6"/>
      <c r="BE260" s="6"/>
      <c r="BF260" s="6"/>
      <c r="BG260" s="6"/>
      <c r="BH260" s="6">
        <v>338923.408337</v>
      </c>
      <c r="BI260" s="6"/>
      <c r="BJ260" s="6">
        <v>38892841.928764</v>
      </c>
      <c r="BK260" s="6">
        <f>BJ260/BJ258*BI258</f>
        <v>338684.2333537891</v>
      </c>
      <c r="BL260" s="6">
        <f t="shared" si="10"/>
        <v>677607.641690789</v>
      </c>
      <c r="BM260" s="6"/>
      <c r="BN260" s="6"/>
      <c r="BO260" s="6">
        <v>62589.501584</v>
      </c>
      <c r="BP260" s="6">
        <v>-94505</v>
      </c>
      <c r="BQ260" s="6">
        <f t="shared" si="11"/>
        <v>27382036.859186795</v>
      </c>
      <c r="BT260" s="6">
        <f t="shared" si="12"/>
        <v>19307367.579868242</v>
      </c>
      <c r="BW260" s="52"/>
      <c r="BX260" s="6">
        <f t="shared" si="13"/>
        <v>48746637.3298938</v>
      </c>
      <c r="BY260" s="6">
        <f t="shared" si="14"/>
        <v>41080208.82390086</v>
      </c>
    </row>
    <row r="261" spans="1:77" ht="12.75">
      <c r="A261" t="s">
        <v>894</v>
      </c>
      <c r="B261" t="s">
        <v>260</v>
      </c>
      <c r="K261"/>
      <c r="L261"/>
      <c r="V261"/>
      <c r="X261"/>
      <c r="Z261" s="12">
        <f>Z262+Z263</f>
        <v>40983665.456648</v>
      </c>
      <c r="AC261" s="12">
        <f>AC262+AC263</f>
        <v>41766792.82206166</v>
      </c>
      <c r="AF261" s="51"/>
      <c r="AG261"/>
      <c r="AI261"/>
      <c r="AT261"/>
      <c r="AZ261"/>
      <c r="BB261"/>
      <c r="BI261"/>
      <c r="BJ261" s="1">
        <v>81623197.379606</v>
      </c>
      <c r="BQ261" s="1">
        <f>BQ262+BQ263</f>
        <v>50243553.411796995</v>
      </c>
      <c r="BT261" s="1">
        <f>BT262+BT263</f>
        <v>34547581.247655466</v>
      </c>
      <c r="BW261" s="52"/>
      <c r="BX261" s="1">
        <f t="shared" si="13"/>
        <v>91227218.868445</v>
      </c>
      <c r="BY261" s="1">
        <f t="shared" si="14"/>
        <v>76314374.06971712</v>
      </c>
    </row>
    <row r="262" spans="1:77" ht="12.75">
      <c r="A262" s="3" t="s">
        <v>895</v>
      </c>
      <c r="B262" s="3" t="s">
        <v>261</v>
      </c>
      <c r="C262" s="3" t="s">
        <v>1346</v>
      </c>
      <c r="D262" s="3"/>
      <c r="E262" s="4"/>
      <c r="F262" s="4">
        <v>5832518.78265</v>
      </c>
      <c r="G262" s="4">
        <f>F262*RPI_inc</f>
        <v>5943968.1861401275</v>
      </c>
      <c r="H262" s="4"/>
      <c r="I262" s="4"/>
      <c r="J262" s="4">
        <v>80949.791422</v>
      </c>
      <c r="K262" s="4">
        <f>J262*RPI_inc</f>
        <v>82496.60272305732</v>
      </c>
      <c r="L262" s="3"/>
      <c r="M262" s="4"/>
      <c r="N262" s="4"/>
      <c r="O262" s="4"/>
      <c r="P262" s="4"/>
      <c r="Q262" s="4"/>
      <c r="R262" s="4"/>
      <c r="S262" s="4"/>
      <c r="T262" s="4">
        <v>48788.08961</v>
      </c>
      <c r="U262" s="4">
        <f>T262*RPI_inc</f>
        <v>49720.34609936306</v>
      </c>
      <c r="V262" s="3"/>
      <c r="W262" s="4"/>
      <c r="X262" s="3"/>
      <c r="Y262" s="4"/>
      <c r="Z262" s="13">
        <f>D262+F262+H262+J262+L262+N262+P262+R262+T262+V262+X262</f>
        <v>5962256.663682001</v>
      </c>
      <c r="AC262" s="13">
        <f>E262+G262+I262+K262+M262+O262+Q262+S262+U262+W262+Y262</f>
        <v>6076185.134962548</v>
      </c>
      <c r="AF262" s="51"/>
      <c r="AG262" s="3"/>
      <c r="AH262" s="4"/>
      <c r="AI262" s="3"/>
      <c r="AJ262" s="4"/>
      <c r="AK262" s="4"/>
      <c r="AL262" s="4">
        <v>6443643.171908</v>
      </c>
      <c r="AM262" s="4">
        <f>AL262/$AL$680*$AM$680</f>
        <v>4314288.193195341</v>
      </c>
      <c r="AN262" s="4"/>
      <c r="AO262" s="4"/>
      <c r="AP262" s="4"/>
      <c r="AQ262" s="4"/>
      <c r="AR262" s="4">
        <v>116918.671619</v>
      </c>
      <c r="AS262" s="4">
        <f>AR262/$AR$680*$AS$680</f>
        <v>114618.14747767762</v>
      </c>
      <c r="AT262" s="3"/>
      <c r="AU262" s="4"/>
      <c r="AV262" s="4"/>
      <c r="AW262" s="4"/>
      <c r="AX262" s="4">
        <v>69209.796097</v>
      </c>
      <c r="AY262" s="4">
        <f>AX262/$AX$680*$AY$680</f>
        <v>67823.27939377955</v>
      </c>
      <c r="AZ262" s="3"/>
      <c r="BA262" s="4"/>
      <c r="BB262" s="3"/>
      <c r="BC262" s="4"/>
      <c r="BD262" s="4"/>
      <c r="BE262" s="4"/>
      <c r="BF262" s="4"/>
      <c r="BG262" s="4"/>
      <c r="BH262" s="4"/>
      <c r="BI262" s="4"/>
      <c r="BJ262" s="4">
        <v>12281377.774595</v>
      </c>
      <c r="BK262" s="4"/>
      <c r="BL262" s="4"/>
      <c r="BM262" s="4"/>
      <c r="BN262" s="4"/>
      <c r="BO262" s="4">
        <v>17466.96239</v>
      </c>
      <c r="BP262" s="4"/>
      <c r="BQ262" s="4">
        <f t="shared" si="11"/>
        <v>6647238.602014</v>
      </c>
      <c r="BT262" s="4">
        <f t="shared" si="12"/>
        <v>4496729.620066798</v>
      </c>
      <c r="BW262" s="52"/>
      <c r="BX262" s="4">
        <f t="shared" si="13"/>
        <v>12609495.265696</v>
      </c>
      <c r="BY262" s="4">
        <f t="shared" si="14"/>
        <v>10572914.755029347</v>
      </c>
    </row>
    <row r="263" spans="1:77" ht="12.75">
      <c r="A263" s="5" t="s">
        <v>896</v>
      </c>
      <c r="B263" s="5" t="s">
        <v>262</v>
      </c>
      <c r="C263" s="5" t="s">
        <v>1346</v>
      </c>
      <c r="D263" s="6">
        <v>30836361.024171</v>
      </c>
      <c r="E263" s="6">
        <f>D263*RPI_inc</f>
        <v>31425590.852658343</v>
      </c>
      <c r="F263" s="6"/>
      <c r="G263" s="6"/>
      <c r="H263" s="6"/>
      <c r="I263" s="6"/>
      <c r="J263" s="6">
        <v>429288.748714</v>
      </c>
      <c r="K263" s="6">
        <f>J263*RPI_inc</f>
        <v>437491.7184346497</v>
      </c>
      <c r="L263" s="6">
        <v>3092443.826901</v>
      </c>
      <c r="M263" s="6">
        <f>L263*RPI_inc</f>
        <v>3151535.1102175796</v>
      </c>
      <c r="N263" s="6"/>
      <c r="O263" s="6"/>
      <c r="P263" s="6"/>
      <c r="Q263" s="6"/>
      <c r="R263" s="6"/>
      <c r="S263" s="6"/>
      <c r="T263" s="6"/>
      <c r="U263" s="6"/>
      <c r="V263" s="6">
        <v>47366.681874</v>
      </c>
      <c r="W263" s="6">
        <f>V263*RPI_inc</f>
        <v>48271.77770598726</v>
      </c>
      <c r="X263" s="6">
        <v>615948.511306</v>
      </c>
      <c r="Y263" s="6">
        <f>X263*RPI_inc</f>
        <v>627718.2280825477</v>
      </c>
      <c r="Z263" s="14">
        <f>D263+F263+H263+J263+L263+N263+P263+R263+T263+V263+X263</f>
        <v>35021408.792966</v>
      </c>
      <c r="AC263" s="14">
        <f>E263+G263+I263+K263+M263+O263+Q263+S263+U263+W263+Y263</f>
        <v>35690607.68709911</v>
      </c>
      <c r="AF263" s="51"/>
      <c r="AG263" s="6">
        <v>1138827</v>
      </c>
      <c r="AH263" s="6">
        <f>AG263/$AG$680*$AH$680</f>
        <v>857457.5761138657</v>
      </c>
      <c r="AI263" s="6">
        <v>36845184.081424</v>
      </c>
      <c r="AJ263" s="6">
        <f>AI263/$AI$680*$AJ$680</f>
        <v>25255554.96988134</v>
      </c>
      <c r="AK263" s="6">
        <f>AJ263-AH263</f>
        <v>24398097.393767476</v>
      </c>
      <c r="AL263" s="6"/>
      <c r="AM263" s="6"/>
      <c r="AN263" s="6"/>
      <c r="AO263" s="6"/>
      <c r="AP263" s="6"/>
      <c r="AQ263" s="6"/>
      <c r="AR263" s="6">
        <v>620037.054559</v>
      </c>
      <c r="AS263" s="6">
        <f>AR263/$AR$680*$AS$680</f>
        <v>607837.033871324</v>
      </c>
      <c r="AT263" s="6">
        <v>3911687.299791</v>
      </c>
      <c r="AU263" s="6">
        <f>AT263/$AT$680*$AU$680</f>
        <v>3228329.4423300456</v>
      </c>
      <c r="AV263" s="6"/>
      <c r="AW263" s="6"/>
      <c r="AX263" s="6"/>
      <c r="AY263" s="6"/>
      <c r="AZ263" s="6">
        <v>67193.416005</v>
      </c>
      <c r="BA263" s="6">
        <f>AZ263/$AZ$680*$BA$680</f>
        <v>65847.29334784154</v>
      </c>
      <c r="BB263" s="6">
        <v>910787.61903</v>
      </c>
      <c r="BC263" s="6">
        <f>BB263/$BB$680*$BC$680</f>
        <v>893282.8881581151</v>
      </c>
      <c r="BD263" s="6"/>
      <c r="BE263" s="6"/>
      <c r="BF263" s="6"/>
      <c r="BG263" s="6"/>
      <c r="BH263" s="6"/>
      <c r="BI263" s="6"/>
      <c r="BJ263" s="6">
        <v>69341819.605011</v>
      </c>
      <c r="BK263" s="6"/>
      <c r="BL263" s="6"/>
      <c r="BM263" s="6"/>
      <c r="BN263" s="6"/>
      <c r="BO263" s="6">
        <v>102598.338974</v>
      </c>
      <c r="BP263" s="6"/>
      <c r="BQ263" s="6">
        <f t="shared" si="11"/>
        <v>43596314.809783</v>
      </c>
      <c r="BT263" s="6">
        <f t="shared" si="12"/>
        <v>30050851.62758867</v>
      </c>
      <c r="BW263" s="52"/>
      <c r="BX263" s="6">
        <f t="shared" si="13"/>
        <v>78617723.60274899</v>
      </c>
      <c r="BY263" s="6">
        <f t="shared" si="14"/>
        <v>65741459.31468777</v>
      </c>
    </row>
    <row r="264" spans="1:77" ht="12.75">
      <c r="A264" t="s">
        <v>897</v>
      </c>
      <c r="B264" t="s">
        <v>263</v>
      </c>
      <c r="K264"/>
      <c r="L264"/>
      <c r="V264"/>
      <c r="X264"/>
      <c r="Z264" s="12">
        <f>Z265+Z266</f>
        <v>32111298.927895997</v>
      </c>
      <c r="AC264" s="12">
        <f>AC265+AC266</f>
        <v>32724890.627155162</v>
      </c>
      <c r="AF264" s="51"/>
      <c r="AG264"/>
      <c r="AI264"/>
      <c r="AT264"/>
      <c r="AZ264"/>
      <c r="BB264"/>
      <c r="BI264"/>
      <c r="BJ264" s="1">
        <v>60881226.588698</v>
      </c>
      <c r="BQ264" s="1">
        <f>BQ265+BQ266</f>
        <v>39388637.391068</v>
      </c>
      <c r="BT264" s="1">
        <f>BT265+BT266</f>
        <v>27382705.42408093</v>
      </c>
      <c r="BW264" s="52"/>
      <c r="BX264" s="1">
        <f t="shared" si="13"/>
        <v>71499936.31896399</v>
      </c>
      <c r="BY264" s="1">
        <f t="shared" si="14"/>
        <v>60107596.05123609</v>
      </c>
    </row>
    <row r="265" spans="1:77" ht="12.75">
      <c r="A265" s="3" t="s">
        <v>898</v>
      </c>
      <c r="B265" s="3" t="s">
        <v>264</v>
      </c>
      <c r="C265" s="3" t="s">
        <v>1346</v>
      </c>
      <c r="D265" s="3"/>
      <c r="E265" s="4"/>
      <c r="F265" s="4">
        <v>4516693.88467</v>
      </c>
      <c r="G265" s="4">
        <f>F265*RPI_inc</f>
        <v>4603000.137243312</v>
      </c>
      <c r="H265" s="4"/>
      <c r="I265" s="4"/>
      <c r="J265" s="4">
        <v>91624.832638</v>
      </c>
      <c r="K265" s="4">
        <f>J265*RPI_inc</f>
        <v>93375.62561834395</v>
      </c>
      <c r="L265" s="3"/>
      <c r="M265" s="4"/>
      <c r="N265" s="4"/>
      <c r="O265" s="4"/>
      <c r="P265" s="4"/>
      <c r="Q265" s="4"/>
      <c r="R265" s="4"/>
      <c r="S265" s="4"/>
      <c r="T265" s="4">
        <v>45953.41974</v>
      </c>
      <c r="U265" s="4">
        <f>T265*RPI_inc</f>
        <v>46831.51056305732</v>
      </c>
      <c r="V265" s="3"/>
      <c r="W265" s="4"/>
      <c r="X265" s="3"/>
      <c r="Y265" s="4"/>
      <c r="Z265" s="13">
        <f>D265+F265+H265+J265+L265+N265+P265+R265+T265+V265+X265</f>
        <v>4654272.137048</v>
      </c>
      <c r="AC265" s="13">
        <f>E265+G265+I265+K265+M265+O265+Q265+S265+U265+W265+Y265</f>
        <v>4743207.273424713</v>
      </c>
      <c r="AF265" s="51"/>
      <c r="AG265" s="3"/>
      <c r="AH265" s="4"/>
      <c r="AI265" s="3"/>
      <c r="AJ265" s="4"/>
      <c r="AK265" s="4"/>
      <c r="AL265" s="4">
        <v>4989947.704263</v>
      </c>
      <c r="AM265" s="4">
        <f>AL265/$AL$680*$AM$680</f>
        <v>3340978.3705930244</v>
      </c>
      <c r="AN265" s="4"/>
      <c r="AO265" s="4"/>
      <c r="AP265" s="4"/>
      <c r="AQ265" s="4"/>
      <c r="AR265" s="4">
        <v>132337.014477</v>
      </c>
      <c r="AS265" s="4">
        <f>AR265/$AR$680*$AS$680</f>
        <v>129733.11475440518</v>
      </c>
      <c r="AT265" s="3"/>
      <c r="AU265" s="4"/>
      <c r="AV265" s="4"/>
      <c r="AW265" s="4"/>
      <c r="AX265" s="4">
        <v>65188.590814</v>
      </c>
      <c r="AY265" s="4">
        <f>AX265/$AX$680*$AY$680</f>
        <v>63882.63305772607</v>
      </c>
      <c r="AZ265" s="3"/>
      <c r="BA265" s="4"/>
      <c r="BB265" s="3"/>
      <c r="BC265" s="4"/>
      <c r="BD265" s="4"/>
      <c r="BE265" s="4"/>
      <c r="BF265" s="4"/>
      <c r="BG265" s="4"/>
      <c r="BH265" s="4"/>
      <c r="BI265" s="4"/>
      <c r="BJ265" s="4">
        <v>9230572.159831</v>
      </c>
      <c r="BK265" s="4"/>
      <c r="BL265" s="4"/>
      <c r="BM265" s="4"/>
      <c r="BN265" s="4"/>
      <c r="BO265" s="4">
        <v>13635.105121</v>
      </c>
      <c r="BP265" s="4"/>
      <c r="BQ265" s="4">
        <f t="shared" si="11"/>
        <v>5201108.414674999</v>
      </c>
      <c r="BT265" s="4">
        <f t="shared" si="12"/>
        <v>3534594.118405156</v>
      </c>
      <c r="BW265" s="52"/>
      <c r="BX265" s="4">
        <f t="shared" si="13"/>
        <v>9855380.551723</v>
      </c>
      <c r="BY265" s="4">
        <f t="shared" si="14"/>
        <v>8277801.391829869</v>
      </c>
    </row>
    <row r="266" spans="1:77" ht="12.75">
      <c r="A266" s="5" t="s">
        <v>899</v>
      </c>
      <c r="B266" s="5" t="s">
        <v>265</v>
      </c>
      <c r="C266" s="5" t="s">
        <v>1346</v>
      </c>
      <c r="D266" s="6">
        <v>23524707.824817</v>
      </c>
      <c r="E266" s="6">
        <f>D266*RPI_inc</f>
        <v>23974224.534845352</v>
      </c>
      <c r="F266" s="6"/>
      <c r="G266" s="6"/>
      <c r="H266" s="6"/>
      <c r="I266" s="6"/>
      <c r="J266" s="6">
        <v>483329.709358</v>
      </c>
      <c r="K266" s="6">
        <f>J266*RPI_inc</f>
        <v>492565.30889987265</v>
      </c>
      <c r="L266" s="6">
        <v>2574908.620362</v>
      </c>
      <c r="M266" s="6">
        <f>L266*RPI_inc</f>
        <v>2624110.6959103188</v>
      </c>
      <c r="N266" s="6"/>
      <c r="O266" s="6"/>
      <c r="P266" s="6"/>
      <c r="Q266" s="6"/>
      <c r="R266" s="6"/>
      <c r="S266" s="6"/>
      <c r="T266" s="6"/>
      <c r="U266" s="6"/>
      <c r="V266" s="6">
        <v>47814.690043</v>
      </c>
      <c r="W266" s="6">
        <f>V266*RPI_inc</f>
        <v>48728.34654063694</v>
      </c>
      <c r="X266" s="6">
        <v>826265.946268</v>
      </c>
      <c r="Y266" s="6">
        <f>X266*RPI_inc</f>
        <v>842054.4675342676</v>
      </c>
      <c r="Z266" s="14">
        <f>D266+F266+H266+J266+L266+N266+P266+R266+T266+V266+X266</f>
        <v>27457026.790847998</v>
      </c>
      <c r="AC266" s="14">
        <f>E266+G266+I266+K266+M266+O266+Q266+S266+U266+W266+Y266</f>
        <v>27981683.353730448</v>
      </c>
      <c r="AF266" s="51"/>
      <c r="AG266" s="6">
        <v>753575</v>
      </c>
      <c r="AH266" s="6">
        <f>AG266/$AG$680*$AH$680</f>
        <v>567389.5972961709</v>
      </c>
      <c r="AI266" s="6">
        <v>28108770.343805</v>
      </c>
      <c r="AJ266" s="6">
        <f>AI266/$AI$680*$AJ$680</f>
        <v>19267174.591526728</v>
      </c>
      <c r="AK266" s="6">
        <f>AJ266-AH266</f>
        <v>18699784.994230557</v>
      </c>
      <c r="AL266" s="6"/>
      <c r="AM266" s="6"/>
      <c r="AN266" s="6"/>
      <c r="AO266" s="6"/>
      <c r="AP266" s="6"/>
      <c r="AQ266" s="6"/>
      <c r="AR266" s="6">
        <v>698090.341918</v>
      </c>
      <c r="AS266" s="6">
        <f>AR266/$AR$680*$AS$680</f>
        <v>684354.5231461301</v>
      </c>
      <c r="AT266" s="6">
        <v>3257047.795267</v>
      </c>
      <c r="AU266" s="6">
        <f>AT266/$AT$680*$AU$680</f>
        <v>2688053.130703577</v>
      </c>
      <c r="AV266" s="6"/>
      <c r="AW266" s="6"/>
      <c r="AX266" s="6"/>
      <c r="AY266" s="6"/>
      <c r="AZ266" s="6">
        <v>67828.951324</v>
      </c>
      <c r="BA266" s="6">
        <f>AZ266/$AZ$680*$BA$680</f>
        <v>66470.09663827094</v>
      </c>
      <c r="BB266" s="6">
        <v>1221778.736492</v>
      </c>
      <c r="BC266" s="6">
        <f>BB266/$BB$680*$BC$680</f>
        <v>1198296.9636610723</v>
      </c>
      <c r="BD266" s="6"/>
      <c r="BE266" s="6"/>
      <c r="BF266" s="6"/>
      <c r="BG266" s="6"/>
      <c r="BH266" s="6"/>
      <c r="BI266" s="6"/>
      <c r="BJ266" s="6">
        <v>51650654.428868</v>
      </c>
      <c r="BK266" s="6"/>
      <c r="BL266" s="6"/>
      <c r="BM266" s="6"/>
      <c r="BN266" s="6"/>
      <c r="BO266" s="6">
        <v>80437.807587</v>
      </c>
      <c r="BP266" s="6">
        <v>-56238</v>
      </c>
      <c r="BQ266" s="6">
        <f t="shared" si="11"/>
        <v>34187528.976393</v>
      </c>
      <c r="BT266" s="6">
        <f t="shared" si="12"/>
        <v>23848111.305675775</v>
      </c>
      <c r="BW266" s="52"/>
      <c r="BX266" s="6">
        <f t="shared" si="13"/>
        <v>61644555.767241</v>
      </c>
      <c r="BY266" s="6">
        <f t="shared" si="14"/>
        <v>51829794.65940622</v>
      </c>
    </row>
    <row r="267" spans="1:77" ht="12.75">
      <c r="A267" t="s">
        <v>900</v>
      </c>
      <c r="B267" t="s">
        <v>266</v>
      </c>
      <c r="K267"/>
      <c r="L267"/>
      <c r="V267"/>
      <c r="X267"/>
      <c r="Z267" s="12">
        <f>Z268+Z269</f>
        <v>35330285.101622</v>
      </c>
      <c r="AC267" s="12">
        <f>AC268+AC269</f>
        <v>36005386.09082496</v>
      </c>
      <c r="AF267" s="51"/>
      <c r="AG267"/>
      <c r="AI267"/>
      <c r="AT267"/>
      <c r="AZ267"/>
      <c r="BB267"/>
      <c r="BI267"/>
      <c r="BJ267" s="1">
        <v>68244299.879816</v>
      </c>
      <c r="BQ267" s="1">
        <f>BQ268+BQ269</f>
        <v>43258451.319719</v>
      </c>
      <c r="BT267" s="1">
        <f>BT268+BT269</f>
        <v>29853226.372088317</v>
      </c>
      <c r="BW267" s="52"/>
      <c r="BX267" s="1">
        <f t="shared" si="13"/>
        <v>78588736.421341</v>
      </c>
      <c r="BY267" s="1">
        <f t="shared" si="14"/>
        <v>65858612.462913275</v>
      </c>
    </row>
    <row r="268" spans="1:77" ht="12.75">
      <c r="A268" s="3" t="s">
        <v>901</v>
      </c>
      <c r="B268" s="3" t="s">
        <v>267</v>
      </c>
      <c r="C268" s="3" t="s">
        <v>1346</v>
      </c>
      <c r="D268" s="3"/>
      <c r="E268" s="4"/>
      <c r="F268" s="4">
        <v>5520895.697606</v>
      </c>
      <c r="G268" s="4">
        <f>F268*RPI_inc</f>
        <v>5626390.519853248</v>
      </c>
      <c r="H268" s="4"/>
      <c r="I268" s="4"/>
      <c r="J268" s="4">
        <v>128113.832997</v>
      </c>
      <c r="K268" s="4">
        <f>J268*RPI_inc</f>
        <v>130561.86802242039</v>
      </c>
      <c r="L268" s="3"/>
      <c r="M268" s="4"/>
      <c r="N268" s="4"/>
      <c r="O268" s="4"/>
      <c r="P268" s="4"/>
      <c r="Q268" s="4"/>
      <c r="R268" s="4"/>
      <c r="S268" s="4"/>
      <c r="T268" s="4">
        <v>42308.669645</v>
      </c>
      <c r="U268" s="4">
        <f>T268*RPI_inc</f>
        <v>43117.115561783445</v>
      </c>
      <c r="V268" s="3"/>
      <c r="W268" s="4"/>
      <c r="X268" s="3"/>
      <c r="Y268" s="4"/>
      <c r="Z268" s="13">
        <f>D268+F268+H268+J268+L268+N268+P268+R268+T268+V268+X268</f>
        <v>5691318.200248</v>
      </c>
      <c r="AC268" s="13">
        <f>E268+G268+I268+K268+M268+O268+Q268+S268+U268+W268+Y268</f>
        <v>5800069.503437452</v>
      </c>
      <c r="AF268" s="51"/>
      <c r="AG268" s="3"/>
      <c r="AH268" s="4"/>
      <c r="AI268" s="3"/>
      <c r="AJ268" s="4"/>
      <c r="AK268" s="4"/>
      <c r="AL268" s="4">
        <v>6099368.590208</v>
      </c>
      <c r="AM268" s="4">
        <f>AL268/$AL$680*$AM$680</f>
        <v>4083781.98367695</v>
      </c>
      <c r="AN268" s="4"/>
      <c r="AO268" s="4"/>
      <c r="AP268" s="4"/>
      <c r="AQ268" s="4"/>
      <c r="AR268" s="4">
        <v>185039.379433</v>
      </c>
      <c r="AS268" s="4">
        <f>AR268/$AR$680*$AS$680</f>
        <v>181398.4933915634</v>
      </c>
      <c r="AT268" s="3"/>
      <c r="AU268" s="4"/>
      <c r="AV268" s="4"/>
      <c r="AW268" s="4"/>
      <c r="AX268" s="4">
        <v>60018.222125</v>
      </c>
      <c r="AY268" s="4">
        <f>AX268/$AX$680*$AY$680</f>
        <v>58815.84511817749</v>
      </c>
      <c r="AZ268" s="3"/>
      <c r="BA268" s="4"/>
      <c r="BB268" s="3"/>
      <c r="BC268" s="4"/>
      <c r="BD268" s="4"/>
      <c r="BE268" s="4"/>
      <c r="BF268" s="4"/>
      <c r="BG268" s="4"/>
      <c r="BH268" s="4"/>
      <c r="BI268" s="4"/>
      <c r="BJ268" s="4">
        <v>11356019.691479</v>
      </c>
      <c r="BK268" s="4"/>
      <c r="BL268" s="4"/>
      <c r="BM268" s="4"/>
      <c r="BN268" s="4"/>
      <c r="BO268" s="4">
        <v>16673.224009</v>
      </c>
      <c r="BP268" s="4"/>
      <c r="BQ268" s="4">
        <f t="shared" si="11"/>
        <v>6361099.415775</v>
      </c>
      <c r="BT268" s="4">
        <f t="shared" si="12"/>
        <v>4323996.322186691</v>
      </c>
      <c r="BW268" s="52"/>
      <c r="BX268" s="4">
        <f t="shared" si="13"/>
        <v>12052417.616023</v>
      </c>
      <c r="BY268" s="4">
        <f t="shared" si="14"/>
        <v>10124065.825624142</v>
      </c>
    </row>
    <row r="269" spans="1:77" ht="12.75">
      <c r="A269" s="5" t="s">
        <v>902</v>
      </c>
      <c r="B269" s="5" t="s">
        <v>268</v>
      </c>
      <c r="C269" s="5" t="s">
        <v>1346</v>
      </c>
      <c r="D269" s="6">
        <v>25649041.558858</v>
      </c>
      <c r="E269" s="6">
        <f>D269*RPI_inc</f>
        <v>26139150.63323108</v>
      </c>
      <c r="F269" s="6"/>
      <c r="G269" s="6"/>
      <c r="H269" s="6"/>
      <c r="I269" s="6"/>
      <c r="J269" s="6">
        <v>605198.563796</v>
      </c>
      <c r="K269" s="6">
        <f>J269*RPI_inc</f>
        <v>616762.8675628025</v>
      </c>
      <c r="L269" s="6">
        <v>2806501.777089</v>
      </c>
      <c r="M269" s="6">
        <f>L269*RPI_inc</f>
        <v>2860129.1995811467</v>
      </c>
      <c r="N269" s="6"/>
      <c r="O269" s="6"/>
      <c r="P269" s="6"/>
      <c r="Q269" s="6"/>
      <c r="R269" s="6"/>
      <c r="S269" s="6"/>
      <c r="T269" s="6"/>
      <c r="U269" s="6"/>
      <c r="V269" s="6">
        <v>47325.953858</v>
      </c>
      <c r="W269" s="6">
        <f>V269*RPI_inc</f>
        <v>48230.27144764331</v>
      </c>
      <c r="X269" s="6">
        <v>530899.047773</v>
      </c>
      <c r="Y269" s="6">
        <f>X269*RPI_inc</f>
        <v>541043.6155648407</v>
      </c>
      <c r="Z269" s="14">
        <f>D269+F269+H269+J269+L269+N269+P269+R269+T269+V269+X269</f>
        <v>29638966.901373997</v>
      </c>
      <c r="AC269" s="14">
        <f>E269+G269+I269+K269+M269+O269+Q269+S269+U269+W269+Y269</f>
        <v>30205316.587387513</v>
      </c>
      <c r="AF269" s="51"/>
      <c r="AG269" s="6">
        <v>887200</v>
      </c>
      <c r="AH269" s="6">
        <f>AG269/$AG$680*$AH$680</f>
        <v>667999.9346065923</v>
      </c>
      <c r="AI269" s="6">
        <v>30647055.176435</v>
      </c>
      <c r="AJ269" s="6">
        <f>AI269/$AI$680*$AJ$680</f>
        <v>21007043.551823847</v>
      </c>
      <c r="AK269" s="6">
        <f>AJ269-AH269</f>
        <v>20339043.617217254</v>
      </c>
      <c r="AL269" s="6"/>
      <c r="AM269" s="6"/>
      <c r="AN269" s="6"/>
      <c r="AO269" s="6"/>
      <c r="AP269" s="6"/>
      <c r="AQ269" s="6"/>
      <c r="AR269" s="6">
        <v>874109.876029</v>
      </c>
      <c r="AS269" s="6">
        <f>AR269/$AR$680*$AS$680</f>
        <v>856910.648188592</v>
      </c>
      <c r="AT269" s="6">
        <v>3549994.105886</v>
      </c>
      <c r="AU269" s="6">
        <f>AT269/$AT$680*$AU$680</f>
        <v>2929822.762863032</v>
      </c>
      <c r="AV269" s="6"/>
      <c r="AW269" s="6"/>
      <c r="AX269" s="6"/>
      <c r="AY269" s="6"/>
      <c r="AZ269" s="6">
        <v>67135.640067</v>
      </c>
      <c r="BA269" s="6">
        <f>AZ269/$AZ$680*$BA$680</f>
        <v>65790.67486698247</v>
      </c>
      <c r="BB269" s="6">
        <v>785027.109882</v>
      </c>
      <c r="BC269" s="6">
        <f>BB269/$BB$680*$BC$680</f>
        <v>769939.4121591729</v>
      </c>
      <c r="BD269" s="6"/>
      <c r="BE269" s="6"/>
      <c r="BF269" s="6"/>
      <c r="BG269" s="6"/>
      <c r="BH269" s="6"/>
      <c r="BI269" s="6"/>
      <c r="BJ269" s="6">
        <v>56888280.188337</v>
      </c>
      <c r="BK269" s="6"/>
      <c r="BL269" s="6"/>
      <c r="BM269" s="6"/>
      <c r="BN269" s="6"/>
      <c r="BO269" s="6">
        <v>86829.995645</v>
      </c>
      <c r="BP269" s="6">
        <v>-100277</v>
      </c>
      <c r="BQ269" s="6">
        <f t="shared" si="11"/>
        <v>36897351.903944</v>
      </c>
      <c r="BT269" s="6">
        <f t="shared" si="12"/>
        <v>25529230.049901627</v>
      </c>
      <c r="BW269" s="52"/>
      <c r="BX269" s="6">
        <f t="shared" si="13"/>
        <v>66536318.805318</v>
      </c>
      <c r="BY269" s="6">
        <f t="shared" si="14"/>
        <v>55734546.63728914</v>
      </c>
    </row>
    <row r="270" spans="1:77" ht="12.75">
      <c r="A270" t="s">
        <v>903</v>
      </c>
      <c r="B270" t="s">
        <v>269</v>
      </c>
      <c r="K270"/>
      <c r="L270"/>
      <c r="V270"/>
      <c r="X270"/>
      <c r="Z270" s="12">
        <f>Z271+Z272</f>
        <v>47405986.185014</v>
      </c>
      <c r="AC270" s="12">
        <f>AC271+AC272</f>
        <v>48311833.05479134</v>
      </c>
      <c r="AF270" s="51"/>
      <c r="AG270"/>
      <c r="AI270"/>
      <c r="AT270"/>
      <c r="AZ270"/>
      <c r="BB270"/>
      <c r="BI270">
        <v>1427907</v>
      </c>
      <c r="BJ270" s="1">
        <v>92471588.391795</v>
      </c>
      <c r="BQ270" s="1">
        <f>BQ271+BQ272</f>
        <v>60878771.55115458</v>
      </c>
      <c r="BT270" s="1">
        <f>BT271+BT272</f>
        <v>44020995.39277182</v>
      </c>
      <c r="BW270" s="52"/>
      <c r="BX270" s="1">
        <f t="shared" si="13"/>
        <v>108284757.7361686</v>
      </c>
      <c r="BY270" s="1">
        <f t="shared" si="14"/>
        <v>92332828.44756316</v>
      </c>
    </row>
    <row r="271" spans="1:77" ht="12.75">
      <c r="A271" s="3" t="s">
        <v>904</v>
      </c>
      <c r="B271" s="3" t="s">
        <v>270</v>
      </c>
      <c r="C271" s="3" t="s">
        <v>1346</v>
      </c>
      <c r="D271" s="3"/>
      <c r="E271" s="4"/>
      <c r="F271" s="4">
        <v>8363715.399972</v>
      </c>
      <c r="G271" s="4">
        <f>F271*RPI_inc</f>
        <v>8523531.61780586</v>
      </c>
      <c r="H271" s="4"/>
      <c r="I271" s="4"/>
      <c r="J271" s="4">
        <v>273076.436611</v>
      </c>
      <c r="K271" s="4">
        <f>J271*RPI_inc</f>
        <v>278294.45769273886</v>
      </c>
      <c r="L271" s="3"/>
      <c r="M271" s="4"/>
      <c r="N271" s="4"/>
      <c r="O271" s="4"/>
      <c r="P271" s="4"/>
      <c r="Q271" s="4"/>
      <c r="R271" s="4"/>
      <c r="S271" s="4"/>
      <c r="T271" s="4">
        <v>45953.41974</v>
      </c>
      <c r="U271" s="4">
        <f>T271*RPI_inc</f>
        <v>46831.51056305732</v>
      </c>
      <c r="V271" s="3"/>
      <c r="W271" s="4"/>
      <c r="X271" s="3"/>
      <c r="Y271" s="4"/>
      <c r="Z271" s="13">
        <f>D271+F271+H271+J271+L271+N271+P271+R271+T271+V271+X271</f>
        <v>8682745.256323</v>
      </c>
      <c r="AC271" s="13">
        <f>E271+G271+I271+K271+M271+O271+Q271+S271+U271+W271+Y271</f>
        <v>8848657.586061655</v>
      </c>
      <c r="AF271" s="51"/>
      <c r="AG271" s="3"/>
      <c r="AH271" s="4"/>
      <c r="AI271" s="3"/>
      <c r="AJ271" s="4"/>
      <c r="AK271" s="4"/>
      <c r="AL271" s="4">
        <v>9240055.563838</v>
      </c>
      <c r="AM271" s="4">
        <f>AL271/$AL$680*$AM$680</f>
        <v>6186603.069103711</v>
      </c>
      <c r="AN271" s="4"/>
      <c r="AO271" s="4"/>
      <c r="AP271" s="4"/>
      <c r="AQ271" s="4"/>
      <c r="AR271" s="4">
        <v>394414.039345</v>
      </c>
      <c r="AS271" s="4">
        <f>AR271/$AR$680*$AS$680</f>
        <v>386653.4395483616</v>
      </c>
      <c r="AT271" s="3"/>
      <c r="AU271" s="4"/>
      <c r="AV271" s="4"/>
      <c r="AW271" s="4"/>
      <c r="AX271" s="4">
        <v>65188.590814</v>
      </c>
      <c r="AY271" s="4">
        <f>AX271/$AX$680*$AY$680</f>
        <v>63882.63305772607</v>
      </c>
      <c r="AZ271" s="3"/>
      <c r="BA271" s="4"/>
      <c r="BB271" s="3"/>
      <c r="BC271" s="4"/>
      <c r="BD271" s="4">
        <v>46552.61577</v>
      </c>
      <c r="BE271" s="4">
        <f>BD271/BD$680*BE$680</f>
        <v>66153.72435308497</v>
      </c>
      <c r="BF271" s="4">
        <v>9800.54377038433</v>
      </c>
      <c r="BG271" s="4">
        <f>BE271+BF271</f>
        <v>75954.2681234693</v>
      </c>
      <c r="BH271" s="4">
        <v>278624.751625</v>
      </c>
      <c r="BI271" s="4"/>
      <c r="BJ271" s="4">
        <v>17789685.96924</v>
      </c>
      <c r="BK271" s="4">
        <f>BJ271/BJ270*BI270</f>
        <v>274700.7763687716</v>
      </c>
      <c r="BL271" s="4">
        <f>BH271+BK271</f>
        <v>553325.5279937716</v>
      </c>
      <c r="BM271" s="4"/>
      <c r="BN271" s="4"/>
      <c r="BO271" s="4">
        <v>25436.876235</v>
      </c>
      <c r="BP271" s="4"/>
      <c r="BQ271" s="4">
        <f aca="true" t="shared" si="15" ref="BQ271:BQ334">AG271+AI271+AL271+AN271+AP271+AR271+AT271+AV271+AX271+AZ271+BB271+BD271+BF271+BH271+BK271+BM271+BO271</f>
        <v>10334773.757766154</v>
      </c>
      <c r="BT271" s="4">
        <f aca="true" t="shared" si="16" ref="BT271:BT334">AJ271+AM271+AQ271+AS271+AU271+AW271+AY271+BA271+BC271+BG271+BL271+BN271+BP271</f>
        <v>7266418.937827039</v>
      </c>
      <c r="BW271" s="52"/>
      <c r="BX271" s="4">
        <f t="shared" si="13"/>
        <v>19017519.014089152</v>
      </c>
      <c r="BY271" s="4">
        <f t="shared" si="14"/>
        <v>16115076.523888692</v>
      </c>
    </row>
    <row r="272" spans="1:77" ht="12.75">
      <c r="A272" s="5" t="s">
        <v>905</v>
      </c>
      <c r="B272" s="5" t="s">
        <v>271</v>
      </c>
      <c r="C272" s="5" t="s">
        <v>1346</v>
      </c>
      <c r="D272" s="6">
        <v>32617995.119646</v>
      </c>
      <c r="E272" s="6">
        <f>D272*RPI_inc</f>
        <v>33241268.91174115</v>
      </c>
      <c r="F272" s="6"/>
      <c r="G272" s="6"/>
      <c r="H272" s="6"/>
      <c r="I272" s="6"/>
      <c r="J272" s="6">
        <v>1195778.623096</v>
      </c>
      <c r="K272" s="6">
        <f>J272*RPI_inc</f>
        <v>1218627.8961487897</v>
      </c>
      <c r="L272" s="6">
        <v>3379689.939013</v>
      </c>
      <c r="M272" s="6">
        <f>L272*RPI_inc</f>
        <v>3444270.001541911</v>
      </c>
      <c r="N272" s="6"/>
      <c r="O272" s="6"/>
      <c r="P272" s="6"/>
      <c r="Q272" s="6"/>
      <c r="R272" s="6"/>
      <c r="S272" s="6"/>
      <c r="T272" s="6"/>
      <c r="U272" s="6"/>
      <c r="V272" s="6">
        <v>66142.296959</v>
      </c>
      <c r="W272" s="6">
        <f>V272*RPI_inc</f>
        <v>67406.16250598726</v>
      </c>
      <c r="X272" s="6">
        <v>1463634.949977</v>
      </c>
      <c r="Y272" s="6">
        <f>X272*RPI_inc</f>
        <v>1491602.496791847</v>
      </c>
      <c r="Z272" s="14">
        <f>D272+F272+H272+J272+L272+N272+P272+R272+T272+V272+X272</f>
        <v>38723240.928691</v>
      </c>
      <c r="AC272" s="14">
        <f>E272+G272+I272+K272+M272+O272+Q272+S272+U272+W272+Y272</f>
        <v>39463175.46872968</v>
      </c>
      <c r="AF272" s="51"/>
      <c r="AG272" s="6">
        <v>664968</v>
      </c>
      <c r="AH272" s="6">
        <f>AG272/$AG$680*$AH$680</f>
        <v>500674.6849813756</v>
      </c>
      <c r="AI272" s="6">
        <v>38973990.271041</v>
      </c>
      <c r="AJ272" s="6">
        <f>AI272/$AI$680*$AJ$680</f>
        <v>26714746.532699496</v>
      </c>
      <c r="AK272" s="6">
        <f>AJ272-AH272</f>
        <v>26214071.84771812</v>
      </c>
      <c r="AL272" s="6"/>
      <c r="AM272" s="6"/>
      <c r="AN272" s="6"/>
      <c r="AO272" s="6"/>
      <c r="AP272" s="6"/>
      <c r="AQ272" s="6"/>
      <c r="AR272" s="6">
        <v>1727105.724502</v>
      </c>
      <c r="AS272" s="6">
        <f>AR272/$AR$680*$AS$680</f>
        <v>1693122.7142709186</v>
      </c>
      <c r="AT272" s="6">
        <v>4275030.025337</v>
      </c>
      <c r="AU272" s="6">
        <f>AT272/$AT$680*$AU$680</f>
        <v>3528197.486127736</v>
      </c>
      <c r="AV272" s="6"/>
      <c r="AW272" s="6"/>
      <c r="AX272" s="6"/>
      <c r="AY272" s="6"/>
      <c r="AZ272" s="6">
        <v>93828.123467</v>
      </c>
      <c r="BA272" s="6">
        <f>AZ272/$AZ$680*$BA$680</f>
        <v>91948.41306697817</v>
      </c>
      <c r="BB272" s="6">
        <v>2164240.300529</v>
      </c>
      <c r="BC272" s="6">
        <f>BB272/$BB$680*$BC$680</f>
        <v>2122645.044718216</v>
      </c>
      <c r="BD272" s="6">
        <v>172244.678348</v>
      </c>
      <c r="BE272" s="6">
        <f>BD272/BD$680*BE$680</f>
        <v>244768.78010499332</v>
      </c>
      <c r="BF272" s="6">
        <v>36262.0119502115</v>
      </c>
      <c r="BG272" s="6">
        <f>BE272+BF272</f>
        <v>281030.7920552048</v>
      </c>
      <c r="BH272" s="6">
        <v>1169679.248375</v>
      </c>
      <c r="BI272" s="6"/>
      <c r="BJ272" s="6">
        <v>74681902.422555</v>
      </c>
      <c r="BK272" s="6">
        <f>BJ272/BJ270*BI270</f>
        <v>1153206.2236312283</v>
      </c>
      <c r="BL272" s="6">
        <f>BH272+BK272</f>
        <v>2322885.4720062283</v>
      </c>
      <c r="BM272" s="6"/>
      <c r="BN272" s="6"/>
      <c r="BO272" s="6">
        <v>113443.186208</v>
      </c>
      <c r="BP272" s="6"/>
      <c r="BQ272" s="6">
        <f t="shared" si="15"/>
        <v>50543997.793388434</v>
      </c>
      <c r="BT272" s="6">
        <f t="shared" si="16"/>
        <v>36754576.45494478</v>
      </c>
      <c r="BW272" s="52"/>
      <c r="BX272" s="6">
        <f t="shared" si="13"/>
        <v>89267238.72207943</v>
      </c>
      <c r="BY272" s="6">
        <f t="shared" si="14"/>
        <v>76217751.92367446</v>
      </c>
    </row>
    <row r="273" spans="1:77" ht="12.75">
      <c r="A273" t="s">
        <v>906</v>
      </c>
      <c r="B273" t="s">
        <v>272</v>
      </c>
      <c r="K273"/>
      <c r="L273"/>
      <c r="V273"/>
      <c r="X273"/>
      <c r="Z273" s="12">
        <f>Z274+Z275</f>
        <v>72656633.09891401</v>
      </c>
      <c r="AC273" s="12">
        <f>AC274+AC275</f>
        <v>74044976.40653656</v>
      </c>
      <c r="AF273" s="51"/>
      <c r="AG273"/>
      <c r="AI273"/>
      <c r="AT273"/>
      <c r="AZ273"/>
      <c r="BB273"/>
      <c r="BI273"/>
      <c r="BJ273" s="1">
        <v>144181011.162301</v>
      </c>
      <c r="BQ273" s="1">
        <f>BQ274+BQ275</f>
        <v>89226422.42280601</v>
      </c>
      <c r="BT273" s="1">
        <f>BT274+BT275</f>
        <v>62118194.9318729</v>
      </c>
      <c r="BW273" s="52"/>
      <c r="BX273" s="1">
        <f t="shared" si="13"/>
        <v>161883055.52172002</v>
      </c>
      <c r="BY273" s="1">
        <f t="shared" si="14"/>
        <v>136163171.33840945</v>
      </c>
    </row>
    <row r="274" spans="1:77" ht="12.75">
      <c r="A274" s="3" t="s">
        <v>907</v>
      </c>
      <c r="B274" s="3" t="s">
        <v>273</v>
      </c>
      <c r="C274" s="3" t="s">
        <v>1346</v>
      </c>
      <c r="D274" s="3"/>
      <c r="E274" s="4"/>
      <c r="F274" s="4">
        <v>10846037.472007</v>
      </c>
      <c r="G274" s="4">
        <f>F274*RPI_inc</f>
        <v>11053286.595675925</v>
      </c>
      <c r="H274" s="4"/>
      <c r="I274" s="4"/>
      <c r="J274" s="4">
        <v>131839.426984</v>
      </c>
      <c r="K274" s="4">
        <f>J274*RPI_inc</f>
        <v>134358.65170343948</v>
      </c>
      <c r="L274" s="3"/>
      <c r="M274" s="4"/>
      <c r="N274" s="4"/>
      <c r="O274" s="4"/>
      <c r="P274" s="4"/>
      <c r="Q274" s="4"/>
      <c r="R274" s="4"/>
      <c r="S274" s="4"/>
      <c r="T274" s="4">
        <v>26919.181758</v>
      </c>
      <c r="U274" s="4">
        <f>T274*RPI_inc</f>
        <v>27433.561027261145</v>
      </c>
      <c r="V274" s="3"/>
      <c r="W274" s="4"/>
      <c r="X274" s="3"/>
      <c r="Y274" s="4"/>
      <c r="Z274" s="13">
        <f>D274+F274+H274+J274+L274+N274+P274+R274+T274+V274+X274</f>
        <v>11004796.080749</v>
      </c>
      <c r="AC274" s="13">
        <f>E274+G274+I274+K274+M274+O274+Q274+S274+U274+W274+Y274</f>
        <v>11215078.808406625</v>
      </c>
      <c r="AF274" s="51"/>
      <c r="AG274" s="3"/>
      <c r="AH274" s="4"/>
      <c r="AI274" s="3"/>
      <c r="AJ274" s="4"/>
      <c r="AK274" s="4"/>
      <c r="AL274" s="4">
        <v>11982472.393686</v>
      </c>
      <c r="AM274" s="4">
        <f>AL274/$AL$680*$AM$680</f>
        <v>8022765.661317834</v>
      </c>
      <c r="AN274" s="4"/>
      <c r="AO274" s="4"/>
      <c r="AP274" s="4"/>
      <c r="AQ274" s="4"/>
      <c r="AR274" s="4">
        <v>190420.387739</v>
      </c>
      <c r="AS274" s="4">
        <f>AR274/$AR$680*$AS$680</f>
        <v>186673.62348888046</v>
      </c>
      <c r="AT274" s="3"/>
      <c r="AU274" s="4"/>
      <c r="AV274" s="4"/>
      <c r="AW274" s="4"/>
      <c r="AX274" s="4">
        <v>38187.006203</v>
      </c>
      <c r="AY274" s="4">
        <f>AX274/$AX$680*$AY$680</f>
        <v>37421.98557106178</v>
      </c>
      <c r="AZ274" s="3"/>
      <c r="BA274" s="4"/>
      <c r="BB274" s="3"/>
      <c r="BC274" s="4"/>
      <c r="BD274" s="4"/>
      <c r="BE274" s="4"/>
      <c r="BF274" s="4"/>
      <c r="BG274" s="4"/>
      <c r="BH274" s="4"/>
      <c r="BI274" s="4"/>
      <c r="BJ274" s="4">
        <v>23288664.949506</v>
      </c>
      <c r="BK274" s="4"/>
      <c r="BL274" s="4"/>
      <c r="BM274" s="4"/>
      <c r="BN274" s="4"/>
      <c r="BO274" s="4">
        <v>32239.53112</v>
      </c>
      <c r="BP274" s="4"/>
      <c r="BQ274" s="4">
        <f t="shared" si="15"/>
        <v>12243319.318748001</v>
      </c>
      <c r="BT274" s="4">
        <f t="shared" si="16"/>
        <v>8246861.270377777</v>
      </c>
      <c r="BW274" s="52"/>
      <c r="BX274" s="4">
        <f t="shared" si="13"/>
        <v>23248115.399497002</v>
      </c>
      <c r="BY274" s="4">
        <f t="shared" si="14"/>
        <v>19461940.078784402</v>
      </c>
    </row>
    <row r="275" spans="1:77" ht="12.75">
      <c r="A275" s="5" t="s">
        <v>908</v>
      </c>
      <c r="B275" s="5" t="s">
        <v>274</v>
      </c>
      <c r="C275" s="5" t="s">
        <v>1346</v>
      </c>
      <c r="D275" s="6">
        <v>53463810.057015</v>
      </c>
      <c r="E275" s="6">
        <f>D275*RPI_inc</f>
        <v>54485411.523072615</v>
      </c>
      <c r="F275" s="6"/>
      <c r="G275" s="6"/>
      <c r="H275" s="6"/>
      <c r="I275" s="6"/>
      <c r="J275" s="6">
        <v>653602.793079</v>
      </c>
      <c r="K275" s="6">
        <f>J275*RPI_inc</f>
        <v>666092.0184244586</v>
      </c>
      <c r="L275" s="6">
        <v>4341641.819447</v>
      </c>
      <c r="M275" s="6">
        <f>L275*RPI_inc</f>
        <v>4424603.128098853</v>
      </c>
      <c r="N275" s="6"/>
      <c r="O275" s="6"/>
      <c r="P275" s="6"/>
      <c r="Q275" s="6"/>
      <c r="R275" s="6"/>
      <c r="S275" s="6"/>
      <c r="T275" s="6"/>
      <c r="U275" s="6"/>
      <c r="V275" s="6">
        <v>78890.165769</v>
      </c>
      <c r="W275" s="6">
        <f>V275*RPI_inc</f>
        <v>80397.62116585988</v>
      </c>
      <c r="X275" s="6">
        <v>3113892.182855</v>
      </c>
      <c r="Y275" s="6">
        <f>X275*RPI_inc</f>
        <v>3173393.307368153</v>
      </c>
      <c r="Z275" s="14">
        <f>D275+F275+H275+J275+L275+N275+P275+R275+T275+V275+X275</f>
        <v>61651837.01816501</v>
      </c>
      <c r="AC275" s="14">
        <f>E275+G275+I275+K275+M275+O275+Q275+S275+U275+W275+Y275</f>
        <v>62829897.598129936</v>
      </c>
      <c r="AF275" s="51"/>
      <c r="AG275" s="6">
        <v>1768446</v>
      </c>
      <c r="AH275" s="6">
        <f>AG275/$AG$680*$AH$680</f>
        <v>1331516.9210496952</v>
      </c>
      <c r="AI275" s="6">
        <v>63881854.337511</v>
      </c>
      <c r="AJ275" s="6">
        <f>AI275/$AI$680*$AJ$680</f>
        <v>43787857.871291384</v>
      </c>
      <c r="AK275" s="6">
        <f>AJ275-AH275</f>
        <v>42456340.95024169</v>
      </c>
      <c r="AL275" s="6"/>
      <c r="AM275" s="6"/>
      <c r="AN275" s="6"/>
      <c r="AO275" s="6"/>
      <c r="AP275" s="6"/>
      <c r="AQ275" s="6"/>
      <c r="AR275" s="6">
        <v>944021.831194</v>
      </c>
      <c r="AS275" s="6">
        <f>AR275/$AR$680*$AS$680</f>
        <v>925446.9963748519</v>
      </c>
      <c r="AT275" s="6">
        <v>5491820.099573</v>
      </c>
      <c r="AU275" s="6">
        <f>AT275/$AT$680*$AU$680</f>
        <v>4532418.662498589</v>
      </c>
      <c r="AV275" s="6"/>
      <c r="AW275" s="6"/>
      <c r="AX275" s="6"/>
      <c r="AY275" s="6"/>
      <c r="AZ275" s="6">
        <v>111911.99209</v>
      </c>
      <c r="BA275" s="6">
        <f>AZ275/$AZ$680*$BA$680</f>
        <v>109669.99760427719</v>
      </c>
      <c r="BB275" s="6">
        <v>4604434.291313</v>
      </c>
      <c r="BC275" s="6">
        <f>BB275/$BB$680*$BC$680</f>
        <v>4515940.1337260185</v>
      </c>
      <c r="BD275" s="6"/>
      <c r="BE275" s="6"/>
      <c r="BF275" s="6"/>
      <c r="BG275" s="6"/>
      <c r="BH275" s="6"/>
      <c r="BI275" s="6"/>
      <c r="BJ275" s="6">
        <v>120892346.212795</v>
      </c>
      <c r="BK275" s="6"/>
      <c r="BL275" s="6"/>
      <c r="BM275" s="6"/>
      <c r="BN275" s="6"/>
      <c r="BO275" s="6">
        <v>180614.552377</v>
      </c>
      <c r="BP275" s="6"/>
      <c r="BQ275" s="6">
        <f t="shared" si="15"/>
        <v>76983103.10405801</v>
      </c>
      <c r="BT275" s="6">
        <f t="shared" si="16"/>
        <v>53871333.66149512</v>
      </c>
      <c r="BW275" s="52"/>
      <c r="BX275" s="6">
        <f t="shared" si="13"/>
        <v>138634940.12222302</v>
      </c>
      <c r="BY275" s="6">
        <f t="shared" si="14"/>
        <v>116701231.25962505</v>
      </c>
    </row>
    <row r="276" spans="1:77" ht="12.75">
      <c r="A276" t="s">
        <v>909</v>
      </c>
      <c r="B276" t="s">
        <v>275</v>
      </c>
      <c r="K276"/>
      <c r="L276"/>
      <c r="V276"/>
      <c r="X276"/>
      <c r="Z276" s="12">
        <f>Z277+Z278</f>
        <v>35385116.969706</v>
      </c>
      <c r="AC276" s="12">
        <f>AC277+AC278</f>
        <v>36061265.701611206</v>
      </c>
      <c r="AF276" s="51"/>
      <c r="AG276"/>
      <c r="AI276"/>
      <c r="AT276"/>
      <c r="AZ276"/>
      <c r="BB276"/>
      <c r="BI276"/>
      <c r="BJ276" s="1">
        <v>67888683.388802</v>
      </c>
      <c r="BQ276" s="1">
        <f>BQ277+BQ278</f>
        <v>44148719.752643</v>
      </c>
      <c r="BT276" s="1">
        <f>BT277+BT278</f>
        <v>31061802.187706992</v>
      </c>
      <c r="BW276" s="52"/>
      <c r="BX276" s="1">
        <f t="shared" si="13"/>
        <v>79533836.72234899</v>
      </c>
      <c r="BY276" s="1">
        <f t="shared" si="14"/>
        <v>67123067.8893182</v>
      </c>
    </row>
    <row r="277" spans="1:77" ht="12.75">
      <c r="A277" s="3" t="s">
        <v>910</v>
      </c>
      <c r="B277" s="3" t="s">
        <v>276</v>
      </c>
      <c r="C277" s="3" t="s">
        <v>1346</v>
      </c>
      <c r="D277" s="3"/>
      <c r="E277" s="4"/>
      <c r="F277" s="4">
        <v>5244636.811841</v>
      </c>
      <c r="G277" s="4">
        <f>F277*RPI_inc</f>
        <v>5344852.801876178</v>
      </c>
      <c r="H277" s="4"/>
      <c r="I277" s="4"/>
      <c r="J277" s="4">
        <v>100112.001007</v>
      </c>
      <c r="K277" s="4">
        <f>J277*RPI_inc</f>
        <v>102024.96917910827</v>
      </c>
      <c r="L277" s="3"/>
      <c r="M277" s="4"/>
      <c r="N277" s="4"/>
      <c r="O277" s="4"/>
      <c r="P277" s="4"/>
      <c r="Q277" s="4"/>
      <c r="R277" s="4"/>
      <c r="S277" s="4"/>
      <c r="T277" s="4">
        <v>29158.815323</v>
      </c>
      <c r="U277" s="4">
        <f>T277*RPI_inc</f>
        <v>29715.99013808917</v>
      </c>
      <c r="V277" s="3"/>
      <c r="W277" s="4"/>
      <c r="X277" s="3"/>
      <c r="Y277" s="4"/>
      <c r="Z277" s="13">
        <f>D277+F277+H277+J277+L277+N277+P277+R277+T277+V277+X277</f>
        <v>5373907.628171</v>
      </c>
      <c r="AC277" s="13">
        <f>E277+G277+I277+K277+M277+O277+Q277+S277+U277+W277+Y277</f>
        <v>5476593.761193376</v>
      </c>
      <c r="AF277" s="51"/>
      <c r="AG277" s="3"/>
      <c r="AH277" s="4"/>
      <c r="AI277" s="3"/>
      <c r="AJ277" s="4"/>
      <c r="AK277" s="4"/>
      <c r="AL277" s="4">
        <v>5794163.626578</v>
      </c>
      <c r="AM277" s="4">
        <f>AL277/$AL$680*$AM$680</f>
        <v>3879434.515022253</v>
      </c>
      <c r="AN277" s="4"/>
      <c r="AO277" s="4"/>
      <c r="AP277" s="4"/>
      <c r="AQ277" s="4"/>
      <c r="AR277" s="4">
        <v>144595.33453</v>
      </c>
      <c r="AS277" s="4">
        <f>AR277/$AR$680*$AS$680</f>
        <v>141750.2367094155</v>
      </c>
      <c r="AT277" s="3"/>
      <c r="AU277" s="4"/>
      <c r="AV277" s="4"/>
      <c r="AW277" s="4"/>
      <c r="AX277" s="4">
        <v>41364.105032</v>
      </c>
      <c r="AY277" s="4">
        <f>AX277/$AX$680*$AY$680</f>
        <v>40535.43588724118</v>
      </c>
      <c r="AZ277" s="3"/>
      <c r="BA277" s="4"/>
      <c r="BB277" s="3"/>
      <c r="BC277" s="4"/>
      <c r="BD277" s="4"/>
      <c r="BE277" s="4"/>
      <c r="BF277" s="4"/>
      <c r="BG277" s="4"/>
      <c r="BH277" s="4">
        <v>100022.346027</v>
      </c>
      <c r="BI277" s="4"/>
      <c r="BJ277" s="4">
        <v>11089041.058497</v>
      </c>
      <c r="BK277" s="4"/>
      <c r="BL277" s="4">
        <f>BH277+BK277</f>
        <v>100022.346027</v>
      </c>
      <c r="BM277" s="4"/>
      <c r="BN277" s="4"/>
      <c r="BO277" s="4">
        <v>15743.341443</v>
      </c>
      <c r="BP277" s="4"/>
      <c r="BQ277" s="4">
        <f t="shared" si="15"/>
        <v>6095888.75361</v>
      </c>
      <c r="BT277" s="4">
        <f t="shared" si="16"/>
        <v>4161742.5336459097</v>
      </c>
      <c r="BW277" s="52"/>
      <c r="BX277" s="4">
        <f t="shared" si="13"/>
        <v>11469796.381781</v>
      </c>
      <c r="BY277" s="4">
        <f t="shared" si="14"/>
        <v>9638336.294839285</v>
      </c>
    </row>
    <row r="278" spans="1:77" ht="12.75">
      <c r="A278" s="5" t="s">
        <v>911</v>
      </c>
      <c r="B278" s="5" t="s">
        <v>277</v>
      </c>
      <c r="C278" s="5" t="s">
        <v>1346</v>
      </c>
      <c r="D278" s="6">
        <v>25122884.616636</v>
      </c>
      <c r="E278" s="6">
        <f>D278*RPI_inc</f>
        <v>25602939.736699108</v>
      </c>
      <c r="F278" s="6"/>
      <c r="G278" s="6"/>
      <c r="H278" s="6"/>
      <c r="I278" s="6"/>
      <c r="J278" s="6">
        <v>504824.062223</v>
      </c>
      <c r="K278" s="6">
        <f>J278*RPI_inc</f>
        <v>514470.3818833121</v>
      </c>
      <c r="L278" s="6">
        <v>2828950.193112</v>
      </c>
      <c r="M278" s="6">
        <f>L278*RPI_inc</f>
        <v>2883006.5662287897</v>
      </c>
      <c r="N278" s="6"/>
      <c r="O278" s="6"/>
      <c r="P278" s="6"/>
      <c r="Q278" s="6"/>
      <c r="R278" s="6"/>
      <c r="S278" s="6"/>
      <c r="T278" s="6"/>
      <c r="U278" s="6"/>
      <c r="V278" s="6">
        <v>57996.693885</v>
      </c>
      <c r="W278" s="6">
        <f>V278*RPI_inc</f>
        <v>59104.91096560509</v>
      </c>
      <c r="X278" s="6">
        <v>1496553.775679</v>
      </c>
      <c r="Y278" s="6">
        <f>X278*RPI_inc</f>
        <v>1525150.3446410191</v>
      </c>
      <c r="Z278" s="14">
        <f>D278+F278+H278+J278+L278+N278+P278+R278+T278+V278+X278</f>
        <v>30011209.341535</v>
      </c>
      <c r="AC278" s="14">
        <f>E278+G278+I278+K278+M278+O278+Q278+S278+U278+W278+Y278</f>
        <v>30584671.940417834</v>
      </c>
      <c r="AF278" s="51"/>
      <c r="AG278" s="6">
        <v>831497</v>
      </c>
      <c r="AH278" s="6">
        <f>AG278/$AG$680*$AH$680</f>
        <v>626059.4472786041</v>
      </c>
      <c r="AI278" s="6">
        <v>30018370.443606</v>
      </c>
      <c r="AJ278" s="6">
        <f>AI278/$AI$680*$AJ$680</f>
        <v>20576111.200024497</v>
      </c>
      <c r="AK278" s="6">
        <f>AJ278-AH278</f>
        <v>19950051.752745893</v>
      </c>
      <c r="AL278" s="6"/>
      <c r="AM278" s="6"/>
      <c r="AN278" s="6"/>
      <c r="AO278" s="6"/>
      <c r="AP278" s="6"/>
      <c r="AQ278" s="6"/>
      <c r="AR278" s="6">
        <v>729135.402567</v>
      </c>
      <c r="AS278" s="6">
        <f>AR278/$AR$680*$AS$680</f>
        <v>714788.7325897334</v>
      </c>
      <c r="AT278" s="6">
        <v>3578389.507314</v>
      </c>
      <c r="AU278" s="6">
        <f>AT278/$AT$680*$AU$680</f>
        <v>2953257.588663573</v>
      </c>
      <c r="AV278" s="6"/>
      <c r="AW278" s="6"/>
      <c r="AX278" s="6"/>
      <c r="AY278" s="6"/>
      <c r="AZ278" s="6">
        <v>82272.935848</v>
      </c>
      <c r="BA278" s="6">
        <f>AZ278/$AZ$680*$BA$680</f>
        <v>80624.71687655052</v>
      </c>
      <c r="BB278" s="6">
        <v>2212916.542669</v>
      </c>
      <c r="BC278" s="6">
        <f>BB278/$BB$680*$BC$680</f>
        <v>2170385.7619337304</v>
      </c>
      <c r="BD278" s="6"/>
      <c r="BE278" s="6"/>
      <c r="BF278" s="6"/>
      <c r="BG278" s="6"/>
      <c r="BH278" s="6">
        <v>512328.653973</v>
      </c>
      <c r="BI278" s="6"/>
      <c r="BJ278" s="6">
        <v>56799642.330305</v>
      </c>
      <c r="BK278" s="6"/>
      <c r="BL278" s="6">
        <f>BH278+BK278</f>
        <v>512328.653973</v>
      </c>
      <c r="BM278" s="6"/>
      <c r="BN278" s="6"/>
      <c r="BO278" s="6">
        <v>87920.513056</v>
      </c>
      <c r="BP278" s="6">
        <v>-107437</v>
      </c>
      <c r="BQ278" s="6">
        <f t="shared" si="15"/>
        <v>38052830.999033</v>
      </c>
      <c r="BT278" s="6">
        <f t="shared" si="16"/>
        <v>26900059.654061083</v>
      </c>
      <c r="BW278" s="52"/>
      <c r="BX278" s="6">
        <f t="shared" si="13"/>
        <v>68064040.34056799</v>
      </c>
      <c r="BY278" s="6">
        <f t="shared" si="14"/>
        <v>57484731.59447892</v>
      </c>
    </row>
    <row r="279" spans="1:77" ht="12.75">
      <c r="A279" t="s">
        <v>912</v>
      </c>
      <c r="B279" t="s">
        <v>278</v>
      </c>
      <c r="K279"/>
      <c r="L279"/>
      <c r="V279"/>
      <c r="X279"/>
      <c r="Z279" s="12">
        <f>Z280+Z281</f>
        <v>29542164.710191004</v>
      </c>
      <c r="AC279" s="12">
        <f>AC280+AC281</f>
        <v>30106664.67280611</v>
      </c>
      <c r="AF279" s="51"/>
      <c r="AG279"/>
      <c r="AI279"/>
      <c r="AT279"/>
      <c r="AZ279"/>
      <c r="BB279"/>
      <c r="BI279">
        <v>671976</v>
      </c>
      <c r="BJ279" s="1">
        <v>61160314.566196</v>
      </c>
      <c r="BQ279" s="1">
        <f>BQ280+BQ281</f>
        <v>37402036.14752132</v>
      </c>
      <c r="BT279" s="1">
        <f>BT280+BT281</f>
        <v>26495005.06935294</v>
      </c>
      <c r="BW279" s="52"/>
      <c r="BX279" s="1">
        <f t="shared" si="13"/>
        <v>66944200.85771232</v>
      </c>
      <c r="BY279" s="1">
        <f t="shared" si="14"/>
        <v>56601669.74215905</v>
      </c>
    </row>
    <row r="280" spans="1:77" ht="12.75">
      <c r="A280" s="3" t="s">
        <v>913</v>
      </c>
      <c r="B280" s="3" t="s">
        <v>279</v>
      </c>
      <c r="C280" s="3" t="s">
        <v>1346</v>
      </c>
      <c r="D280" s="3"/>
      <c r="E280" s="4"/>
      <c r="F280" s="4">
        <v>5111149.788621</v>
      </c>
      <c r="G280" s="4">
        <f>F280*RPI_inc</f>
        <v>5208815.071206114</v>
      </c>
      <c r="H280" s="4"/>
      <c r="I280" s="4"/>
      <c r="J280" s="4">
        <v>120786.222786</v>
      </c>
      <c r="K280" s="4">
        <f>J280*RPI_inc</f>
        <v>123094.23978191083</v>
      </c>
      <c r="L280" s="3"/>
      <c r="M280" s="4"/>
      <c r="N280" s="4"/>
      <c r="O280" s="4"/>
      <c r="P280" s="4"/>
      <c r="Q280" s="4"/>
      <c r="R280" s="4"/>
      <c r="S280" s="4"/>
      <c r="T280" s="4">
        <v>45953.41974</v>
      </c>
      <c r="U280" s="4">
        <f>T280*RPI_inc</f>
        <v>46831.51056305732</v>
      </c>
      <c r="V280" s="3"/>
      <c r="W280" s="4"/>
      <c r="X280" s="3"/>
      <c r="Y280" s="4"/>
      <c r="Z280" s="13">
        <f>D280+F280+H280+J280+L280+N280+P280+R280+T280+V280+X280</f>
        <v>5277889.431147</v>
      </c>
      <c r="AC280" s="13">
        <f>E280+G280+I280+K280+M280+O280+Q280+S280+U280+W280+Y280</f>
        <v>5378740.821551082</v>
      </c>
      <c r="AF280" s="51"/>
      <c r="AG280" s="3"/>
      <c r="AH280" s="4"/>
      <c r="AI280" s="3"/>
      <c r="AJ280" s="4"/>
      <c r="AK280" s="4"/>
      <c r="AL280" s="4">
        <v>5646689.991641</v>
      </c>
      <c r="AM280" s="4">
        <f>AL280/$AL$680*$AM$680</f>
        <v>3780694.75786281</v>
      </c>
      <c r="AN280" s="4"/>
      <c r="AO280" s="4"/>
      <c r="AP280" s="4"/>
      <c r="AQ280" s="4"/>
      <c r="AR280" s="4">
        <v>174455.850594</v>
      </c>
      <c r="AS280" s="4">
        <f>AR280/$AR$680*$AS$680</f>
        <v>171023.20899510922</v>
      </c>
      <c r="AT280" s="3"/>
      <c r="AU280" s="4"/>
      <c r="AV280" s="4"/>
      <c r="AW280" s="4"/>
      <c r="AX280" s="4">
        <v>65188.590814</v>
      </c>
      <c r="AY280" s="4">
        <f>AX280/$AX$680*$AY$680</f>
        <v>63882.63305772607</v>
      </c>
      <c r="AZ280" s="3"/>
      <c r="BA280" s="4"/>
      <c r="BB280" s="3"/>
      <c r="BC280" s="4"/>
      <c r="BD280" s="4">
        <v>5128.573217</v>
      </c>
      <c r="BE280" s="4">
        <f>BD280/BD$680*BE$680</f>
        <v>7287.9732601550495</v>
      </c>
      <c r="BF280" s="4">
        <v>1079.698862490564</v>
      </c>
      <c r="BG280" s="4">
        <f>BE280+BF280</f>
        <v>8367.672122645614</v>
      </c>
      <c r="BH280" s="4">
        <v>126814.590545</v>
      </c>
      <c r="BI280" s="4"/>
      <c r="BJ280" s="4">
        <v>11543586.374697</v>
      </c>
      <c r="BK280" s="4">
        <f>BJ280/BJ279*BI279</f>
        <v>126830.82244986981</v>
      </c>
      <c r="BL280" s="4">
        <f>BH280+BK280</f>
        <v>253645.4129948698</v>
      </c>
      <c r="BM280" s="4"/>
      <c r="BN280" s="4"/>
      <c r="BO280" s="4">
        <v>15462.047576</v>
      </c>
      <c r="BP280" s="4"/>
      <c r="BQ280" s="4">
        <f t="shared" si="15"/>
        <v>6161650.165699359</v>
      </c>
      <c r="BT280" s="4">
        <f t="shared" si="16"/>
        <v>4277613.685033161</v>
      </c>
      <c r="BW280" s="52"/>
      <c r="BX280" s="4">
        <f t="shared" si="13"/>
        <v>11439539.596846359</v>
      </c>
      <c r="BY280" s="4">
        <f t="shared" si="14"/>
        <v>9656354.506584242</v>
      </c>
    </row>
    <row r="281" spans="1:77" ht="12.75">
      <c r="A281" s="5" t="s">
        <v>914</v>
      </c>
      <c r="B281" s="5" t="s">
        <v>280</v>
      </c>
      <c r="C281" s="5" t="s">
        <v>1346</v>
      </c>
      <c r="D281" s="6">
        <v>20652670.728881</v>
      </c>
      <c r="E281" s="6">
        <f>D281*RPI_inc</f>
        <v>21047307.74917809</v>
      </c>
      <c r="F281" s="6"/>
      <c r="G281" s="6"/>
      <c r="H281" s="6"/>
      <c r="I281" s="6"/>
      <c r="J281" s="6">
        <v>554159.669743</v>
      </c>
      <c r="K281" s="6">
        <f>J281*RPI_inc</f>
        <v>564748.7080183439</v>
      </c>
      <c r="L281" s="6">
        <v>2242548.159642</v>
      </c>
      <c r="M281" s="6">
        <f>L281*RPI_inc</f>
        <v>2285399.398361274</v>
      </c>
      <c r="N281" s="6"/>
      <c r="O281" s="6"/>
      <c r="P281" s="6"/>
      <c r="Q281" s="6"/>
      <c r="R281" s="6"/>
      <c r="S281" s="6"/>
      <c r="T281" s="6"/>
      <c r="U281" s="6"/>
      <c r="V281" s="6">
        <v>53516.612194</v>
      </c>
      <c r="W281" s="6">
        <f>V281*RPI_inc</f>
        <v>54539.222618089174</v>
      </c>
      <c r="X281" s="6">
        <v>761380.108584</v>
      </c>
      <c r="Y281" s="6">
        <f>X281*RPI_inc</f>
        <v>775928.7730792357</v>
      </c>
      <c r="Z281" s="14">
        <f>D281+F281+H281+J281+L281+N281+P281+R281+T281+V281+X281</f>
        <v>24264275.279044006</v>
      </c>
      <c r="AC281" s="14">
        <f>E281+G281+I281+K281+M281+O281+Q281+S281+U281+W281+Y281</f>
        <v>24727923.85125503</v>
      </c>
      <c r="AF281" s="51"/>
      <c r="AG281" s="6">
        <v>540244</v>
      </c>
      <c r="AH281" s="6">
        <f>AG281/$AG$680*$AH$680</f>
        <v>406766.18200135685</v>
      </c>
      <c r="AI281" s="6">
        <v>24677083.465919</v>
      </c>
      <c r="AJ281" s="6">
        <f>AI281/$AI$680*$AJ$680</f>
        <v>16914922.628492955</v>
      </c>
      <c r="AK281" s="6">
        <f>AJ281-AH281</f>
        <v>16508156.4464916</v>
      </c>
      <c r="AL281" s="6"/>
      <c r="AM281" s="6"/>
      <c r="AN281" s="6"/>
      <c r="AO281" s="6"/>
      <c r="AP281" s="6"/>
      <c r="AQ281" s="6"/>
      <c r="AR281" s="6">
        <v>800392.580545</v>
      </c>
      <c r="AS281" s="6">
        <f>AR281/$AR$680*$AS$680</f>
        <v>784643.8346126194</v>
      </c>
      <c r="AT281" s="6">
        <v>2836639.126291</v>
      </c>
      <c r="AU281" s="6">
        <f>AT281/$AT$680*$AU$680</f>
        <v>2341088.36081041</v>
      </c>
      <c r="AV281" s="6"/>
      <c r="AW281" s="6"/>
      <c r="AX281" s="6"/>
      <c r="AY281" s="6"/>
      <c r="AZ281" s="6">
        <v>75917.582657</v>
      </c>
      <c r="BA281" s="6">
        <f>AZ281/$AZ$680*$BA$680</f>
        <v>74396.68397127633</v>
      </c>
      <c r="BB281" s="6">
        <v>1125833.675292</v>
      </c>
      <c r="BC281" s="6">
        <f>BB281/$BB$680*$BC$680</f>
        <v>1104195.9025766875</v>
      </c>
      <c r="BD281" s="6">
        <v>18975.720901</v>
      </c>
      <c r="BE281" s="6">
        <f>BD281/BD$680*BE$680</f>
        <v>26965.50105987368</v>
      </c>
      <c r="BF281" s="6">
        <v>3994.8857908150862</v>
      </c>
      <c r="BG281" s="6">
        <f>BE281+BF281</f>
        <v>30960.386850688767</v>
      </c>
      <c r="BH281" s="6">
        <v>545075.409455</v>
      </c>
      <c r="BI281" s="6"/>
      <c r="BJ281" s="6">
        <v>49616728.1915</v>
      </c>
      <c r="BK281" s="6">
        <f>BJ281/BJ279*BI279</f>
        <v>545145.1775501411</v>
      </c>
      <c r="BL281" s="6">
        <f>BH281+BK281</f>
        <v>1090220.5870051412</v>
      </c>
      <c r="BM281" s="6"/>
      <c r="BN281" s="6"/>
      <c r="BO281" s="6">
        <v>71084.357421</v>
      </c>
      <c r="BP281" s="6">
        <v>-123037</v>
      </c>
      <c r="BQ281" s="6">
        <f t="shared" si="15"/>
        <v>31240385.981821954</v>
      </c>
      <c r="BT281" s="6">
        <f t="shared" si="16"/>
        <v>22217391.38431978</v>
      </c>
      <c r="BW281" s="52"/>
      <c r="BX281" s="6">
        <f t="shared" si="13"/>
        <v>55504661.26086596</v>
      </c>
      <c r="BY281" s="6">
        <f t="shared" si="14"/>
        <v>46945315.23557481</v>
      </c>
    </row>
    <row r="282" spans="1:77" ht="12.75">
      <c r="A282" t="s">
        <v>915</v>
      </c>
      <c r="B282" t="s">
        <v>281</v>
      </c>
      <c r="K282"/>
      <c r="L282"/>
      <c r="V282"/>
      <c r="X282"/>
      <c r="Z282" s="12">
        <f>Z283+Z284</f>
        <v>23649955.727083</v>
      </c>
      <c r="AC282" s="12">
        <f>AC283+AC284</f>
        <v>24101865.709129173</v>
      </c>
      <c r="AF282" s="51"/>
      <c r="AG282"/>
      <c r="AI282"/>
      <c r="AT282"/>
      <c r="AZ282"/>
      <c r="BB282"/>
      <c r="BI282"/>
      <c r="BJ282" s="1">
        <v>40728213.990371</v>
      </c>
      <c r="BQ282" s="1">
        <f>BQ283+BQ284</f>
        <v>29143692.694416</v>
      </c>
      <c r="BT282" s="1">
        <f>BT283+BT284</f>
        <v>20979841.0643413</v>
      </c>
      <c r="BW282" s="52"/>
      <c r="BX282" s="1">
        <f t="shared" si="13"/>
        <v>52793648.421499</v>
      </c>
      <c r="BY282" s="1">
        <f t="shared" si="14"/>
        <v>45081706.773470476</v>
      </c>
    </row>
    <row r="283" spans="1:77" ht="12.75">
      <c r="A283" s="3" t="s">
        <v>916</v>
      </c>
      <c r="B283" s="3" t="s">
        <v>282</v>
      </c>
      <c r="C283" s="3" t="s">
        <v>1346</v>
      </c>
      <c r="D283" s="3"/>
      <c r="E283" s="4"/>
      <c r="F283" s="4">
        <v>4717810.284923</v>
      </c>
      <c r="G283" s="4">
        <f>F283*RPI_inc</f>
        <v>4807959.526036179</v>
      </c>
      <c r="H283" s="4"/>
      <c r="I283" s="4"/>
      <c r="J283" s="4">
        <v>185303.937951</v>
      </c>
      <c r="K283" s="4">
        <f>J283*RPI_inc</f>
        <v>188844.77752968154</v>
      </c>
      <c r="L283" s="3"/>
      <c r="M283" s="4"/>
      <c r="N283" s="4"/>
      <c r="O283" s="4"/>
      <c r="P283" s="4"/>
      <c r="Q283" s="4"/>
      <c r="R283" s="4"/>
      <c r="S283" s="4"/>
      <c r="T283" s="4">
        <v>164969.640811</v>
      </c>
      <c r="U283" s="4">
        <f>T283*RPI_inc</f>
        <v>168121.9269411465</v>
      </c>
      <c r="V283" s="3"/>
      <c r="W283" s="4"/>
      <c r="X283" s="3"/>
      <c r="Y283" s="4"/>
      <c r="Z283" s="13">
        <f>D283+F283+H283+J283+L283+N283+P283+R283+T283+V283+X283</f>
        <v>5068083.863685001</v>
      </c>
      <c r="AC283" s="13">
        <f>E283+G283+I283+K283+M283+O283+Q283+S283+U283+W283+Y283</f>
        <v>5164926.230507006</v>
      </c>
      <c r="AF283" s="51"/>
      <c r="AG283" s="3"/>
      <c r="AH283" s="4"/>
      <c r="AI283" s="3"/>
      <c r="AJ283" s="4"/>
      <c r="AK283" s="4"/>
      <c r="AL283" s="4">
        <v>5212136.842016</v>
      </c>
      <c r="AM283" s="4">
        <f>AL283/$AL$680*$AM$680</f>
        <v>3489743.277042706</v>
      </c>
      <c r="AN283" s="4"/>
      <c r="AO283" s="4"/>
      <c r="AP283" s="4"/>
      <c r="AQ283" s="4"/>
      <c r="AR283" s="4">
        <v>267641.088264</v>
      </c>
      <c r="AS283" s="4">
        <f>AR283/$AR$680*$AS$680</f>
        <v>262374.9081386601</v>
      </c>
      <c r="AT283" s="3"/>
      <c r="AU283" s="4"/>
      <c r="AV283" s="4"/>
      <c r="AW283" s="4"/>
      <c r="AX283" s="4">
        <v>234022.592276</v>
      </c>
      <c r="AY283" s="4">
        <f>AX283/$AX$680*$AY$680</f>
        <v>229334.29305507964</v>
      </c>
      <c r="AZ283" s="3"/>
      <c r="BA283" s="4"/>
      <c r="BB283" s="3"/>
      <c r="BC283" s="4"/>
      <c r="BD283" s="4"/>
      <c r="BE283" s="4"/>
      <c r="BF283" s="4"/>
      <c r="BG283" s="4"/>
      <c r="BH283" s="4"/>
      <c r="BI283" s="4"/>
      <c r="BJ283" s="4">
        <v>9674253.546923</v>
      </c>
      <c r="BK283" s="4"/>
      <c r="BL283" s="4"/>
      <c r="BM283" s="4"/>
      <c r="BN283" s="4"/>
      <c r="BO283" s="4">
        <v>14847.403463</v>
      </c>
      <c r="BP283" s="4"/>
      <c r="BQ283" s="4">
        <f t="shared" si="15"/>
        <v>5728647.926019001</v>
      </c>
      <c r="BT283" s="4">
        <f t="shared" si="16"/>
        <v>3981452.478236446</v>
      </c>
      <c r="BW283" s="52"/>
      <c r="BX283" s="4">
        <f t="shared" si="13"/>
        <v>10796731.789704002</v>
      </c>
      <c r="BY283" s="4">
        <f t="shared" si="14"/>
        <v>9146378.708743453</v>
      </c>
    </row>
    <row r="284" spans="1:77" ht="12.75">
      <c r="A284" s="5" t="s">
        <v>917</v>
      </c>
      <c r="B284" s="5" t="s">
        <v>283</v>
      </c>
      <c r="C284" s="5" t="s">
        <v>1346</v>
      </c>
      <c r="D284" s="6">
        <v>14247851.956698</v>
      </c>
      <c r="E284" s="6">
        <f>D284*RPI_inc</f>
        <v>14520103.90491516</v>
      </c>
      <c r="F284" s="6"/>
      <c r="G284" s="6"/>
      <c r="H284" s="6"/>
      <c r="I284" s="6"/>
      <c r="J284" s="6">
        <v>559327.588873</v>
      </c>
      <c r="K284" s="6">
        <f>J284*RPI_inc</f>
        <v>570015.377195414</v>
      </c>
      <c r="L284" s="6">
        <v>1994069.187836</v>
      </c>
      <c r="M284" s="6">
        <f>L284*RPI_inc</f>
        <v>2032172.420724586</v>
      </c>
      <c r="N284" s="6"/>
      <c r="O284" s="6"/>
      <c r="P284" s="6"/>
      <c r="Q284" s="6"/>
      <c r="R284" s="6"/>
      <c r="S284" s="6"/>
      <c r="T284" s="6"/>
      <c r="U284" s="6"/>
      <c r="V284" s="6">
        <v>48873.618442</v>
      </c>
      <c r="W284" s="6">
        <f>V284*RPI_inc</f>
        <v>49807.509240254774</v>
      </c>
      <c r="X284" s="6">
        <v>1731749.511549</v>
      </c>
      <c r="Y284" s="6">
        <f>X284*RPI_inc</f>
        <v>1764840.2665467516</v>
      </c>
      <c r="Z284" s="14">
        <f>D284+F284+H284+J284+L284+N284+P284+R284+T284+V284+X284</f>
        <v>18581871.863398</v>
      </c>
      <c r="AC284" s="14">
        <f>E284+G284+I284+K284+M284+O284+Q284+S284+U284+W284+Y284</f>
        <v>18936939.47862217</v>
      </c>
      <c r="AF284" s="51"/>
      <c r="AG284" s="6">
        <v>376180</v>
      </c>
      <c r="AH284" s="6">
        <f>AG284/$AG$680*$AH$680</f>
        <v>283237.3933727546</v>
      </c>
      <c r="AI284" s="6">
        <v>17024211.374939</v>
      </c>
      <c r="AJ284" s="6">
        <f>AI284/$AI$680*$AJ$680</f>
        <v>11669256.564127715</v>
      </c>
      <c r="AK284" s="6">
        <f>AJ284-AH284</f>
        <v>11386019.17075496</v>
      </c>
      <c r="AL284" s="6"/>
      <c r="AM284" s="6"/>
      <c r="AN284" s="6"/>
      <c r="AO284" s="6"/>
      <c r="AP284" s="6"/>
      <c r="AQ284" s="6"/>
      <c r="AR284" s="6">
        <v>807856.79051</v>
      </c>
      <c r="AS284" s="6">
        <f>AR284/$AR$680*$AS$680</f>
        <v>791961.1767165445</v>
      </c>
      <c r="AT284" s="6">
        <v>2522333.647295</v>
      </c>
      <c r="AU284" s="6">
        <f>AT284/$AT$680*$AU$680</f>
        <v>2081690.9310151788</v>
      </c>
      <c r="AV284" s="6"/>
      <c r="AW284" s="6"/>
      <c r="AX284" s="6"/>
      <c r="AY284" s="6"/>
      <c r="AZ284" s="6">
        <v>69331.125714</v>
      </c>
      <c r="BA284" s="6">
        <f>AZ284/$AZ$680*$BA$680</f>
        <v>67942.17714256595</v>
      </c>
      <c r="BB284" s="6">
        <v>2560694.579871</v>
      </c>
      <c r="BC284" s="6">
        <f>BB284/$BB$680*$BC$680</f>
        <v>2511479.7371028527</v>
      </c>
      <c r="BD284" s="6"/>
      <c r="BE284" s="6"/>
      <c r="BF284" s="6"/>
      <c r="BG284" s="6"/>
      <c r="BH284" s="6"/>
      <c r="BI284" s="6"/>
      <c r="BJ284" s="6">
        <v>31053960.443447</v>
      </c>
      <c r="BK284" s="6"/>
      <c r="BL284" s="6"/>
      <c r="BM284" s="6"/>
      <c r="BN284" s="6"/>
      <c r="BO284" s="6">
        <v>54437.250068</v>
      </c>
      <c r="BP284" s="6">
        <v>-123942</v>
      </c>
      <c r="BQ284" s="6">
        <f t="shared" si="15"/>
        <v>23415044.768397</v>
      </c>
      <c r="BT284" s="6">
        <f t="shared" si="16"/>
        <v>16998388.586104855</v>
      </c>
      <c r="BW284" s="52"/>
      <c r="BX284" s="6">
        <f t="shared" si="13"/>
        <v>41996916.631795004</v>
      </c>
      <c r="BY284" s="6">
        <f t="shared" si="14"/>
        <v>35935328.06472702</v>
      </c>
    </row>
    <row r="285" spans="1:77" ht="12.75">
      <c r="A285" t="s">
        <v>918</v>
      </c>
      <c r="B285" t="s">
        <v>284</v>
      </c>
      <c r="K285"/>
      <c r="L285"/>
      <c r="V285"/>
      <c r="X285"/>
      <c r="Z285" s="12">
        <f>Z286+Z287</f>
        <v>43403373.311505</v>
      </c>
      <c r="AC285" s="12">
        <f>AC286+AC287</f>
        <v>44232737.13274395</v>
      </c>
      <c r="AF285" s="51"/>
      <c r="AG285"/>
      <c r="AI285"/>
      <c r="AT285"/>
      <c r="AZ285"/>
      <c r="BB285"/>
      <c r="BI285"/>
      <c r="BJ285" s="1">
        <v>90695802.901675</v>
      </c>
      <c r="BQ285" s="1">
        <f>BQ286+BQ287</f>
        <v>52749276.504961</v>
      </c>
      <c r="BT285" s="1">
        <f>BT286+BT287</f>
        <v>37009155.939602</v>
      </c>
      <c r="BW285" s="52"/>
      <c r="BX285" s="1">
        <f t="shared" si="13"/>
        <v>96152649.816466</v>
      </c>
      <c r="BY285" s="1">
        <f t="shared" si="14"/>
        <v>81241893.07234594</v>
      </c>
    </row>
    <row r="286" spans="1:77" ht="12.75">
      <c r="A286" s="3" t="s">
        <v>919</v>
      </c>
      <c r="B286" s="3" t="s">
        <v>285</v>
      </c>
      <c r="C286" s="3" t="s">
        <v>1346</v>
      </c>
      <c r="D286" s="3"/>
      <c r="E286" s="4"/>
      <c r="F286" s="4">
        <v>7613075.223576</v>
      </c>
      <c r="G286" s="4">
        <f>F286*RPI_inc</f>
        <v>7758547.99854879</v>
      </c>
      <c r="H286" s="4"/>
      <c r="I286" s="4"/>
      <c r="J286" s="4">
        <v>123920.206657</v>
      </c>
      <c r="K286" s="4">
        <f>J286*RPI_inc</f>
        <v>126288.10869503184</v>
      </c>
      <c r="L286" s="3"/>
      <c r="M286" s="4"/>
      <c r="N286" s="4"/>
      <c r="O286" s="4"/>
      <c r="P286" s="4"/>
      <c r="Q286" s="4"/>
      <c r="R286" s="4"/>
      <c r="S286" s="4"/>
      <c r="T286" s="4">
        <v>68632.407818</v>
      </c>
      <c r="U286" s="4">
        <f>T286*RPI_inc</f>
        <v>69943.8551011465</v>
      </c>
      <c r="V286" s="3"/>
      <c r="W286" s="4"/>
      <c r="X286" s="3"/>
      <c r="Y286" s="4"/>
      <c r="Z286" s="13">
        <f>D286+F286+H286+J286+L286+N286+P286+R286+T286+V286+X286</f>
        <v>7805627.838051</v>
      </c>
      <c r="AC286" s="13">
        <f>E286+G286+I286+K286+M286+O286+Q286+S286+U286+W286+Y286</f>
        <v>7954779.962344969</v>
      </c>
      <c r="AF286" s="51"/>
      <c r="AG286" s="3"/>
      <c r="AH286" s="4"/>
      <c r="AI286" s="3"/>
      <c r="AJ286" s="4"/>
      <c r="AK286" s="4"/>
      <c r="AL286" s="4">
        <v>8410764.201488</v>
      </c>
      <c r="AM286" s="4">
        <f>AL286/$AL$680*$AM$680</f>
        <v>5631357.87040875</v>
      </c>
      <c r="AN286" s="4"/>
      <c r="AO286" s="4"/>
      <c r="AP286" s="4"/>
      <c r="AQ286" s="4"/>
      <c r="AR286" s="4">
        <v>178982.375304</v>
      </c>
      <c r="AS286" s="4">
        <f>AR286/$AR$680*$AS$680</f>
        <v>175460.6685521491</v>
      </c>
      <c r="AT286" s="3"/>
      <c r="AU286" s="4"/>
      <c r="AV286" s="4"/>
      <c r="AW286" s="4"/>
      <c r="AX286" s="4">
        <v>97360.544115</v>
      </c>
      <c r="AY286" s="4">
        <f>AX286/$AX$680*$AY$680</f>
        <v>95410.06848491893</v>
      </c>
      <c r="AZ286" s="3"/>
      <c r="BA286" s="4"/>
      <c r="BB286" s="3"/>
      <c r="BC286" s="4"/>
      <c r="BD286" s="4"/>
      <c r="BE286" s="4"/>
      <c r="BF286" s="4"/>
      <c r="BG286" s="4"/>
      <c r="BH286" s="4"/>
      <c r="BI286" s="4"/>
      <c r="BJ286" s="4">
        <v>17398702.934837</v>
      </c>
      <c r="BK286" s="4"/>
      <c r="BL286" s="4"/>
      <c r="BM286" s="4"/>
      <c r="BN286" s="4"/>
      <c r="BO286" s="4">
        <v>22867.282569</v>
      </c>
      <c r="BP286" s="4"/>
      <c r="BQ286" s="4">
        <f t="shared" si="15"/>
        <v>8709974.403476</v>
      </c>
      <c r="BT286" s="4">
        <f t="shared" si="16"/>
        <v>5902228.607445818</v>
      </c>
      <c r="BW286" s="52"/>
      <c r="BX286" s="4">
        <f t="shared" si="13"/>
        <v>16515602.241526999</v>
      </c>
      <c r="BY286" s="4">
        <f t="shared" si="14"/>
        <v>13857008.569790788</v>
      </c>
    </row>
    <row r="287" spans="1:77" ht="12.75">
      <c r="A287" s="5" t="s">
        <v>920</v>
      </c>
      <c r="B287" s="5" t="s">
        <v>286</v>
      </c>
      <c r="C287" s="5" t="s">
        <v>1346</v>
      </c>
      <c r="D287" s="6">
        <v>30048540.687833</v>
      </c>
      <c r="E287" s="6">
        <f>D287*RPI_inc</f>
        <v>30622716.624543186</v>
      </c>
      <c r="F287" s="6"/>
      <c r="G287" s="6"/>
      <c r="H287" s="6"/>
      <c r="I287" s="6"/>
      <c r="J287" s="6">
        <v>516995.79991</v>
      </c>
      <c r="K287" s="6">
        <f>J287*RPI_inc</f>
        <v>526874.700545223</v>
      </c>
      <c r="L287" s="6">
        <v>3569312.841933</v>
      </c>
      <c r="M287" s="6">
        <f>L287*RPI_inc</f>
        <v>3637516.2720336304</v>
      </c>
      <c r="N287" s="6"/>
      <c r="O287" s="6"/>
      <c r="P287" s="6"/>
      <c r="Q287" s="6"/>
      <c r="R287" s="6"/>
      <c r="S287" s="6"/>
      <c r="T287" s="6"/>
      <c r="U287" s="6"/>
      <c r="V287" s="6">
        <v>50706.379134</v>
      </c>
      <c r="W287" s="6">
        <f>V287*RPI_inc</f>
        <v>51675.290837197455</v>
      </c>
      <c r="X287" s="6">
        <v>1412189.764644</v>
      </c>
      <c r="Y287" s="6">
        <f>X287*RPI_inc</f>
        <v>1439174.2824397453</v>
      </c>
      <c r="Z287" s="14">
        <f>D287+F287+H287+J287+L287+N287+P287+R287+T287+V287+X287</f>
        <v>35597745.473454</v>
      </c>
      <c r="AC287" s="14">
        <f>E287+G287+I287+K287+M287+O287+Q287+S287+U287+W287+Y287</f>
        <v>36277957.17039898</v>
      </c>
      <c r="AF287" s="51"/>
      <c r="AG287" s="6">
        <v>609464</v>
      </c>
      <c r="AH287" s="6">
        <f>AG287/$AG$680*$AH$680</f>
        <v>458884.0308217675</v>
      </c>
      <c r="AI287" s="6">
        <v>35903847.803362</v>
      </c>
      <c r="AJ287" s="6">
        <f>AI287/$AI$680*$AJ$680</f>
        <v>24610315.416641477</v>
      </c>
      <c r="AK287" s="6">
        <f>AJ287-AH287</f>
        <v>24151431.38581971</v>
      </c>
      <c r="AL287" s="6"/>
      <c r="AM287" s="6"/>
      <c r="AN287" s="6"/>
      <c r="AO287" s="6"/>
      <c r="AP287" s="6"/>
      <c r="AQ287" s="6"/>
      <c r="AR287" s="6">
        <v>746715.477532</v>
      </c>
      <c r="AS287" s="6">
        <f>AR287/$AR$680*$AS$680</f>
        <v>732022.8971342403</v>
      </c>
      <c r="AT287" s="6">
        <v>4514887.414063</v>
      </c>
      <c r="AU287" s="6">
        <f>AT287/$AT$680*$AU$680</f>
        <v>3726152.6422124063</v>
      </c>
      <c r="AV287" s="6"/>
      <c r="AW287" s="6"/>
      <c r="AX287" s="6"/>
      <c r="AY287" s="6"/>
      <c r="AZ287" s="6">
        <v>71931.042929</v>
      </c>
      <c r="BA287" s="6">
        <f>AZ287/$AZ$680*$BA$680</f>
        <v>70490.00878612266</v>
      </c>
      <c r="BB287" s="6">
        <v>2088169.594943</v>
      </c>
      <c r="BC287" s="6">
        <f>BB287/$BB$680*$BC$680</f>
        <v>2048036.3673819366</v>
      </c>
      <c r="BD287" s="6"/>
      <c r="BE287" s="6"/>
      <c r="BF287" s="6"/>
      <c r="BG287" s="6"/>
      <c r="BH287" s="6"/>
      <c r="BI287" s="6"/>
      <c r="BJ287" s="6">
        <v>73297099.966838</v>
      </c>
      <c r="BK287" s="6"/>
      <c r="BL287" s="6"/>
      <c r="BM287" s="6"/>
      <c r="BN287" s="6"/>
      <c r="BO287" s="6">
        <v>104286.768656</v>
      </c>
      <c r="BP287" s="6">
        <v>-80090</v>
      </c>
      <c r="BQ287" s="6">
        <f t="shared" si="15"/>
        <v>44039302.101485</v>
      </c>
      <c r="BT287" s="6">
        <f t="shared" si="16"/>
        <v>31106927.332156185</v>
      </c>
      <c r="BW287" s="52"/>
      <c r="BX287" s="6">
        <f t="shared" si="13"/>
        <v>79637047.574939</v>
      </c>
      <c r="BY287" s="6">
        <f t="shared" si="14"/>
        <v>67384884.50255516</v>
      </c>
    </row>
    <row r="288" spans="1:77" ht="12.75">
      <c r="A288" t="s">
        <v>921</v>
      </c>
      <c r="B288" t="s">
        <v>287</v>
      </c>
      <c r="K288"/>
      <c r="L288"/>
      <c r="V288"/>
      <c r="X288"/>
      <c r="Z288" s="12">
        <f>Z289+Z290</f>
        <v>41386976.694306</v>
      </c>
      <c r="AC288" s="12">
        <f>AC289+AC290</f>
        <v>42177810.64387873</v>
      </c>
      <c r="AF288" s="51"/>
      <c r="AG288"/>
      <c r="AI288"/>
      <c r="AT288"/>
      <c r="AZ288"/>
      <c r="BB288"/>
      <c r="BI288">
        <v>973814</v>
      </c>
      <c r="BJ288" s="1">
        <v>85865993.29584</v>
      </c>
      <c r="BQ288" s="1">
        <f>BQ289+BQ290</f>
        <v>51775577.46043601</v>
      </c>
      <c r="BT288" s="1">
        <f>BT289+BT290</f>
        <v>36632213.366812244</v>
      </c>
      <c r="BW288" s="52"/>
      <c r="BX288" s="1">
        <f t="shared" si="13"/>
        <v>93162554.154742</v>
      </c>
      <c r="BY288" s="1">
        <f t="shared" si="14"/>
        <v>78810024.01069097</v>
      </c>
    </row>
    <row r="289" spans="1:77" ht="12.75">
      <c r="A289" s="3" t="s">
        <v>922</v>
      </c>
      <c r="B289" s="3" t="s">
        <v>288</v>
      </c>
      <c r="C289" s="3" t="s">
        <v>1346</v>
      </c>
      <c r="D289" s="3"/>
      <c r="E289" s="4"/>
      <c r="F289" s="4">
        <v>6736746.255906</v>
      </c>
      <c r="G289" s="4">
        <f>F289*RPI_inc</f>
        <v>6865473.891369171</v>
      </c>
      <c r="H289" s="4"/>
      <c r="I289" s="4"/>
      <c r="J289" s="4">
        <v>170842.770134</v>
      </c>
      <c r="K289" s="4">
        <f>J289*RPI_inc</f>
        <v>174107.28166522292</v>
      </c>
      <c r="L289" s="3"/>
      <c r="M289" s="4"/>
      <c r="N289" s="4"/>
      <c r="O289" s="4"/>
      <c r="P289" s="4"/>
      <c r="Q289" s="4"/>
      <c r="R289" s="4"/>
      <c r="S289" s="4"/>
      <c r="T289" s="4">
        <v>142339.119071</v>
      </c>
      <c r="U289" s="4">
        <f>T289*RPI_inc</f>
        <v>145058.97484942674</v>
      </c>
      <c r="V289" s="3"/>
      <c r="W289" s="4"/>
      <c r="X289" s="3"/>
      <c r="Y289" s="4"/>
      <c r="Z289" s="13">
        <f>D289+F289+H289+J289+L289+N289+P289+R289+T289+V289+X289</f>
        <v>7049928.145111</v>
      </c>
      <c r="AC289" s="13">
        <f>E289+G289+I289+K289+M289+O289+Q289+S289+U289+W289+Y289</f>
        <v>7184640.147883821</v>
      </c>
      <c r="AF289" s="51"/>
      <c r="AG289" s="3"/>
      <c r="AH289" s="4"/>
      <c r="AI289" s="3"/>
      <c r="AJ289" s="4"/>
      <c r="AK289" s="4"/>
      <c r="AL289" s="4">
        <v>7442614.525628</v>
      </c>
      <c r="AM289" s="4">
        <f>AL289/$AL$680*$AM$680</f>
        <v>4983141.232029643</v>
      </c>
      <c r="AN289" s="4"/>
      <c r="AO289" s="4"/>
      <c r="AP289" s="4"/>
      <c r="AQ289" s="4"/>
      <c r="AR289" s="4">
        <v>246754.307687</v>
      </c>
      <c r="AS289" s="4">
        <f>AR289/$AR$680*$AS$680</f>
        <v>241899.1016369427</v>
      </c>
      <c r="AT289" s="3"/>
      <c r="AU289" s="4"/>
      <c r="AV289" s="4"/>
      <c r="AW289" s="4"/>
      <c r="AX289" s="4">
        <v>201919.392342</v>
      </c>
      <c r="AY289" s="4">
        <f>AX289/$AX$680*$AY$680</f>
        <v>197874.23362207072</v>
      </c>
      <c r="AZ289" s="3"/>
      <c r="BA289" s="4"/>
      <c r="BB289" s="3"/>
      <c r="BC289" s="4"/>
      <c r="BD289" s="4"/>
      <c r="BE289" s="4"/>
      <c r="BF289" s="4"/>
      <c r="BG289" s="4"/>
      <c r="BH289" s="4"/>
      <c r="BI289" s="4"/>
      <c r="BJ289" s="4">
        <v>15293179.188535</v>
      </c>
      <c r="BK289" s="4">
        <f>BJ289/BJ288*BI288</f>
        <v>173441.329060192</v>
      </c>
      <c r="BL289" s="4">
        <f>BH289+BK289</f>
        <v>173441.329060192</v>
      </c>
      <c r="BM289" s="4"/>
      <c r="BN289" s="4"/>
      <c r="BO289" s="4">
        <v>20653.392953</v>
      </c>
      <c r="BP289" s="4"/>
      <c r="BQ289" s="4">
        <f t="shared" si="15"/>
        <v>8085382.947670192</v>
      </c>
      <c r="BT289" s="4">
        <f t="shared" si="16"/>
        <v>5596355.896348848</v>
      </c>
      <c r="BW289" s="52"/>
      <c r="BX289" s="4">
        <f t="shared" si="13"/>
        <v>15135311.092781194</v>
      </c>
      <c r="BY289" s="4">
        <f t="shared" si="14"/>
        <v>12780996.04423267</v>
      </c>
    </row>
    <row r="290" spans="1:77" ht="12.75">
      <c r="A290" s="5" t="s">
        <v>923</v>
      </c>
      <c r="B290" s="5" t="s">
        <v>289</v>
      </c>
      <c r="C290" s="5" t="s">
        <v>1346</v>
      </c>
      <c r="D290" s="6">
        <v>28633965.352162</v>
      </c>
      <c r="E290" s="6">
        <f>D290*RPI_inc</f>
        <v>29181111.186916687</v>
      </c>
      <c r="F290" s="6"/>
      <c r="G290" s="6"/>
      <c r="H290" s="6"/>
      <c r="I290" s="6"/>
      <c r="J290" s="6">
        <v>771062.23017</v>
      </c>
      <c r="K290" s="6">
        <f>J290*RPI_inc</f>
        <v>785795.9033579618</v>
      </c>
      <c r="L290" s="6">
        <v>3367096.257225</v>
      </c>
      <c r="M290" s="6">
        <f>L290*RPI_inc</f>
        <v>3431435.676152866</v>
      </c>
      <c r="N290" s="6"/>
      <c r="O290" s="6"/>
      <c r="P290" s="6"/>
      <c r="Q290" s="6"/>
      <c r="R290" s="6"/>
      <c r="S290" s="6"/>
      <c r="T290" s="6"/>
      <c r="U290" s="6"/>
      <c r="V290" s="6">
        <v>49077.258519</v>
      </c>
      <c r="W290" s="6">
        <f>V290*RPI_inc</f>
        <v>50015.0405289172</v>
      </c>
      <c r="X290" s="6">
        <v>1515847.451119</v>
      </c>
      <c r="Y290" s="6">
        <f>X290*RPI_inc</f>
        <v>1544812.6890384713</v>
      </c>
      <c r="Z290" s="14">
        <f>D290+F290+H290+J290+L290+N290+P290+R290+T290+V290+X290</f>
        <v>34337048.549195</v>
      </c>
      <c r="AC290" s="14">
        <f>E290+G290+I290+K290+M290+O290+Q290+S290+U290+W290+Y290</f>
        <v>34993170.4959949</v>
      </c>
      <c r="AF290" s="51"/>
      <c r="AG290" s="6">
        <v>891764</v>
      </c>
      <c r="AH290" s="6">
        <f>AG290/$AG$680*$AH$680</f>
        <v>671436.3093829048</v>
      </c>
      <c r="AI290" s="6">
        <v>34213626.035658</v>
      </c>
      <c r="AJ290" s="6">
        <f>AI290/$AI$680*$AJ$680</f>
        <v>23451751.82604567</v>
      </c>
      <c r="AK290" s="6">
        <f>AJ290-AH290</f>
        <v>22780315.516662765</v>
      </c>
      <c r="AL290" s="6"/>
      <c r="AM290" s="6"/>
      <c r="AN290" s="6"/>
      <c r="AO290" s="6"/>
      <c r="AP290" s="6"/>
      <c r="AQ290" s="6"/>
      <c r="AR290" s="6">
        <v>1113672.686526</v>
      </c>
      <c r="AS290" s="6">
        <f>AR290/$AR$680*$AS$680</f>
        <v>1091759.7545245723</v>
      </c>
      <c r="AT290" s="6">
        <v>4259100.05284</v>
      </c>
      <c r="AU290" s="6">
        <f>AT290/$AT$680*$AU$680</f>
        <v>3515050.4231632906</v>
      </c>
      <c r="AV290" s="6"/>
      <c r="AW290" s="6"/>
      <c r="AX290" s="6"/>
      <c r="AY290" s="6"/>
      <c r="AZ290" s="6">
        <v>69620.005405</v>
      </c>
      <c r="BA290" s="6">
        <f>AZ290/$AZ$680*$BA$680</f>
        <v>68225.26954784113</v>
      </c>
      <c r="BB290" s="6">
        <v>2241445.616763</v>
      </c>
      <c r="BC290" s="6">
        <f>BB290/$BB$680*$BC$680</f>
        <v>2198366.526242216</v>
      </c>
      <c r="BD290" s="6"/>
      <c r="BE290" s="6"/>
      <c r="BF290" s="6"/>
      <c r="BG290" s="6"/>
      <c r="BH290" s="6"/>
      <c r="BI290" s="6"/>
      <c r="BJ290" s="6">
        <v>70572814.107305</v>
      </c>
      <c r="BK290" s="6">
        <f>BJ290/BJ288*BI288</f>
        <v>800372.6709398081</v>
      </c>
      <c r="BL290" s="6">
        <f>BH290+BK290</f>
        <v>800372.6709398081</v>
      </c>
      <c r="BM290" s="6"/>
      <c r="BN290" s="6"/>
      <c r="BO290" s="6">
        <v>100593.444634</v>
      </c>
      <c r="BP290" s="6">
        <v>-89669</v>
      </c>
      <c r="BQ290" s="6">
        <f t="shared" si="15"/>
        <v>43690194.51276582</v>
      </c>
      <c r="BT290" s="6">
        <f t="shared" si="16"/>
        <v>31035857.4704634</v>
      </c>
      <c r="BW290" s="52"/>
      <c r="BX290" s="6">
        <f t="shared" si="13"/>
        <v>78027243.06196082</v>
      </c>
      <c r="BY290" s="6">
        <f t="shared" si="14"/>
        <v>66029027.966458306</v>
      </c>
    </row>
    <row r="291" spans="1:77" ht="12.75">
      <c r="A291" t="s">
        <v>924</v>
      </c>
      <c r="B291" t="s">
        <v>290</v>
      </c>
      <c r="K291"/>
      <c r="L291"/>
      <c r="V291"/>
      <c r="X291"/>
      <c r="Z291" s="12">
        <f>Z292+Z293</f>
        <v>51405968.802944005</v>
      </c>
      <c r="AC291" s="12">
        <f>AC292+AC293</f>
        <v>52388248.461598985</v>
      </c>
      <c r="AF291" s="52"/>
      <c r="AG291"/>
      <c r="AI291"/>
      <c r="AT291"/>
      <c r="AV291"/>
      <c r="AW291"/>
      <c r="AZ291"/>
      <c r="BB291"/>
      <c r="BI291"/>
      <c r="BJ291" s="1">
        <v>102129108.722591</v>
      </c>
      <c r="BQ291" s="1">
        <f>BQ292+BQ293</f>
        <v>63272743.208408006</v>
      </c>
      <c r="BT291" s="1">
        <f>BT292+BT293</f>
        <v>44515907.803491645</v>
      </c>
      <c r="BW291" s="52"/>
      <c r="BX291" s="1">
        <f t="shared" si="13"/>
        <v>114678712.011352</v>
      </c>
      <c r="BY291" s="1">
        <f t="shared" si="14"/>
        <v>96904156.26509063</v>
      </c>
    </row>
    <row r="292" spans="1:77" ht="12.75">
      <c r="A292" s="3" t="s">
        <v>925</v>
      </c>
      <c r="B292" s="3" t="s">
        <v>291</v>
      </c>
      <c r="C292" s="3" t="s">
        <v>1346</v>
      </c>
      <c r="D292" s="3"/>
      <c r="E292" s="4"/>
      <c r="F292" s="4">
        <v>7968414.089877</v>
      </c>
      <c r="G292" s="4">
        <f>F292*RPI_inc</f>
        <v>8120676.779492484</v>
      </c>
      <c r="H292" s="4"/>
      <c r="I292" s="4"/>
      <c r="J292" s="4">
        <v>143512.375491</v>
      </c>
      <c r="K292" s="4">
        <f>J292*RPI_inc</f>
        <v>146254.65018191084</v>
      </c>
      <c r="L292" s="3"/>
      <c r="M292" s="4"/>
      <c r="N292" s="4"/>
      <c r="O292" s="4"/>
      <c r="P292" s="4"/>
      <c r="Q292" s="4"/>
      <c r="R292" s="4"/>
      <c r="S292" s="4"/>
      <c r="T292" s="4">
        <v>94146.065766</v>
      </c>
      <c r="U292" s="4">
        <f>T292*RPI_inc</f>
        <v>95945.0351755414</v>
      </c>
      <c r="V292" s="3"/>
      <c r="W292" s="4"/>
      <c r="X292" s="3"/>
      <c r="Y292" s="4"/>
      <c r="Z292" s="13">
        <f>D292+F292+H292+J292+L292+N292+P292+R292+T292+V292+X292</f>
        <v>8206072.531134</v>
      </c>
      <c r="AC292" s="13">
        <f>E292+G292+I292+K292+M292+O292+Q292+S292+U292+W292+Y292</f>
        <v>8362876.464849937</v>
      </c>
      <c r="AF292" s="51"/>
      <c r="AG292" s="3"/>
      <c r="AH292" s="4"/>
      <c r="AI292" s="3"/>
      <c r="AJ292" s="4"/>
      <c r="AK292" s="4"/>
      <c r="AL292" s="4">
        <v>8803335.052072</v>
      </c>
      <c r="AM292" s="4">
        <f>AL292/$AL$680*$AM$680</f>
        <v>5894200.448820134</v>
      </c>
      <c r="AN292" s="4"/>
      <c r="AO292" s="4"/>
      <c r="AP292" s="4"/>
      <c r="AQ292" s="4"/>
      <c r="AR292" s="4">
        <v>207280.043697</v>
      </c>
      <c r="AS292" s="4">
        <f>AR292/$AR$680*$AS$680</f>
        <v>203201.54419015293</v>
      </c>
      <c r="AT292" s="3"/>
      <c r="AU292" s="4"/>
      <c r="AV292" s="4"/>
      <c r="AW292" s="4"/>
      <c r="AX292" s="4">
        <v>133553.702698</v>
      </c>
      <c r="AY292" s="4">
        <f>AX292/$AX$680*$AY$680</f>
        <v>130878.15024718529</v>
      </c>
      <c r="AZ292" s="3"/>
      <c r="BA292" s="4"/>
      <c r="BB292" s="3"/>
      <c r="BC292" s="4"/>
      <c r="BD292" s="4"/>
      <c r="BE292" s="4"/>
      <c r="BF292" s="4"/>
      <c r="BG292" s="4"/>
      <c r="BH292" s="4"/>
      <c r="BI292" s="4"/>
      <c r="BJ292" s="4">
        <v>17362205.923566</v>
      </c>
      <c r="BK292" s="4"/>
      <c r="BL292" s="4"/>
      <c r="BM292" s="4"/>
      <c r="BN292" s="4"/>
      <c r="BO292" s="4">
        <v>24040.420994</v>
      </c>
      <c r="BP292" s="4"/>
      <c r="BQ292" s="4">
        <f t="shared" si="15"/>
        <v>9168209.219461</v>
      </c>
      <c r="BT292" s="4">
        <f t="shared" si="16"/>
        <v>6228280.143257472</v>
      </c>
      <c r="BW292" s="52"/>
      <c r="BX292" s="4">
        <f t="shared" si="13"/>
        <v>17374281.750595</v>
      </c>
      <c r="BY292" s="4">
        <f t="shared" si="14"/>
        <v>14591156.608107409</v>
      </c>
    </row>
    <row r="293" spans="1:77" ht="12.75">
      <c r="A293" s="5" t="s">
        <v>926</v>
      </c>
      <c r="B293" s="5" t="s">
        <v>292</v>
      </c>
      <c r="C293" s="5" t="s">
        <v>1346</v>
      </c>
      <c r="D293" s="6">
        <v>36283679.503467</v>
      </c>
      <c r="E293" s="6">
        <f>D293*RPI_inc</f>
        <v>36976998.22009376</v>
      </c>
      <c r="F293" s="6"/>
      <c r="G293" s="6"/>
      <c r="H293" s="6"/>
      <c r="I293" s="6"/>
      <c r="J293" s="6">
        <v>686050.096341</v>
      </c>
      <c r="K293" s="6">
        <f>J293*RPI_inc</f>
        <v>699159.3338507006</v>
      </c>
      <c r="L293" s="6">
        <v>3526972.537882</v>
      </c>
      <c r="M293" s="6">
        <f>L293*RPI_inc</f>
        <v>3594366.9175867517</v>
      </c>
      <c r="N293" s="6"/>
      <c r="O293" s="6"/>
      <c r="P293" s="6"/>
      <c r="Q293" s="6"/>
      <c r="R293" s="6"/>
      <c r="S293" s="6"/>
      <c r="T293" s="6"/>
      <c r="U293" s="6"/>
      <c r="V293" s="6">
        <v>50706.379134</v>
      </c>
      <c r="W293" s="6">
        <f>V293*RPI_inc</f>
        <v>51675.290837197455</v>
      </c>
      <c r="X293" s="6">
        <v>2652487.754986</v>
      </c>
      <c r="Y293" s="6">
        <f>X293*RPI_inc</f>
        <v>2703172.234380637</v>
      </c>
      <c r="Z293" s="14">
        <f>D293+F293+H293+J293+L293+N293+P293+R293+T293+V293+X293</f>
        <v>43199896.27181</v>
      </c>
      <c r="AC293" s="14">
        <f>E293+G293+I293+K293+M293+O293+Q293+S293+U293+W293+Y293</f>
        <v>44025371.99674905</v>
      </c>
      <c r="AF293" s="51"/>
      <c r="AG293" s="6">
        <v>1177685</v>
      </c>
      <c r="AH293" s="6">
        <f>AG293/$AG$680*$AH$680</f>
        <v>886714.9492641621</v>
      </c>
      <c r="AI293" s="6">
        <v>43353975.827717</v>
      </c>
      <c r="AJ293" s="6">
        <f>AI293/$AI$680*$AJ$680</f>
        <v>29717010.43100058</v>
      </c>
      <c r="AK293" s="6">
        <f>AJ293-AH293</f>
        <v>28830295.481736418</v>
      </c>
      <c r="AL293" s="6"/>
      <c r="AM293" s="6"/>
      <c r="AN293" s="6"/>
      <c r="AO293" s="6"/>
      <c r="AP293" s="6"/>
      <c r="AQ293" s="6"/>
      <c r="AR293" s="6">
        <v>990886.628846</v>
      </c>
      <c r="AS293" s="6">
        <f>AR293/$AR$680*$AS$680</f>
        <v>971389.6692978954</v>
      </c>
      <c r="AT293" s="6">
        <v>4461330.409022</v>
      </c>
      <c r="AU293" s="6">
        <f>AT293/$AT$680*$AU$680</f>
        <v>3681951.855450612</v>
      </c>
      <c r="AV293" s="6"/>
      <c r="AW293" s="6"/>
      <c r="AX293" s="6"/>
      <c r="AY293" s="6"/>
      <c r="AZ293" s="6">
        <v>71931.042929</v>
      </c>
      <c r="BA293" s="6">
        <f>AZ293/$AZ$680*$BA$680</f>
        <v>70490.00878612266</v>
      </c>
      <c r="BB293" s="6">
        <v>3922167.133335</v>
      </c>
      <c r="BC293" s="6">
        <f>BB293/$BB$680*$BC$680</f>
        <v>3846785.6956989663</v>
      </c>
      <c r="BD293" s="6"/>
      <c r="BE293" s="6"/>
      <c r="BF293" s="6"/>
      <c r="BG293" s="6"/>
      <c r="BH293" s="6"/>
      <c r="BI293" s="6"/>
      <c r="BJ293" s="6">
        <v>84766902.799026</v>
      </c>
      <c r="BK293" s="6"/>
      <c r="BL293" s="6"/>
      <c r="BM293" s="6"/>
      <c r="BN293" s="6"/>
      <c r="BO293" s="6">
        <v>126557.947098</v>
      </c>
      <c r="BP293" s="6"/>
      <c r="BQ293" s="6">
        <f t="shared" si="15"/>
        <v>54104533.988947004</v>
      </c>
      <c r="BT293" s="6">
        <f t="shared" si="16"/>
        <v>38287627.660234176</v>
      </c>
      <c r="BW293" s="52"/>
      <c r="BX293" s="6">
        <f t="shared" si="13"/>
        <v>97304430.260757</v>
      </c>
      <c r="BY293" s="6">
        <f t="shared" si="14"/>
        <v>82312999.65698323</v>
      </c>
    </row>
    <row r="294" spans="1:77" ht="12.75">
      <c r="A294" t="s">
        <v>927</v>
      </c>
      <c r="B294" t="s">
        <v>293</v>
      </c>
      <c r="K294"/>
      <c r="L294"/>
      <c r="V294"/>
      <c r="X294"/>
      <c r="Z294" s="12">
        <f>Z295+Z296</f>
        <v>28149261.728393998</v>
      </c>
      <c r="AC294" s="12">
        <f>AC295+AC296</f>
        <v>28687145.710465223</v>
      </c>
      <c r="AF294" s="52"/>
      <c r="AG294"/>
      <c r="AI294"/>
      <c r="AT294"/>
      <c r="AV294"/>
      <c r="AW294"/>
      <c r="AZ294"/>
      <c r="BB294"/>
      <c r="BI294">
        <v>843132</v>
      </c>
      <c r="BJ294" s="1">
        <v>52285859.594088</v>
      </c>
      <c r="BQ294" s="1">
        <f>BQ295+BQ296</f>
        <v>35885428.671375</v>
      </c>
      <c r="BT294" s="1">
        <f>BT295+BT296</f>
        <v>25252087.889103618</v>
      </c>
      <c r="BW294" s="52"/>
      <c r="BX294" s="1">
        <f t="shared" si="13"/>
        <v>64034690.39976899</v>
      </c>
      <c r="BY294" s="1">
        <f t="shared" si="14"/>
        <v>53939233.599568844</v>
      </c>
    </row>
    <row r="295" spans="1:77" ht="12.75">
      <c r="A295" s="3" t="s">
        <v>928</v>
      </c>
      <c r="B295" s="3" t="s">
        <v>294</v>
      </c>
      <c r="C295" s="3" t="s">
        <v>1346</v>
      </c>
      <c r="D295" s="3"/>
      <c r="E295" s="4"/>
      <c r="F295" s="4">
        <v>5382158.67079</v>
      </c>
      <c r="G295" s="4">
        <f>F295*RPI_inc</f>
        <v>5485002.4670471335</v>
      </c>
      <c r="H295" s="4"/>
      <c r="I295" s="4"/>
      <c r="J295" s="4">
        <v>169611.307799</v>
      </c>
      <c r="K295" s="4">
        <f>J295*RPI_inc</f>
        <v>172852.28820280256</v>
      </c>
      <c r="L295" s="3"/>
      <c r="M295" s="4"/>
      <c r="N295" s="4"/>
      <c r="O295" s="4"/>
      <c r="P295" s="4"/>
      <c r="Q295" s="4"/>
      <c r="R295" s="4"/>
      <c r="S295" s="4"/>
      <c r="T295" s="4">
        <v>231447.129336</v>
      </c>
      <c r="U295" s="4">
        <f>T295*RPI_inc</f>
        <v>235869.68594751594</v>
      </c>
      <c r="V295" s="3"/>
      <c r="W295" s="4"/>
      <c r="X295" s="3"/>
      <c r="Y295" s="4"/>
      <c r="Z295" s="13">
        <f>D295+F295+H295+J295+L295+N295+P295+R295+T295+V295+X295</f>
        <v>5783217.107925001</v>
      </c>
      <c r="AC295" s="13">
        <f>E295+G295+I295+K295+M295+O295+Q295+S295+U295+W295+Y295</f>
        <v>5893724.441197452</v>
      </c>
      <c r="AF295" s="51"/>
      <c r="AG295" s="3"/>
      <c r="AH295" s="4"/>
      <c r="AI295" s="3"/>
      <c r="AJ295" s="4"/>
      <c r="AK295" s="4"/>
      <c r="AL295" s="4">
        <v>5946094.862536</v>
      </c>
      <c r="AM295" s="4">
        <f>AL295/$AL$680*$AM$680</f>
        <v>3981158.8222167944</v>
      </c>
      <c r="AN295" s="4"/>
      <c r="AO295" s="4"/>
      <c r="AP295" s="4"/>
      <c r="AQ295" s="4"/>
      <c r="AR295" s="4">
        <v>244975.662703</v>
      </c>
      <c r="AS295" s="4">
        <f>AR295/$AR$680*$AS$680</f>
        <v>240155.45376390775</v>
      </c>
      <c r="AT295" s="3"/>
      <c r="AU295" s="4"/>
      <c r="AV295" s="4"/>
      <c r="AW295" s="4"/>
      <c r="AX295" s="4">
        <v>328326.211513</v>
      </c>
      <c r="AY295" s="4">
        <f>AX295/$AX$680*$AY$680</f>
        <v>321748.6776660596</v>
      </c>
      <c r="AZ295" s="3"/>
      <c r="BA295" s="4"/>
      <c r="BB295" s="3"/>
      <c r="BC295" s="4"/>
      <c r="BD295" s="4"/>
      <c r="BE295" s="4"/>
      <c r="BF295" s="4"/>
      <c r="BG295" s="4"/>
      <c r="BH295" s="4">
        <v>166722.947735</v>
      </c>
      <c r="BI295" s="4"/>
      <c r="BJ295" s="4">
        <v>10899058.955221</v>
      </c>
      <c r="BK295" s="4">
        <f>BJ295/BJ294*BI294</f>
        <v>175752.01873648525</v>
      </c>
      <c r="BL295" s="4">
        <f>BH295+BK295</f>
        <v>342474.9664714852</v>
      </c>
      <c r="BM295" s="4"/>
      <c r="BN295" s="4"/>
      <c r="BO295" s="4">
        <v>16942.450051</v>
      </c>
      <c r="BP295" s="4"/>
      <c r="BQ295" s="4">
        <f t="shared" si="15"/>
        <v>6878814.153274486</v>
      </c>
      <c r="BT295" s="4">
        <f t="shared" si="16"/>
        <v>4885537.920118246</v>
      </c>
      <c r="BW295" s="52"/>
      <c r="BX295" s="4">
        <f t="shared" si="13"/>
        <v>12662031.261199486</v>
      </c>
      <c r="BY295" s="4">
        <f t="shared" si="14"/>
        <v>10779262.361315697</v>
      </c>
    </row>
    <row r="296" spans="1:77" ht="12.75">
      <c r="A296" s="5" t="s">
        <v>929</v>
      </c>
      <c r="B296" s="5" t="s">
        <v>295</v>
      </c>
      <c r="C296" s="5" t="s">
        <v>1346</v>
      </c>
      <c r="D296" s="6">
        <v>19551025.950561</v>
      </c>
      <c r="E296" s="6">
        <f>D296*RPI_inc</f>
        <v>19924612.43369274</v>
      </c>
      <c r="F296" s="6"/>
      <c r="G296" s="6"/>
      <c r="H296" s="6"/>
      <c r="I296" s="6"/>
      <c r="J296" s="6">
        <v>650798.35714</v>
      </c>
      <c r="K296" s="6">
        <f>J296*RPI_inc</f>
        <v>663233.9945375796</v>
      </c>
      <c r="L296" s="6">
        <v>2102158.555669</v>
      </c>
      <c r="M296" s="6">
        <f>L296*RPI_inc</f>
        <v>2142327.1904907003</v>
      </c>
      <c r="N296" s="6"/>
      <c r="O296" s="6"/>
      <c r="P296" s="6"/>
      <c r="Q296" s="6"/>
      <c r="R296" s="6"/>
      <c r="S296" s="6"/>
      <c r="T296" s="6"/>
      <c r="U296" s="6"/>
      <c r="V296" s="6">
        <v>47366.681874</v>
      </c>
      <c r="W296" s="6">
        <f>V296*RPI_inc</f>
        <v>48271.77770598726</v>
      </c>
      <c r="X296" s="6">
        <v>14695.075225</v>
      </c>
      <c r="Y296" s="6">
        <f>X296*RPI_inc</f>
        <v>14975.872840764332</v>
      </c>
      <c r="Z296" s="14">
        <f>D296+F296+H296+J296+L296+N296+P296+R296+T296+V296+X296</f>
        <v>22366044.620468996</v>
      </c>
      <c r="AC296" s="14">
        <f>E296+G296+I296+K296+M296+O296+Q296+S296+U296+W296+Y296</f>
        <v>22793421.26926777</v>
      </c>
      <c r="AF296" s="51"/>
      <c r="AG296" s="6">
        <v>591895</v>
      </c>
      <c r="AH296" s="6">
        <f>AG296/$AG$680*$AH$680</f>
        <v>445655.7949661507</v>
      </c>
      <c r="AI296" s="6">
        <v>23360770.408819</v>
      </c>
      <c r="AJ296" s="6">
        <f>AI296/$AI$680*$AJ$680</f>
        <v>16012655.00247987</v>
      </c>
      <c r="AK296" s="6">
        <f>AJ296-AH296</f>
        <v>15566999.20751372</v>
      </c>
      <c r="AL296" s="6"/>
      <c r="AM296" s="6"/>
      <c r="AN296" s="6"/>
      <c r="AO296" s="6"/>
      <c r="AP296" s="6"/>
      <c r="AQ296" s="6"/>
      <c r="AR296" s="6">
        <v>939971.284319</v>
      </c>
      <c r="AS296" s="6">
        <f>AR296/$AR$680*$AS$680</f>
        <v>921476.1491811983</v>
      </c>
      <c r="AT296" s="6">
        <v>2659057.814673</v>
      </c>
      <c r="AU296" s="6">
        <f>AT296/$AT$680*$AU$680</f>
        <v>2194529.872678037</v>
      </c>
      <c r="AV296" s="6"/>
      <c r="AW296" s="6"/>
      <c r="AX296" s="6"/>
      <c r="AY296" s="6"/>
      <c r="AZ296" s="6">
        <v>67193.416005</v>
      </c>
      <c r="BA296" s="6">
        <f>AZ296/$AZ$680*$BA$680</f>
        <v>65847.29334784154</v>
      </c>
      <c r="BB296" s="6">
        <v>21729.239263</v>
      </c>
      <c r="BC296" s="6">
        <f>BB296/$BB$680*$BC$680</f>
        <v>21311.617769907345</v>
      </c>
      <c r="BD296" s="6"/>
      <c r="BE296" s="6"/>
      <c r="BF296" s="6"/>
      <c r="BG296" s="6"/>
      <c r="BH296" s="6">
        <v>633094.052265</v>
      </c>
      <c r="BI296" s="6"/>
      <c r="BJ296" s="6">
        <v>41386800.638867</v>
      </c>
      <c r="BK296" s="6">
        <f>BJ296/BJ294*BI294</f>
        <v>667379.9812635147</v>
      </c>
      <c r="BL296" s="6">
        <f>BH296+BK296</f>
        <v>1300474.0335285147</v>
      </c>
      <c r="BM296" s="6"/>
      <c r="BN296" s="6"/>
      <c r="BO296" s="6">
        <v>65523.321493</v>
      </c>
      <c r="BP296" s="6">
        <v>-149744</v>
      </c>
      <c r="BQ296" s="6">
        <f t="shared" si="15"/>
        <v>29006614.518100515</v>
      </c>
      <c r="BT296" s="6">
        <f t="shared" si="16"/>
        <v>20366549.96898537</v>
      </c>
      <c r="BW296" s="52"/>
      <c r="BX296" s="6">
        <f t="shared" si="13"/>
        <v>51372659.13856951</v>
      </c>
      <c r="BY296" s="6">
        <f t="shared" si="14"/>
        <v>43159971.23825315</v>
      </c>
    </row>
    <row r="297" spans="1:77" ht="12.75">
      <c r="A297" t="s">
        <v>930</v>
      </c>
      <c r="B297" t="s">
        <v>296</v>
      </c>
      <c r="K297"/>
      <c r="L297"/>
      <c r="V297"/>
      <c r="X297"/>
      <c r="Z297" s="12">
        <f>Z298+Z299</f>
        <v>15452625.788027996</v>
      </c>
      <c r="AC297" s="12">
        <f>AC298+AC299</f>
        <v>15747898.892257834</v>
      </c>
      <c r="AF297" s="52"/>
      <c r="AG297"/>
      <c r="AI297"/>
      <c r="AT297"/>
      <c r="AV297"/>
      <c r="AW297"/>
      <c r="AZ297"/>
      <c r="BB297"/>
      <c r="BI297">
        <v>731830</v>
      </c>
      <c r="BJ297" s="1">
        <v>28546334.204007</v>
      </c>
      <c r="BQ297" s="1">
        <f>BQ298+BQ299</f>
        <v>20317613.457332</v>
      </c>
      <c r="BT297" s="1">
        <f>BT298+BT299</f>
        <v>14718579.948296227</v>
      </c>
      <c r="BW297" s="52"/>
      <c r="BX297" s="1">
        <f t="shared" si="13"/>
        <v>35770239.245359994</v>
      </c>
      <c r="BY297" s="1">
        <f t="shared" si="14"/>
        <v>30466478.84055406</v>
      </c>
    </row>
    <row r="298" spans="1:77" ht="12.75">
      <c r="A298" s="3" t="s">
        <v>931</v>
      </c>
      <c r="B298" s="3" t="s">
        <v>297</v>
      </c>
      <c r="C298" s="3" t="s">
        <v>1346</v>
      </c>
      <c r="D298" s="3"/>
      <c r="E298" s="4"/>
      <c r="F298" s="4">
        <v>2440618.765264</v>
      </c>
      <c r="G298" s="4">
        <f>F298*RPI_inc</f>
        <v>2487254.7926257323</v>
      </c>
      <c r="H298" s="4"/>
      <c r="I298" s="4"/>
      <c r="J298" s="4">
        <v>139816.527648</v>
      </c>
      <c r="K298" s="4">
        <f>J298*RPI_inc</f>
        <v>142488.18104254775</v>
      </c>
      <c r="L298" s="3"/>
      <c r="M298" s="4"/>
      <c r="N298" s="4"/>
      <c r="O298" s="4"/>
      <c r="P298" s="4"/>
      <c r="Q298" s="4"/>
      <c r="R298" s="4"/>
      <c r="S298" s="4"/>
      <c r="T298" s="4">
        <v>62962.660799</v>
      </c>
      <c r="U298" s="4">
        <f>T298*RPI_inc</f>
        <v>64165.76896713376</v>
      </c>
      <c r="V298" s="3"/>
      <c r="W298" s="4"/>
      <c r="X298" s="3"/>
      <c r="Y298" s="4"/>
      <c r="Z298" s="13">
        <f>D298+F298+H298+J298+L298+N298+P298+R298+T298+V298+X298</f>
        <v>2643397.953711</v>
      </c>
      <c r="AC298" s="13">
        <f>E298+G298+I298+K298+M298+O298+Q298+S298+U298+W298+Y298</f>
        <v>2693908.742635414</v>
      </c>
      <c r="AF298" s="51"/>
      <c r="AG298" s="3"/>
      <c r="AH298" s="4"/>
      <c r="AI298" s="3"/>
      <c r="AJ298" s="4"/>
      <c r="AK298" s="4"/>
      <c r="AL298" s="4">
        <v>2696343.900136</v>
      </c>
      <c r="AM298" s="4">
        <f>AL298/$AL$680*$AM$680</f>
        <v>1805314.841744485</v>
      </c>
      <c r="AN298" s="4"/>
      <c r="AO298" s="4"/>
      <c r="AP298" s="4"/>
      <c r="AQ298" s="4"/>
      <c r="AR298" s="4">
        <v>201941.998809</v>
      </c>
      <c r="AS298" s="4">
        <f>AR298/$AR$680*$AS$680</f>
        <v>197968.53215073273</v>
      </c>
      <c r="AT298" s="3"/>
      <c r="AU298" s="4"/>
      <c r="AV298" s="4"/>
      <c r="AW298" s="4"/>
      <c r="AX298" s="4">
        <v>89317.55579</v>
      </c>
      <c r="AY298" s="4">
        <f>AX298/$AX$680*$AY$680</f>
        <v>87528.2096283657</v>
      </c>
      <c r="AZ298" s="3"/>
      <c r="BA298" s="4"/>
      <c r="BB298" s="3"/>
      <c r="BC298" s="4"/>
      <c r="BD298" s="4"/>
      <c r="BE298" s="4"/>
      <c r="BF298" s="4"/>
      <c r="BG298" s="4"/>
      <c r="BH298" s="4">
        <v>125119.938486</v>
      </c>
      <c r="BI298" s="4"/>
      <c r="BJ298" s="4">
        <v>4888200.979109</v>
      </c>
      <c r="BK298" s="4">
        <f>BJ298/BJ297*BI297</f>
        <v>125316.69029640926</v>
      </c>
      <c r="BL298" s="4">
        <f>BH298+BK298</f>
        <v>250436.62878240924</v>
      </c>
      <c r="BM298" s="4"/>
      <c r="BN298" s="4"/>
      <c r="BO298" s="4">
        <v>7744.069946</v>
      </c>
      <c r="BP298" s="4"/>
      <c r="BQ298" s="4">
        <f t="shared" si="15"/>
        <v>3245784.1534634093</v>
      </c>
      <c r="BT298" s="4">
        <f t="shared" si="16"/>
        <v>2341248.212305993</v>
      </c>
      <c r="BW298" s="52"/>
      <c r="BX298" s="4">
        <f t="shared" si="13"/>
        <v>5889182.10717441</v>
      </c>
      <c r="BY298" s="4">
        <f t="shared" si="14"/>
        <v>5035156.954941407</v>
      </c>
    </row>
    <row r="299" spans="1:77" ht="12.75">
      <c r="A299" s="5" t="s">
        <v>932</v>
      </c>
      <c r="B299" s="5" t="s">
        <v>298</v>
      </c>
      <c r="C299" s="5" t="s">
        <v>1346</v>
      </c>
      <c r="D299" s="6">
        <v>10619125.420841</v>
      </c>
      <c r="E299" s="6">
        <f>D299*RPI_inc</f>
        <v>10822038.645443056</v>
      </c>
      <c r="F299" s="6"/>
      <c r="G299" s="6"/>
      <c r="H299" s="6"/>
      <c r="I299" s="6"/>
      <c r="J299" s="6">
        <v>584681.104778</v>
      </c>
      <c r="K299" s="6">
        <f>J299*RPI_inc</f>
        <v>595853.3551877708</v>
      </c>
      <c r="L299" s="6">
        <v>1544777.293814</v>
      </c>
      <c r="M299" s="6">
        <f>L299*RPI_inc</f>
        <v>1574295.331275414</v>
      </c>
      <c r="N299" s="6"/>
      <c r="O299" s="6"/>
      <c r="P299" s="6"/>
      <c r="Q299" s="6"/>
      <c r="R299" s="6"/>
      <c r="S299" s="6"/>
      <c r="T299" s="6"/>
      <c r="U299" s="6"/>
      <c r="V299" s="6">
        <v>47325.953858</v>
      </c>
      <c r="W299" s="6">
        <f>V299*RPI_inc</f>
        <v>48230.27144764331</v>
      </c>
      <c r="X299" s="6">
        <v>13318.061026</v>
      </c>
      <c r="Y299" s="6">
        <f>X299*RPI_inc</f>
        <v>13572.54626853503</v>
      </c>
      <c r="Z299" s="14">
        <f>D299+F299+H299+J299+L299+N299+P299+R299+T299+V299+X299</f>
        <v>12809227.834316997</v>
      </c>
      <c r="AC299" s="14">
        <f>E299+G299+I299+K299+M299+O299+Q299+S299+U299+W299+Y299</f>
        <v>13053990.14962242</v>
      </c>
      <c r="AF299" s="51"/>
      <c r="AG299" s="6">
        <v>248523</v>
      </c>
      <c r="AH299" s="6">
        <f>AG299/$AG$680*$AH$680</f>
        <v>187120.5452527436</v>
      </c>
      <c r="AI299" s="6">
        <v>12688385.332106</v>
      </c>
      <c r="AJ299" s="6">
        <f>AI299/$AI$680*$AJ$680</f>
        <v>8697261.832804887</v>
      </c>
      <c r="AK299" s="6">
        <f>AJ299-AH299</f>
        <v>8510141.287552143</v>
      </c>
      <c r="AL299" s="6"/>
      <c r="AM299" s="6"/>
      <c r="AN299" s="6"/>
      <c r="AO299" s="6"/>
      <c r="AP299" s="6"/>
      <c r="AQ299" s="6"/>
      <c r="AR299" s="6">
        <v>844475.778014</v>
      </c>
      <c r="AS299" s="6">
        <f>AR299/$AR$680*$AS$680</f>
        <v>827859.6388877026</v>
      </c>
      <c r="AT299" s="6">
        <v>1954016.324776</v>
      </c>
      <c r="AU299" s="6">
        <f>AT299/$AT$680*$AU$680</f>
        <v>1612656.6232441317</v>
      </c>
      <c r="AV299" s="6"/>
      <c r="AW299" s="6"/>
      <c r="AX299" s="6"/>
      <c r="AY299" s="6"/>
      <c r="AZ299" s="6">
        <v>67135.640067</v>
      </c>
      <c r="BA299" s="6">
        <f>AZ299/$AZ$680*$BA$680</f>
        <v>65790.67486698247</v>
      </c>
      <c r="BB299" s="6">
        <v>19693.082894</v>
      </c>
      <c r="BC299" s="6">
        <f>BB299/$BB$680*$BC$680</f>
        <v>19314.59496893979</v>
      </c>
      <c r="BD299" s="6"/>
      <c r="BE299" s="6"/>
      <c r="BF299" s="6"/>
      <c r="BG299" s="6"/>
      <c r="BH299" s="6">
        <v>605561.061514</v>
      </c>
      <c r="BI299" s="6"/>
      <c r="BJ299" s="6">
        <v>23658133.224898</v>
      </c>
      <c r="BK299" s="6">
        <f>BJ299/BJ297*BI297</f>
        <v>606513.3097035907</v>
      </c>
      <c r="BL299" s="6">
        <f>BH299+BK299</f>
        <v>1212074.3712175908</v>
      </c>
      <c r="BM299" s="6"/>
      <c r="BN299" s="6"/>
      <c r="BO299" s="6">
        <v>37525.774794</v>
      </c>
      <c r="BP299" s="6">
        <v>-57626</v>
      </c>
      <c r="BQ299" s="6">
        <f t="shared" si="15"/>
        <v>17071829.30386859</v>
      </c>
      <c r="BT299" s="6">
        <f t="shared" si="16"/>
        <v>12377331.735990234</v>
      </c>
      <c r="BW299" s="52"/>
      <c r="BX299" s="6">
        <f t="shared" si="13"/>
        <v>29881057.13818559</v>
      </c>
      <c r="BY299" s="6">
        <f t="shared" si="14"/>
        <v>25431321.88561265</v>
      </c>
    </row>
    <row r="300" spans="1:77" ht="12.75">
      <c r="A300" t="s">
        <v>933</v>
      </c>
      <c r="B300" t="s">
        <v>299</v>
      </c>
      <c r="K300"/>
      <c r="L300"/>
      <c r="V300"/>
      <c r="X300"/>
      <c r="Z300" s="12">
        <f>Z301+Z302</f>
        <v>20400877.065371</v>
      </c>
      <c r="AC300" s="12">
        <f>AC301+AC302</f>
        <v>20790702.74177936</v>
      </c>
      <c r="AF300" s="52"/>
      <c r="AG300"/>
      <c r="AI300"/>
      <c r="AT300"/>
      <c r="AV300"/>
      <c r="AW300"/>
      <c r="AZ300"/>
      <c r="BB300"/>
      <c r="BI300"/>
      <c r="BJ300" s="1">
        <v>39934392.227384</v>
      </c>
      <c r="BQ300" s="1">
        <f>BQ301+BQ302</f>
        <v>25215920.849244</v>
      </c>
      <c r="BT300" s="1">
        <f>BT301+BT302</f>
        <v>17775260.05790501</v>
      </c>
      <c r="BW300" s="52"/>
      <c r="BX300" s="1">
        <f t="shared" si="13"/>
        <v>45616797.914615</v>
      </c>
      <c r="BY300" s="1">
        <f t="shared" si="14"/>
        <v>38565962.799684376</v>
      </c>
    </row>
    <row r="301" spans="1:77" ht="12.75">
      <c r="A301" s="3" t="s">
        <v>934</v>
      </c>
      <c r="B301" s="3" t="s">
        <v>300</v>
      </c>
      <c r="C301" s="3" t="s">
        <v>1346</v>
      </c>
      <c r="D301" s="3"/>
      <c r="E301" s="4"/>
      <c r="F301" s="4">
        <v>2897803.4917</v>
      </c>
      <c r="G301" s="4">
        <f>F301*RPI_inc</f>
        <v>2953175.532942675</v>
      </c>
      <c r="H301" s="4"/>
      <c r="I301" s="4"/>
      <c r="J301" s="4">
        <v>65755.474436</v>
      </c>
      <c r="K301" s="4">
        <f>J301*RPI_inc</f>
        <v>67011.94846980892</v>
      </c>
      <c r="L301" s="3"/>
      <c r="M301" s="4"/>
      <c r="N301" s="4"/>
      <c r="O301" s="4"/>
      <c r="P301" s="4"/>
      <c r="Q301" s="4"/>
      <c r="R301" s="4"/>
      <c r="S301" s="4"/>
      <c r="T301" s="4">
        <v>34613.925701</v>
      </c>
      <c r="U301" s="4">
        <f>T301*RPI_inc</f>
        <v>35275.33829401274</v>
      </c>
      <c r="V301" s="3"/>
      <c r="W301" s="4"/>
      <c r="X301" s="3"/>
      <c r="Y301" s="4"/>
      <c r="Z301" s="13">
        <f>D301+F301+H301+J301+L301+N301+P301+R301+T301+V301+X301</f>
        <v>2998172.891837</v>
      </c>
      <c r="AC301" s="13">
        <f>E301+G301+I301+K301+M301+O301+Q301+S301+U301+W301+Y301</f>
        <v>3055462.819706497</v>
      </c>
      <c r="AF301" s="51"/>
      <c r="AG301" s="3"/>
      <c r="AH301" s="4"/>
      <c r="AI301" s="3"/>
      <c r="AJ301" s="4"/>
      <c r="AK301" s="4"/>
      <c r="AL301" s="4">
        <v>3201431.899092</v>
      </c>
      <c r="AM301" s="4">
        <f>AL301/$AL$680*$AM$680</f>
        <v>2143492.3497605426</v>
      </c>
      <c r="AN301" s="4"/>
      <c r="AO301" s="4"/>
      <c r="AP301" s="4"/>
      <c r="AQ301" s="4"/>
      <c r="AR301" s="4">
        <v>94972.977541</v>
      </c>
      <c r="AS301" s="4">
        <f>AR301/$AR$680*$AS$680</f>
        <v>93104.26295007206</v>
      </c>
      <c r="AT301" s="3"/>
      <c r="AU301" s="4"/>
      <c r="AV301" s="4"/>
      <c r="AW301" s="4"/>
      <c r="AX301" s="4">
        <v>49102.614164</v>
      </c>
      <c r="AY301" s="4">
        <f>AX301/$AX$680*$AY$680</f>
        <v>48118.91534461963</v>
      </c>
      <c r="AZ301" s="3"/>
      <c r="BA301" s="4"/>
      <c r="BB301" s="3"/>
      <c r="BC301" s="4"/>
      <c r="BD301" s="4"/>
      <c r="BE301" s="4"/>
      <c r="BF301" s="4"/>
      <c r="BG301" s="4"/>
      <c r="BH301" s="4"/>
      <c r="BI301" s="4"/>
      <c r="BJ301" s="4">
        <v>6337822.586568</v>
      </c>
      <c r="BK301" s="4"/>
      <c r="BL301" s="4"/>
      <c r="BM301" s="4"/>
      <c r="BN301" s="4"/>
      <c r="BO301" s="4">
        <v>8783.414753</v>
      </c>
      <c r="BP301" s="4"/>
      <c r="BQ301" s="4">
        <f t="shared" si="15"/>
        <v>3354290.90555</v>
      </c>
      <c r="BT301" s="4">
        <f t="shared" si="16"/>
        <v>2284715.5280552343</v>
      </c>
      <c r="BW301" s="52"/>
      <c r="BX301" s="4">
        <f t="shared" si="13"/>
        <v>6352463.797387</v>
      </c>
      <c r="BY301" s="4">
        <f t="shared" si="14"/>
        <v>5340178.347761732</v>
      </c>
    </row>
    <row r="302" spans="1:77" ht="12.75">
      <c r="A302" s="5" t="s">
        <v>935</v>
      </c>
      <c r="B302" s="5" t="s">
        <v>301</v>
      </c>
      <c r="C302" s="5" t="s">
        <v>1346</v>
      </c>
      <c r="D302" s="6">
        <v>14229799.510742</v>
      </c>
      <c r="E302" s="6">
        <f>D302*RPI_inc</f>
        <v>14501706.507762548</v>
      </c>
      <c r="F302" s="6"/>
      <c r="G302" s="6"/>
      <c r="H302" s="6"/>
      <c r="I302" s="6"/>
      <c r="J302" s="6">
        <v>342008.935352</v>
      </c>
      <c r="K302" s="6">
        <f>J302*RPI_inc</f>
        <v>348544.1379383439</v>
      </c>
      <c r="L302" s="6">
        <v>1662222.839486</v>
      </c>
      <c r="M302" s="6">
        <f>L302*RPI_inc</f>
        <v>1693985.0593487897</v>
      </c>
      <c r="N302" s="6"/>
      <c r="O302" s="6"/>
      <c r="P302" s="6"/>
      <c r="Q302" s="6"/>
      <c r="R302" s="6"/>
      <c r="S302" s="6"/>
      <c r="T302" s="6"/>
      <c r="U302" s="6"/>
      <c r="V302" s="6">
        <v>46348.481489</v>
      </c>
      <c r="W302" s="6">
        <f>V302*RPI_inc</f>
        <v>47234.12126267516</v>
      </c>
      <c r="X302" s="6">
        <v>1122324.406465</v>
      </c>
      <c r="Y302" s="6">
        <f>X302*RPI_inc</f>
        <v>1143770.0957605096</v>
      </c>
      <c r="Z302" s="14">
        <f>D302+F302+H302+J302+L302+N302+P302+R302+T302+V302+X302</f>
        <v>17402704.173534</v>
      </c>
      <c r="AC302" s="14">
        <f>E302+G302+I302+K302+M302+O302+Q302+S302+U302+W302+Y302</f>
        <v>17735239.922072865</v>
      </c>
      <c r="AF302" s="51"/>
      <c r="AG302" s="6">
        <v>486153</v>
      </c>
      <c r="AH302" s="6">
        <f>AG302/$AG$680*$AH$680</f>
        <v>366039.4186302961</v>
      </c>
      <c r="AI302" s="6">
        <v>17002641.20024</v>
      </c>
      <c r="AJ302" s="6">
        <f>AI302/$AI$680*$AJ$680</f>
        <v>11654471.27409859</v>
      </c>
      <c r="AK302" s="6">
        <f>AJ302-AH302</f>
        <v>11288431.855468294</v>
      </c>
      <c r="AL302" s="6"/>
      <c r="AM302" s="6"/>
      <c r="AN302" s="6"/>
      <c r="AO302" s="6"/>
      <c r="AP302" s="6"/>
      <c r="AQ302" s="6"/>
      <c r="AR302" s="6">
        <v>493975.70643</v>
      </c>
      <c r="AS302" s="6">
        <f>AR302/$AR$680*$AS$680</f>
        <v>484256.10371699487</v>
      </c>
      <c r="AT302" s="6">
        <v>2102575.288217</v>
      </c>
      <c r="AU302" s="6">
        <f>AT302/$AT$680*$AU$680</f>
        <v>1735262.864193974</v>
      </c>
      <c r="AV302" s="6"/>
      <c r="AW302" s="6"/>
      <c r="AX302" s="6"/>
      <c r="AY302" s="6"/>
      <c r="AZ302" s="6">
        <v>65749.017552</v>
      </c>
      <c r="BA302" s="6">
        <f>AZ302/$AZ$680*$BA$680</f>
        <v>64431.83132342559</v>
      </c>
      <c r="BB302" s="6">
        <v>1659552.958049</v>
      </c>
      <c r="BC302" s="6">
        <f>BB302/$BB$680*$BC$680</f>
        <v>1627657.4565167911</v>
      </c>
      <c r="BD302" s="6"/>
      <c r="BE302" s="6"/>
      <c r="BF302" s="6"/>
      <c r="BG302" s="6"/>
      <c r="BH302" s="6"/>
      <c r="BI302" s="6"/>
      <c r="BJ302" s="6">
        <v>33596569.640816</v>
      </c>
      <c r="BK302" s="6"/>
      <c r="BL302" s="6"/>
      <c r="BM302" s="6"/>
      <c r="BN302" s="6"/>
      <c r="BO302" s="6">
        <v>50982.773206</v>
      </c>
      <c r="BP302" s="6">
        <v>-75535</v>
      </c>
      <c r="BQ302" s="6">
        <f t="shared" si="15"/>
        <v>21861629.943694</v>
      </c>
      <c r="BT302" s="6">
        <f t="shared" si="16"/>
        <v>15490544.529849777</v>
      </c>
      <c r="BW302" s="52"/>
      <c r="BX302" s="6">
        <f t="shared" si="13"/>
        <v>39264334.117228</v>
      </c>
      <c r="BY302" s="6">
        <f t="shared" si="14"/>
        <v>33225784.45192264</v>
      </c>
    </row>
    <row r="303" spans="1:77" ht="12.75">
      <c r="A303" t="s">
        <v>936</v>
      </c>
      <c r="B303" t="s">
        <v>302</v>
      </c>
      <c r="K303"/>
      <c r="L303"/>
      <c r="V303"/>
      <c r="X303"/>
      <c r="Z303" s="12">
        <f>Z304+Z305</f>
        <v>52665933.850303</v>
      </c>
      <c r="AC303" s="12">
        <f>AC304+AC305</f>
        <v>53672289.274194136</v>
      </c>
      <c r="AF303" s="52"/>
      <c r="AG303"/>
      <c r="AI303"/>
      <c r="AT303"/>
      <c r="AV303"/>
      <c r="AW303"/>
      <c r="AZ303"/>
      <c r="BB303"/>
      <c r="BI303"/>
      <c r="BJ303" s="1">
        <v>90113349.817396</v>
      </c>
      <c r="BQ303" s="1">
        <f>BQ304+BQ305</f>
        <v>64193207.47230701</v>
      </c>
      <c r="BT303" s="1">
        <f>BT304+BT305</f>
        <v>45724796.002331525</v>
      </c>
      <c r="BW303" s="52"/>
      <c r="BX303" s="1">
        <f t="shared" si="13"/>
        <v>116859141.32261002</v>
      </c>
      <c r="BY303" s="1">
        <f t="shared" si="14"/>
        <v>99397085.27652566</v>
      </c>
    </row>
    <row r="304" spans="1:77" ht="12.75">
      <c r="A304" s="3" t="s">
        <v>937</v>
      </c>
      <c r="B304" s="3" t="s">
        <v>303</v>
      </c>
      <c r="C304" s="3" t="s">
        <v>1346</v>
      </c>
      <c r="D304" s="3"/>
      <c r="E304" s="4"/>
      <c r="F304" s="4">
        <v>12198900.184059</v>
      </c>
      <c r="G304" s="4">
        <f>F304*RPI_inc</f>
        <v>12432000.18757605</v>
      </c>
      <c r="H304" s="4"/>
      <c r="I304" s="4"/>
      <c r="J304" s="4">
        <v>316887.793431</v>
      </c>
      <c r="K304" s="4">
        <f>J304*RPI_inc</f>
        <v>322942.9741971975</v>
      </c>
      <c r="L304" s="3"/>
      <c r="M304" s="4"/>
      <c r="N304" s="4"/>
      <c r="O304" s="4"/>
      <c r="P304" s="4"/>
      <c r="Q304" s="4"/>
      <c r="R304" s="4"/>
      <c r="S304" s="4"/>
      <c r="T304" s="4">
        <v>526476.799864</v>
      </c>
      <c r="U304" s="4">
        <f>T304*RPI_inc</f>
        <v>536536.8661034395</v>
      </c>
      <c r="V304" s="3"/>
      <c r="W304" s="4"/>
      <c r="X304" s="3"/>
      <c r="Y304" s="4"/>
      <c r="Z304" s="13">
        <f>D304+F304+H304+J304+L304+N304+P304+R304+T304+V304+X304</f>
        <v>13042264.777354</v>
      </c>
      <c r="AC304" s="13">
        <f>E304+G304+I304+K304+M304+O304+Q304+S304+U304+W304+Y304</f>
        <v>13291480.027876686</v>
      </c>
      <c r="AF304" s="51"/>
      <c r="AG304" s="3"/>
      <c r="AH304" s="4"/>
      <c r="AI304" s="3"/>
      <c r="AJ304" s="4"/>
      <c r="AK304" s="4"/>
      <c r="AL304" s="4">
        <v>13477086.453563</v>
      </c>
      <c r="AM304" s="4">
        <f>AL304/$AL$680*$AM$680</f>
        <v>9023472.190199342</v>
      </c>
      <c r="AN304" s="4"/>
      <c r="AO304" s="4"/>
      <c r="AP304" s="4"/>
      <c r="AQ304" s="4"/>
      <c r="AR304" s="4">
        <v>457692.344962</v>
      </c>
      <c r="AS304" s="4">
        <f>AR304/$AR$680*$AS$680</f>
        <v>448686.6637110643</v>
      </c>
      <c r="AT304" s="3"/>
      <c r="AU304" s="4"/>
      <c r="AV304" s="4"/>
      <c r="AW304" s="4"/>
      <c r="AX304" s="4">
        <v>746849.328591</v>
      </c>
      <c r="AY304" s="4">
        <f>AX304/$AX$680*$AY$680</f>
        <v>731887.2982531404</v>
      </c>
      <c r="AZ304" s="3"/>
      <c r="BA304" s="4"/>
      <c r="BB304" s="3"/>
      <c r="BC304" s="4"/>
      <c r="BD304" s="4"/>
      <c r="BE304" s="4"/>
      <c r="BF304" s="4"/>
      <c r="BG304" s="4"/>
      <c r="BH304" s="4"/>
      <c r="BI304" s="4"/>
      <c r="BJ304" s="4">
        <v>24244819.34304</v>
      </c>
      <c r="BK304" s="4"/>
      <c r="BL304" s="4"/>
      <c r="BM304" s="4"/>
      <c r="BN304" s="4"/>
      <c r="BO304" s="4">
        <v>38208.477292</v>
      </c>
      <c r="BP304" s="4"/>
      <c r="BQ304" s="4">
        <f t="shared" si="15"/>
        <v>14719836.604408</v>
      </c>
      <c r="BT304" s="4">
        <f t="shared" si="16"/>
        <v>10204046.152163547</v>
      </c>
      <c r="BW304" s="52"/>
      <c r="BX304" s="4">
        <f t="shared" si="13"/>
        <v>27762101.381761998</v>
      </c>
      <c r="BY304" s="4">
        <f t="shared" si="14"/>
        <v>23495526.180040233</v>
      </c>
    </row>
    <row r="305" spans="1:77" ht="12.75">
      <c r="A305" s="5" t="s">
        <v>938</v>
      </c>
      <c r="B305" s="5" t="s">
        <v>304</v>
      </c>
      <c r="C305" s="5" t="s">
        <v>1346</v>
      </c>
      <c r="D305" s="6">
        <v>32647687.014726</v>
      </c>
      <c r="E305" s="6">
        <f>D305*RPI_inc</f>
        <v>33271528.167873632</v>
      </c>
      <c r="F305" s="6"/>
      <c r="G305" s="6"/>
      <c r="H305" s="6"/>
      <c r="I305" s="6"/>
      <c r="J305" s="6">
        <v>902994.057367</v>
      </c>
      <c r="K305" s="6">
        <f>J305*RPI_inc</f>
        <v>920248.7208835669</v>
      </c>
      <c r="L305" s="6">
        <v>3201512.630995</v>
      </c>
      <c r="M305" s="6">
        <f>L305*RPI_inc</f>
        <v>3262688.031587261</v>
      </c>
      <c r="N305" s="6"/>
      <c r="O305" s="6"/>
      <c r="P305" s="6"/>
      <c r="Q305" s="6"/>
      <c r="R305" s="6"/>
      <c r="S305" s="6"/>
      <c r="T305" s="6"/>
      <c r="U305" s="6"/>
      <c r="V305" s="6">
        <v>57304.317624</v>
      </c>
      <c r="W305" s="6">
        <f>V305*RPI_inc</f>
        <v>58399.30458496816</v>
      </c>
      <c r="X305" s="6">
        <v>2814171.052237</v>
      </c>
      <c r="Y305" s="6">
        <f>X305*RPI_inc</f>
        <v>2867945.0213880255</v>
      </c>
      <c r="Z305" s="14">
        <f>D305+F305+H305+J305+L305+N305+P305+R305+T305+V305+X305</f>
        <v>39623669.072949</v>
      </c>
      <c r="AC305" s="14">
        <f>E305+G305+I305+K305+M305+O305+Q305+S305+U305+W305+Y305</f>
        <v>40380809.246317446</v>
      </c>
      <c r="AF305" s="51"/>
      <c r="AG305" s="6">
        <v>751410</v>
      </c>
      <c r="AH305" s="6">
        <f>AG305/$AG$680*$AH$680</f>
        <v>565759.5027758561</v>
      </c>
      <c r="AI305" s="6">
        <v>39009467.976698</v>
      </c>
      <c r="AJ305" s="6">
        <f>AI305/$AI$680*$AJ$680</f>
        <v>26739064.748709645</v>
      </c>
      <c r="AK305" s="6">
        <f>AJ305-AH305</f>
        <v>26173305.24593379</v>
      </c>
      <c r="AL305" s="6"/>
      <c r="AM305" s="6"/>
      <c r="AN305" s="6"/>
      <c r="AO305" s="6"/>
      <c r="AP305" s="6"/>
      <c r="AQ305" s="6"/>
      <c r="AR305" s="6">
        <v>1304226.531188</v>
      </c>
      <c r="AS305" s="6">
        <f>AR305/$AR$680*$AS$680</f>
        <v>1278564.2090011</v>
      </c>
      <c r="AT305" s="6">
        <v>4049650.373548</v>
      </c>
      <c r="AU305" s="6">
        <f>AT305/$AT$680*$AU$680</f>
        <v>3342190.8578342632</v>
      </c>
      <c r="AV305" s="6"/>
      <c r="AW305" s="6"/>
      <c r="AX305" s="6"/>
      <c r="AY305" s="6"/>
      <c r="AZ305" s="6">
        <v>81290.7449</v>
      </c>
      <c r="BA305" s="6">
        <f>AZ305/$AZ$680*$BA$680</f>
        <v>79662.20269998688</v>
      </c>
      <c r="BB305" s="6">
        <v>4161244.170842</v>
      </c>
      <c r="BC305" s="6">
        <f>BB305/$BB$680*$BC$680</f>
        <v>4081267.8319229814</v>
      </c>
      <c r="BD305" s="6"/>
      <c r="BE305" s="6"/>
      <c r="BF305" s="6"/>
      <c r="BG305" s="6"/>
      <c r="BH305" s="6"/>
      <c r="BI305" s="6"/>
      <c r="BJ305" s="6">
        <v>65868530.474356</v>
      </c>
      <c r="BK305" s="6"/>
      <c r="BL305" s="6"/>
      <c r="BM305" s="6"/>
      <c r="BN305" s="6"/>
      <c r="BO305" s="6">
        <v>116081.070723</v>
      </c>
      <c r="BP305" s="6"/>
      <c r="BQ305" s="6">
        <f t="shared" si="15"/>
        <v>49473370.86789901</v>
      </c>
      <c r="BT305" s="6">
        <f t="shared" si="16"/>
        <v>35520749.850167975</v>
      </c>
      <c r="BW305" s="52"/>
      <c r="BX305" s="6">
        <f t="shared" si="13"/>
        <v>89097039.94084801</v>
      </c>
      <c r="BY305" s="6">
        <f t="shared" si="14"/>
        <v>75901559.09648542</v>
      </c>
    </row>
    <row r="306" spans="1:77" ht="12.75">
      <c r="A306" t="s">
        <v>939</v>
      </c>
      <c r="B306" t="s">
        <v>305</v>
      </c>
      <c r="K306"/>
      <c r="L306"/>
      <c r="V306"/>
      <c r="X306"/>
      <c r="Z306" s="12">
        <f>Z307+Z308</f>
        <v>43212869.204545</v>
      </c>
      <c r="AC306" s="12">
        <f>AC307+AC308</f>
        <v>44038592.81991847</v>
      </c>
      <c r="AF306" s="52"/>
      <c r="AG306"/>
      <c r="AI306"/>
      <c r="AT306"/>
      <c r="AV306"/>
      <c r="AW306"/>
      <c r="AZ306"/>
      <c r="BB306"/>
      <c r="BI306">
        <v>714689</v>
      </c>
      <c r="BJ306" s="1">
        <v>85357303.458033</v>
      </c>
      <c r="BQ306" s="1">
        <f>BQ307+BQ308</f>
        <v>53493687.40648801</v>
      </c>
      <c r="BT306" s="1">
        <f>BT307+BT308</f>
        <v>38232548.18529262</v>
      </c>
      <c r="BW306" s="52"/>
      <c r="BX306" s="1">
        <f t="shared" si="13"/>
        <v>96706556.61103301</v>
      </c>
      <c r="BY306" s="1">
        <f t="shared" si="14"/>
        <v>82271141.00521109</v>
      </c>
    </row>
    <row r="307" spans="1:77" ht="12.75">
      <c r="A307" s="3" t="s">
        <v>940</v>
      </c>
      <c r="B307" s="3" t="s">
        <v>306</v>
      </c>
      <c r="C307" s="3" t="s">
        <v>1346</v>
      </c>
      <c r="D307" s="3"/>
      <c r="E307" s="4"/>
      <c r="F307" s="4">
        <v>9952748.524388</v>
      </c>
      <c r="G307" s="4">
        <f>F307*RPI_inc</f>
        <v>10142928.432497324</v>
      </c>
      <c r="H307" s="4"/>
      <c r="I307" s="4"/>
      <c r="J307" s="4">
        <v>186548.009415</v>
      </c>
      <c r="K307" s="4">
        <f>J307*RPI_inc</f>
        <v>190112.62105987262</v>
      </c>
      <c r="L307" s="3"/>
      <c r="M307" s="4"/>
      <c r="N307" s="4"/>
      <c r="O307" s="4"/>
      <c r="P307" s="4"/>
      <c r="Q307" s="4"/>
      <c r="R307" s="4"/>
      <c r="S307" s="4"/>
      <c r="T307" s="4">
        <v>227385.324363</v>
      </c>
      <c r="U307" s="4">
        <f>T307*RPI_inc</f>
        <v>231730.2668667516</v>
      </c>
      <c r="V307" s="3"/>
      <c r="W307" s="4"/>
      <c r="X307" s="3"/>
      <c r="Y307" s="4"/>
      <c r="Z307" s="13">
        <f>D307+F307+H307+J307+L307+N307+P307+R307+T307+V307+X307</f>
        <v>10366681.858166002</v>
      </c>
      <c r="AC307" s="13">
        <f>E307+G307+I307+K307+M307+O307+Q307+S307+U307+W307+Y307</f>
        <v>10564771.320423948</v>
      </c>
      <c r="AF307" s="51"/>
      <c r="AG307" s="3"/>
      <c r="AH307" s="4"/>
      <c r="AI307" s="3"/>
      <c r="AJ307" s="4"/>
      <c r="AK307" s="4"/>
      <c r="AL307" s="4">
        <v>10995585.691326</v>
      </c>
      <c r="AM307" s="4">
        <f>AL307/$AL$680*$AM$680</f>
        <v>7362003.801229839</v>
      </c>
      <c r="AN307" s="4"/>
      <c r="AO307" s="4"/>
      <c r="AP307" s="4"/>
      <c r="AQ307" s="4"/>
      <c r="AR307" s="4">
        <v>269437.945062</v>
      </c>
      <c r="AS307" s="4">
        <f>AR307/$AR$680*$AS$680</f>
        <v>264136.40948500246</v>
      </c>
      <c r="AT307" s="3"/>
      <c r="AU307" s="4"/>
      <c r="AV307" s="4"/>
      <c r="AW307" s="4"/>
      <c r="AX307" s="4">
        <v>322564.217219</v>
      </c>
      <c r="AY307" s="4">
        <f>AX307/$AX$680*$AY$680</f>
        <v>316102.11647232895</v>
      </c>
      <c r="AZ307" s="3"/>
      <c r="BA307" s="4"/>
      <c r="BB307" s="3"/>
      <c r="BC307" s="4"/>
      <c r="BD307" s="4"/>
      <c r="BE307" s="4"/>
      <c r="BF307" s="4"/>
      <c r="BG307" s="4"/>
      <c r="BH307" s="4"/>
      <c r="BI307" s="4"/>
      <c r="BJ307" s="4">
        <v>22602063.617973</v>
      </c>
      <c r="BK307" s="4">
        <f>BJ307/BJ306*BI306</f>
        <v>189245.0392719769</v>
      </c>
      <c r="BL307" s="4">
        <f>BH307+BK307</f>
        <v>189245.0392719769</v>
      </c>
      <c r="BM307" s="4"/>
      <c r="BN307" s="4"/>
      <c r="BO307" s="4">
        <v>30370.118621</v>
      </c>
      <c r="BP307" s="4"/>
      <c r="BQ307" s="4">
        <f t="shared" si="15"/>
        <v>11807203.011499977</v>
      </c>
      <c r="BT307" s="4">
        <f t="shared" si="16"/>
        <v>8131487.366459147</v>
      </c>
      <c r="BW307" s="52"/>
      <c r="BX307" s="4">
        <f t="shared" si="13"/>
        <v>22173884.86966598</v>
      </c>
      <c r="BY307" s="4">
        <f t="shared" si="14"/>
        <v>18696258.686883096</v>
      </c>
    </row>
    <row r="308" spans="1:77" ht="12.75">
      <c r="A308" s="5" t="s">
        <v>941</v>
      </c>
      <c r="B308" s="5" t="s">
        <v>307</v>
      </c>
      <c r="C308" s="5" t="s">
        <v>1346</v>
      </c>
      <c r="D308" s="6">
        <v>26748663.080197</v>
      </c>
      <c r="E308" s="6">
        <f>D308*RPI_inc</f>
        <v>27259784.030774012</v>
      </c>
      <c r="F308" s="6"/>
      <c r="G308" s="6"/>
      <c r="H308" s="6"/>
      <c r="I308" s="6"/>
      <c r="J308" s="6">
        <v>514476.845914</v>
      </c>
      <c r="K308" s="6">
        <f>J308*RPI_inc</f>
        <v>524307.6136703185</v>
      </c>
      <c r="L308" s="6">
        <v>2840619.988943</v>
      </c>
      <c r="M308" s="6">
        <f>L308*RPI_inc</f>
        <v>2894899.351789044</v>
      </c>
      <c r="N308" s="6"/>
      <c r="O308" s="6"/>
      <c r="P308" s="6"/>
      <c r="Q308" s="6"/>
      <c r="R308" s="6"/>
      <c r="S308" s="6"/>
      <c r="T308" s="6"/>
      <c r="U308" s="6"/>
      <c r="V308" s="6">
        <v>52498.41181</v>
      </c>
      <c r="W308" s="6">
        <f>V308*RPI_inc</f>
        <v>53501.56617579618</v>
      </c>
      <c r="X308" s="6">
        <v>2689929.019515</v>
      </c>
      <c r="Y308" s="6">
        <f>X308*RPI_inc</f>
        <v>2741328.93708535</v>
      </c>
      <c r="Z308" s="14">
        <f>D308+F308+H308+J308+L308+N308+P308+R308+T308+V308+X308</f>
        <v>32846187.346378997</v>
      </c>
      <c r="AC308" s="14">
        <f>E308+G308+I308+K308+M308+O308+Q308+S308+U308+W308+Y308</f>
        <v>33473821.49949452</v>
      </c>
      <c r="AF308" s="51"/>
      <c r="AG308" s="6">
        <v>715632</v>
      </c>
      <c r="AH308" s="6">
        <f>AG308/$AG$680*$AH$680</f>
        <v>538821.1555482246</v>
      </c>
      <c r="AI308" s="6">
        <v>31960950.721434</v>
      </c>
      <c r="AJ308" s="6">
        <f>AI308/$AI$680*$AJ$680</f>
        <v>21907654.092622694</v>
      </c>
      <c r="AK308" s="6">
        <f>AJ308-AH308</f>
        <v>21368832.937074468</v>
      </c>
      <c r="AL308" s="6"/>
      <c r="AM308" s="6"/>
      <c r="AN308" s="6"/>
      <c r="AO308" s="6"/>
      <c r="AP308" s="6"/>
      <c r="AQ308" s="6"/>
      <c r="AR308" s="6">
        <v>743077.262412</v>
      </c>
      <c r="AS308" s="6">
        <f>AR308/$AR$680*$AS$680</f>
        <v>728456.268541858</v>
      </c>
      <c r="AT308" s="6">
        <v>3593150.839999</v>
      </c>
      <c r="AU308" s="6">
        <f>AT308/$AT$680*$AU$680</f>
        <v>2965440.169034341</v>
      </c>
      <c r="AV308" s="6"/>
      <c r="AW308" s="6"/>
      <c r="AX308" s="6"/>
      <c r="AY308" s="6"/>
      <c r="AZ308" s="6">
        <v>74473.184205</v>
      </c>
      <c r="BA308" s="6">
        <f>AZ308/$AZ$680*$BA$680</f>
        <v>72981.22194784034</v>
      </c>
      <c r="BB308" s="6">
        <v>3977530.59237</v>
      </c>
      <c r="BC308" s="6">
        <f>BB308/$BB$680*$BC$680</f>
        <v>3901085.1059587137</v>
      </c>
      <c r="BD308" s="6"/>
      <c r="BE308" s="6"/>
      <c r="BF308" s="6"/>
      <c r="BG308" s="6"/>
      <c r="BH308" s="6"/>
      <c r="BI308" s="6"/>
      <c r="BJ308" s="6">
        <v>62755239.84006</v>
      </c>
      <c r="BK308" s="6">
        <f>BJ308/BJ306*BI306</f>
        <v>525443.9607280232</v>
      </c>
      <c r="BL308" s="6">
        <f>BH308+BK308</f>
        <v>525443.9607280232</v>
      </c>
      <c r="BM308" s="6"/>
      <c r="BN308" s="6"/>
      <c r="BO308" s="6">
        <v>96225.83384</v>
      </c>
      <c r="BP308" s="6"/>
      <c r="BQ308" s="6">
        <f t="shared" si="15"/>
        <v>41686484.39498803</v>
      </c>
      <c r="BT308" s="6">
        <f t="shared" si="16"/>
        <v>30101060.81883347</v>
      </c>
      <c r="BW308" s="52"/>
      <c r="BX308" s="6">
        <f t="shared" si="13"/>
        <v>74532671.74136703</v>
      </c>
      <c r="BY308" s="6">
        <f t="shared" si="14"/>
        <v>63574882.31832799</v>
      </c>
    </row>
    <row r="309" spans="1:77" ht="12.75">
      <c r="A309" t="s">
        <v>942</v>
      </c>
      <c r="B309" t="s">
        <v>308</v>
      </c>
      <c r="K309"/>
      <c r="L309"/>
      <c r="V309"/>
      <c r="X309"/>
      <c r="Z309" s="12">
        <f>Z310+Z311</f>
        <v>49298916.02133201</v>
      </c>
      <c r="AC309" s="12">
        <f>AC310+AC311</f>
        <v>50240933.52492432</v>
      </c>
      <c r="AF309" s="52"/>
      <c r="AG309"/>
      <c r="AI309"/>
      <c r="AT309"/>
      <c r="AV309"/>
      <c r="AW309"/>
      <c r="AZ309"/>
      <c r="BB309"/>
      <c r="BI309"/>
      <c r="BJ309" s="1">
        <v>97001771.230818</v>
      </c>
      <c r="BQ309" s="1">
        <f>BQ310+BQ311</f>
        <v>60052299.246366</v>
      </c>
      <c r="BT309" s="1">
        <f>BT310+BT311</f>
        <v>42472826.697183676</v>
      </c>
      <c r="BW309" s="52"/>
      <c r="BX309" s="1">
        <f t="shared" si="13"/>
        <v>109351215.26769802</v>
      </c>
      <c r="BY309" s="1">
        <f t="shared" si="14"/>
        <v>92713760.222108</v>
      </c>
    </row>
    <row r="310" spans="1:77" ht="12.75">
      <c r="A310" s="3" t="s">
        <v>943</v>
      </c>
      <c r="B310" s="3" t="s">
        <v>309</v>
      </c>
      <c r="C310" s="3" t="s">
        <v>1346</v>
      </c>
      <c r="D310" s="3"/>
      <c r="E310" s="4"/>
      <c r="F310" s="4">
        <v>8487960.238827</v>
      </c>
      <c r="G310" s="4">
        <f>F310*RPI_inc</f>
        <v>8650150.56186191</v>
      </c>
      <c r="H310" s="4"/>
      <c r="I310" s="4"/>
      <c r="J310" s="4">
        <v>165235.678072</v>
      </c>
      <c r="K310" s="4">
        <f>J310*RPI_inc</f>
        <v>168393.0477166879</v>
      </c>
      <c r="L310" s="3"/>
      <c r="M310" s="4"/>
      <c r="N310" s="4"/>
      <c r="O310" s="4"/>
      <c r="P310" s="4"/>
      <c r="Q310" s="4"/>
      <c r="R310" s="4"/>
      <c r="S310" s="4"/>
      <c r="T310" s="4">
        <v>222728.075806</v>
      </c>
      <c r="U310" s="4">
        <f>T310*RPI_inc</f>
        <v>226984.0262991083</v>
      </c>
      <c r="V310" s="3"/>
      <c r="W310" s="4"/>
      <c r="X310" s="3"/>
      <c r="Y310" s="4"/>
      <c r="Z310" s="13">
        <f>D310+F310+H310+J310+L310+N310+P310+R310+T310+V310+X310</f>
        <v>8875923.992704999</v>
      </c>
      <c r="AC310" s="13">
        <f>E310+G310+I310+K310+M310+O310+Q310+S310+U310+W310+Y310</f>
        <v>9045527.635877706</v>
      </c>
      <c r="AF310" s="51"/>
      <c r="AG310" s="3"/>
      <c r="AH310" s="4"/>
      <c r="AI310" s="3"/>
      <c r="AJ310" s="4"/>
      <c r="AK310" s="4"/>
      <c r="AL310" s="4">
        <v>9377318.629311</v>
      </c>
      <c r="AM310" s="4">
        <f>AL310/$AL$680*$AM$680</f>
        <v>6278506.423608771</v>
      </c>
      <c r="AN310" s="4"/>
      <c r="AO310" s="4"/>
      <c r="AP310" s="4"/>
      <c r="AQ310" s="4"/>
      <c r="AR310" s="4">
        <v>238655.784589</v>
      </c>
      <c r="AS310" s="4">
        <f>AR310/$AR$680*$AS$680</f>
        <v>233959.92732077558</v>
      </c>
      <c r="AT310" s="3"/>
      <c r="AU310" s="4"/>
      <c r="AV310" s="4"/>
      <c r="AW310" s="4"/>
      <c r="AX310" s="4">
        <v>315957.538712</v>
      </c>
      <c r="AY310" s="4">
        <f>AX310/$AX$680*$AY$680</f>
        <v>309627.79307427804</v>
      </c>
      <c r="AZ310" s="3"/>
      <c r="BA310" s="4"/>
      <c r="BB310" s="3"/>
      <c r="BC310" s="4"/>
      <c r="BD310" s="4"/>
      <c r="BE310" s="4"/>
      <c r="BF310" s="4"/>
      <c r="BG310" s="4"/>
      <c r="BH310" s="4"/>
      <c r="BI310" s="4"/>
      <c r="BJ310" s="4">
        <v>18474335.834582</v>
      </c>
      <c r="BK310" s="4"/>
      <c r="BL310" s="4"/>
      <c r="BM310" s="4"/>
      <c r="BN310" s="4"/>
      <c r="BO310" s="4">
        <v>26002.810563</v>
      </c>
      <c r="BP310" s="4"/>
      <c r="BQ310" s="4">
        <f t="shared" si="15"/>
        <v>9957934.763175001</v>
      </c>
      <c r="BT310" s="4">
        <f t="shared" si="16"/>
        <v>6822094.144003824</v>
      </c>
      <c r="BW310" s="52"/>
      <c r="BX310" s="4">
        <f t="shared" si="13"/>
        <v>18833858.75588</v>
      </c>
      <c r="BY310" s="4">
        <f t="shared" si="14"/>
        <v>15867621.77988153</v>
      </c>
    </row>
    <row r="311" spans="1:77" ht="12.75">
      <c r="A311" s="5" t="s">
        <v>944</v>
      </c>
      <c r="B311" s="5" t="s">
        <v>310</v>
      </c>
      <c r="C311" s="5" t="s">
        <v>1346</v>
      </c>
      <c r="D311" s="6">
        <v>34324360.824452</v>
      </c>
      <c r="E311" s="6">
        <f>D311*RPI_inc</f>
        <v>34980240.330651715</v>
      </c>
      <c r="F311" s="6"/>
      <c r="G311" s="6"/>
      <c r="H311" s="6"/>
      <c r="I311" s="6"/>
      <c r="J311" s="6">
        <v>675654.476675</v>
      </c>
      <c r="K311" s="6">
        <f>J311*RPI_inc</f>
        <v>688565.0717707006</v>
      </c>
      <c r="L311" s="6">
        <v>3150264.27558</v>
      </c>
      <c r="M311" s="6">
        <f>L311*RPI_inc</f>
        <v>3210460.408234395</v>
      </c>
      <c r="N311" s="6"/>
      <c r="O311" s="6"/>
      <c r="P311" s="6"/>
      <c r="Q311" s="6"/>
      <c r="R311" s="6"/>
      <c r="S311" s="6"/>
      <c r="T311" s="6"/>
      <c r="U311" s="6"/>
      <c r="V311" s="6">
        <v>48832.890427</v>
      </c>
      <c r="W311" s="6">
        <f>V311*RPI_inc</f>
        <v>49766.00298292993</v>
      </c>
      <c r="X311" s="6">
        <v>2223879.561493</v>
      </c>
      <c r="Y311" s="6">
        <f>X311*RPI_inc</f>
        <v>2266374.075406879</v>
      </c>
      <c r="Z311" s="14">
        <f>D311+F311+H311+J311+L311+N311+P311+R311+T311+V311+X311</f>
        <v>40422992.02862701</v>
      </c>
      <c r="AC311" s="14">
        <f>E311+G311+I311+K311+M311+O311+Q311+S311+U311+W311+Y311</f>
        <v>41195405.88904662</v>
      </c>
      <c r="AF311" s="51"/>
      <c r="AG311" s="6">
        <v>644715</v>
      </c>
      <c r="AH311" s="6">
        <f>AG311/$AG$680*$AH$680</f>
        <v>485425.5836788651</v>
      </c>
      <c r="AI311" s="6">
        <v>41012861.149953</v>
      </c>
      <c r="AJ311" s="6">
        <f>AI311/$AI$680*$AJ$680</f>
        <v>28112291.87933309</v>
      </c>
      <c r="AK311" s="6">
        <f>AJ311-AH311</f>
        <v>27626866.295654226</v>
      </c>
      <c r="AL311" s="6"/>
      <c r="AM311" s="6"/>
      <c r="AN311" s="6"/>
      <c r="AO311" s="6"/>
      <c r="AP311" s="6"/>
      <c r="AQ311" s="6"/>
      <c r="AR311" s="6">
        <v>975871.864501</v>
      </c>
      <c r="AS311" s="6">
        <f>AR311/$AR$680*$AS$680</f>
        <v>956670.3396116513</v>
      </c>
      <c r="AT311" s="6">
        <v>3984825.415607</v>
      </c>
      <c r="AU311" s="6">
        <f>AT311/$AT$680*$AU$680</f>
        <v>3288690.5894641615</v>
      </c>
      <c r="AV311" s="6"/>
      <c r="AW311" s="6"/>
      <c r="AX311" s="6"/>
      <c r="AY311" s="6"/>
      <c r="AZ311" s="6">
        <v>69273.349776</v>
      </c>
      <c r="BA311" s="6">
        <f>AZ311/$AZ$680*$BA$680</f>
        <v>67885.55866170692</v>
      </c>
      <c r="BB311" s="6">
        <v>3288394.944778</v>
      </c>
      <c r="BC311" s="6">
        <f>BB311/$BB$680*$BC$680</f>
        <v>3225194.1861092444</v>
      </c>
      <c r="BD311" s="6"/>
      <c r="BE311" s="6"/>
      <c r="BF311" s="6"/>
      <c r="BG311" s="6"/>
      <c r="BH311" s="6"/>
      <c r="BI311" s="6"/>
      <c r="BJ311" s="6">
        <v>78527435.396236</v>
      </c>
      <c r="BK311" s="6"/>
      <c r="BL311" s="6"/>
      <c r="BM311" s="6"/>
      <c r="BN311" s="6"/>
      <c r="BO311" s="6">
        <v>118422.758576</v>
      </c>
      <c r="BP311" s="6"/>
      <c r="BQ311" s="6">
        <f t="shared" si="15"/>
        <v>50094364.483191</v>
      </c>
      <c r="BT311" s="6">
        <f t="shared" si="16"/>
        <v>35650732.55317985</v>
      </c>
      <c r="BW311" s="52"/>
      <c r="BX311" s="6">
        <f t="shared" si="13"/>
        <v>90517356.511818</v>
      </c>
      <c r="BY311" s="6">
        <f t="shared" si="14"/>
        <v>76846138.44222647</v>
      </c>
    </row>
    <row r="312" spans="1:77" ht="12.75">
      <c r="A312" t="s">
        <v>945</v>
      </c>
      <c r="B312" t="s">
        <v>311</v>
      </c>
      <c r="K312"/>
      <c r="L312"/>
      <c r="V312"/>
      <c r="X312"/>
      <c r="Z312" s="12">
        <f>Z313+Z314</f>
        <v>90241558.348792</v>
      </c>
      <c r="AC312" s="12">
        <f>AC313+AC314</f>
        <v>91965919.33634855</v>
      </c>
      <c r="AF312" s="52"/>
      <c r="AG312"/>
      <c r="AI312"/>
      <c r="AT312"/>
      <c r="AV312"/>
      <c r="AW312"/>
      <c r="AZ312"/>
      <c r="BB312"/>
      <c r="BI312"/>
      <c r="BJ312" s="1">
        <v>187496589.337689</v>
      </c>
      <c r="BQ312" s="1">
        <f>BQ313+BQ314</f>
        <v>110568983.68586</v>
      </c>
      <c r="BT312" s="1">
        <f>BT313+BT314</f>
        <v>77430904.93768577</v>
      </c>
      <c r="BW312" s="52"/>
      <c r="BX312" s="1">
        <f t="shared" si="13"/>
        <v>200810542.034652</v>
      </c>
      <c r="BY312" s="1">
        <f t="shared" si="14"/>
        <v>169396824.27403432</v>
      </c>
    </row>
    <row r="313" spans="1:77" ht="12.75">
      <c r="A313" s="3" t="s">
        <v>946</v>
      </c>
      <c r="B313" s="3" t="s">
        <v>312</v>
      </c>
      <c r="C313" s="3" t="s">
        <v>1346</v>
      </c>
      <c r="D313" s="3"/>
      <c r="E313" s="4"/>
      <c r="F313" s="4">
        <v>15124686.429717</v>
      </c>
      <c r="G313" s="4">
        <f>F313*RPI_inc</f>
        <v>15413693.176781656</v>
      </c>
      <c r="H313" s="4"/>
      <c r="I313" s="4"/>
      <c r="J313" s="4">
        <v>171134.185832</v>
      </c>
      <c r="K313" s="4">
        <f>J313*RPI_inc</f>
        <v>174404.26581605093</v>
      </c>
      <c r="L313" s="3"/>
      <c r="M313" s="4"/>
      <c r="N313" s="4"/>
      <c r="O313" s="4"/>
      <c r="P313" s="4"/>
      <c r="Q313" s="4"/>
      <c r="R313" s="4"/>
      <c r="S313" s="4"/>
      <c r="T313" s="4">
        <v>219690.580419</v>
      </c>
      <c r="U313" s="4">
        <f>T313*RPI_inc</f>
        <v>223888.4895989809</v>
      </c>
      <c r="V313" s="3"/>
      <c r="W313" s="4"/>
      <c r="X313" s="3"/>
      <c r="Y313" s="4"/>
      <c r="Z313" s="13">
        <f>D313+F313+H313+J313+L313+N313+P313+R313+T313+V313+X313</f>
        <v>15515511.195968</v>
      </c>
      <c r="AC313" s="13">
        <f>E313+G313+I313+K313+M313+O313+Q313+S313+U313+W313+Y313</f>
        <v>15811985.932196688</v>
      </c>
      <c r="AF313" s="51"/>
      <c r="AG313" s="3"/>
      <c r="AH313" s="4"/>
      <c r="AI313" s="3"/>
      <c r="AJ313" s="4"/>
      <c r="AK313" s="4"/>
      <c r="AL313" s="4">
        <v>16709433.10633</v>
      </c>
      <c r="AM313" s="4">
        <f>AL313/$AL$680*$AM$680</f>
        <v>11187663.258560112</v>
      </c>
      <c r="AN313" s="4"/>
      <c r="AO313" s="4"/>
      <c r="AP313" s="4"/>
      <c r="AQ313" s="4"/>
      <c r="AR313" s="4">
        <v>247175.209776</v>
      </c>
      <c r="AS313" s="4">
        <f>AR313/$AR$680*$AS$680</f>
        <v>242311.72193995016</v>
      </c>
      <c r="AT313" s="3"/>
      <c r="AU313" s="4"/>
      <c r="AV313" s="4"/>
      <c r="AW313" s="4"/>
      <c r="AX313" s="4">
        <v>311648.609258</v>
      </c>
      <c r="AY313" s="4">
        <f>AX313/$AX$680*$AY$680</f>
        <v>305405.18669877114</v>
      </c>
      <c r="AZ313" s="3"/>
      <c r="BA313" s="4"/>
      <c r="BB313" s="3"/>
      <c r="BC313" s="4"/>
      <c r="BD313" s="4"/>
      <c r="BE313" s="4"/>
      <c r="BF313" s="4"/>
      <c r="BG313" s="4"/>
      <c r="BH313" s="4"/>
      <c r="BI313" s="4"/>
      <c r="BJ313" s="4">
        <v>34467328.983329</v>
      </c>
      <c r="BK313" s="4"/>
      <c r="BL313" s="4"/>
      <c r="BM313" s="4"/>
      <c r="BN313" s="4"/>
      <c r="BO313" s="4">
        <v>45454.073148</v>
      </c>
      <c r="BP313" s="4"/>
      <c r="BQ313" s="4">
        <f t="shared" si="15"/>
        <v>17313710.998512</v>
      </c>
      <c r="BT313" s="4">
        <f t="shared" si="16"/>
        <v>11735380.167198833</v>
      </c>
      <c r="BW313" s="52"/>
      <c r="BX313" s="4">
        <f t="shared" si="13"/>
        <v>32829222.194480002</v>
      </c>
      <c r="BY313" s="4">
        <f t="shared" si="14"/>
        <v>27547366.09939552</v>
      </c>
    </row>
    <row r="314" spans="1:77" ht="12.75">
      <c r="A314" s="5" t="s">
        <v>947</v>
      </c>
      <c r="B314" s="5" t="s">
        <v>313</v>
      </c>
      <c r="C314" s="5" t="s">
        <v>1346</v>
      </c>
      <c r="D314" s="6">
        <v>63982738.174725</v>
      </c>
      <c r="E314" s="6">
        <f>D314*RPI_inc</f>
        <v>65205338.267235674</v>
      </c>
      <c r="F314" s="6"/>
      <c r="G314" s="6"/>
      <c r="H314" s="6"/>
      <c r="I314" s="6"/>
      <c r="J314" s="6">
        <v>782818.161418</v>
      </c>
      <c r="K314" s="6">
        <f>J314*RPI_inc</f>
        <v>797776.4702349044</v>
      </c>
      <c r="L314" s="6">
        <v>5556829.137776</v>
      </c>
      <c r="M314" s="6">
        <f>L314*RPI_inc</f>
        <v>5663010.586268536</v>
      </c>
      <c r="N314" s="6"/>
      <c r="O314" s="6"/>
      <c r="P314" s="6"/>
      <c r="Q314" s="6"/>
      <c r="R314" s="6"/>
      <c r="S314" s="6"/>
      <c r="T314" s="6"/>
      <c r="U314" s="6"/>
      <c r="V314" s="6">
        <v>56163.933193</v>
      </c>
      <c r="W314" s="6">
        <f>V314*RPI_inc</f>
        <v>57237.12936866242</v>
      </c>
      <c r="X314" s="6">
        <v>4347497.745712</v>
      </c>
      <c r="Y314" s="6">
        <f>X314*RPI_inc</f>
        <v>4430570.951044076</v>
      </c>
      <c r="Z314" s="14">
        <f>D314+F314+H314+J314+L314+N314+P314+R314+T314+V314+X314</f>
        <v>74726047.152824</v>
      </c>
      <c r="AC314" s="14">
        <f>E314+G314+I314+K314+M314+O314+Q314+S314+U314+W314+Y314</f>
        <v>76153933.40415186</v>
      </c>
      <c r="AF314" s="51"/>
      <c r="AG314" s="6">
        <v>1918045</v>
      </c>
      <c r="AH314" s="6">
        <f>AG314/$AG$680*$AH$680</f>
        <v>1444154.5700772107</v>
      </c>
      <c r="AI314" s="6">
        <v>76450517.758351</v>
      </c>
      <c r="AJ314" s="6">
        <f>AI314/$AI$680*$AJ$680</f>
        <v>52403056.243525796</v>
      </c>
      <c r="AK314" s="6">
        <f>AJ314-AH314</f>
        <v>50958901.673448585</v>
      </c>
      <c r="AL314" s="6"/>
      <c r="AM314" s="6"/>
      <c r="AN314" s="6"/>
      <c r="AO314" s="6"/>
      <c r="AP314" s="6"/>
      <c r="AQ314" s="6"/>
      <c r="AR314" s="6">
        <v>1130652.197418</v>
      </c>
      <c r="AS314" s="6">
        <f>AR314/$AR$680*$AS$680</f>
        <v>1108405.1718609922</v>
      </c>
      <c r="AT314" s="6">
        <v>7028932.191513</v>
      </c>
      <c r="AU314" s="6">
        <f>AT314/$AT$680*$AU$680</f>
        <v>5801002.739461122</v>
      </c>
      <c r="AV314" s="6"/>
      <c r="AW314" s="6"/>
      <c r="AX314" s="6"/>
      <c r="AY314" s="6"/>
      <c r="AZ314" s="6">
        <v>79673.018633</v>
      </c>
      <c r="BA314" s="6">
        <f>AZ314/$AZ$680*$BA$680</f>
        <v>78076.88523299382</v>
      </c>
      <c r="BB314" s="6">
        <v>6428535.904992</v>
      </c>
      <c r="BC314" s="6">
        <f>BB314/$BB$680*$BC$680</f>
        <v>6304983.73040603</v>
      </c>
      <c r="BD314" s="6"/>
      <c r="BE314" s="6"/>
      <c r="BF314" s="6"/>
      <c r="BG314" s="6"/>
      <c r="BH314" s="6"/>
      <c r="BI314" s="6"/>
      <c r="BJ314" s="6">
        <v>153029260.35436</v>
      </c>
      <c r="BK314" s="6"/>
      <c r="BL314" s="6"/>
      <c r="BM314" s="6"/>
      <c r="BN314" s="6"/>
      <c r="BO314" s="6">
        <v>218916.616441</v>
      </c>
      <c r="BP314" s="6"/>
      <c r="BQ314" s="6">
        <f t="shared" si="15"/>
        <v>93255272.687348</v>
      </c>
      <c r="BT314" s="6">
        <f t="shared" si="16"/>
        <v>65695524.770486936</v>
      </c>
      <c r="BW314" s="52"/>
      <c r="BX314" s="6">
        <f t="shared" si="13"/>
        <v>167981319.840172</v>
      </c>
      <c r="BY314" s="6">
        <f t="shared" si="14"/>
        <v>141849458.1746388</v>
      </c>
    </row>
    <row r="315" spans="1:77" ht="12.75">
      <c r="A315" t="s">
        <v>948</v>
      </c>
      <c r="B315" t="s">
        <v>314</v>
      </c>
      <c r="K315"/>
      <c r="L315"/>
      <c r="V315"/>
      <c r="X315"/>
      <c r="Z315" s="12">
        <f>Z316+Z317</f>
        <v>3967144.912741</v>
      </c>
      <c r="AC315" s="12">
        <f>AC316+AC317</f>
        <v>4042950.2295449683</v>
      </c>
      <c r="AF315" s="52"/>
      <c r="AG315"/>
      <c r="AI315"/>
      <c r="AT315"/>
      <c r="AV315"/>
      <c r="AW315"/>
      <c r="AZ315"/>
      <c r="BB315"/>
      <c r="BI315">
        <v>216937</v>
      </c>
      <c r="BJ315" s="1">
        <v>7520961.978298</v>
      </c>
      <c r="BQ315" s="1">
        <f>BQ316+BQ317</f>
        <v>5362579.237159745</v>
      </c>
      <c r="BT315" s="1">
        <f>BT316+BT317</f>
        <v>4072577.89289412</v>
      </c>
      <c r="BW315" s="52"/>
      <c r="BX315" s="1">
        <f t="shared" si="13"/>
        <v>9329724.149900746</v>
      </c>
      <c r="BY315" s="1">
        <f t="shared" si="14"/>
        <v>8115528.122439088</v>
      </c>
    </row>
    <row r="316" spans="1:77" ht="12.75">
      <c r="A316" s="3" t="s">
        <v>949</v>
      </c>
      <c r="B316" s="3" t="s">
        <v>315</v>
      </c>
      <c r="C316" s="3" t="s">
        <v>1346</v>
      </c>
      <c r="D316" s="3"/>
      <c r="E316" s="4"/>
      <c r="F316" s="4">
        <v>861608.06912</v>
      </c>
      <c r="G316" s="4">
        <f>F316*RPI_inc</f>
        <v>878071.9175745223</v>
      </c>
      <c r="H316" s="4"/>
      <c r="I316" s="4"/>
      <c r="J316" s="4">
        <v>53040.099131</v>
      </c>
      <c r="K316" s="4">
        <f>J316*RPI_inc</f>
        <v>54053.60420993631</v>
      </c>
      <c r="L316" s="3"/>
      <c r="M316" s="4"/>
      <c r="N316" s="4"/>
      <c r="O316" s="4"/>
      <c r="P316" s="4"/>
      <c r="Q316" s="4"/>
      <c r="R316" s="4"/>
      <c r="S316" s="4"/>
      <c r="T316" s="4">
        <v>20364.007684</v>
      </c>
      <c r="U316" s="4">
        <f>T316*RPI_inc</f>
        <v>20753.128849936307</v>
      </c>
      <c r="V316" s="3"/>
      <c r="W316" s="4"/>
      <c r="X316" s="3"/>
      <c r="Y316" s="4"/>
      <c r="Z316" s="13">
        <f>D316+F316+H316+J316+L316+N316+P316+R316+T316+V316+X316</f>
        <v>935012.175935</v>
      </c>
      <c r="AC316" s="13">
        <f>E316+G316+I316+K316+M316+O316+Q316+S316+U316+W316+Y316</f>
        <v>952878.650634395</v>
      </c>
      <c r="AF316" s="51"/>
      <c r="AG316" s="3"/>
      <c r="AH316" s="4"/>
      <c r="AI316" s="3"/>
      <c r="AJ316" s="4"/>
      <c r="AK316" s="4"/>
      <c r="AL316" s="4">
        <v>951886.339049</v>
      </c>
      <c r="AM316" s="4">
        <f>AL316/$AL$680*$AM$680</f>
        <v>637327.6552194643</v>
      </c>
      <c r="AN316" s="4"/>
      <c r="AO316" s="4"/>
      <c r="AP316" s="4"/>
      <c r="AQ316" s="4"/>
      <c r="AR316" s="4">
        <v>76607.70737</v>
      </c>
      <c r="AS316" s="4">
        <f>AR316/$AR$680*$AS$680</f>
        <v>75100.35291775009</v>
      </c>
      <c r="AT316" s="3"/>
      <c r="AU316" s="4"/>
      <c r="AV316" s="4"/>
      <c r="AW316" s="4"/>
      <c r="AX316" s="4">
        <v>28887.968986</v>
      </c>
      <c r="AY316" s="4">
        <f>AX316/$AX$680*$AY$680</f>
        <v>28309.240918876858</v>
      </c>
      <c r="AZ316" s="3"/>
      <c r="BA316" s="4"/>
      <c r="BB316" s="3"/>
      <c r="BC316" s="4"/>
      <c r="BD316" s="4">
        <v>21173.466834</v>
      </c>
      <c r="BE316" s="4">
        <f>BD316/BD$680*BE$680</f>
        <v>30088.614041711513</v>
      </c>
      <c r="BF316" s="4">
        <v>4457.568818530816</v>
      </c>
      <c r="BG316" s="4">
        <f>BE316+BF316</f>
        <v>34546.18286024233</v>
      </c>
      <c r="BH316" s="4">
        <v>55105.766162</v>
      </c>
      <c r="BI316" s="4"/>
      <c r="BJ316" s="4">
        <v>1969633.788246</v>
      </c>
      <c r="BK316" s="4">
        <f>BJ316/BJ315*BI315</f>
        <v>56812.7383642774</v>
      </c>
      <c r="BL316" s="4">
        <f>BH316+BK316</f>
        <v>111918.5045262774</v>
      </c>
      <c r="BM316" s="4"/>
      <c r="BN316" s="4"/>
      <c r="BO316" s="4">
        <v>2739.201519</v>
      </c>
      <c r="BP316" s="4"/>
      <c r="BQ316" s="4">
        <f t="shared" si="15"/>
        <v>1197670.7571028082</v>
      </c>
      <c r="BT316" s="4">
        <f t="shared" si="16"/>
        <v>887201.936442611</v>
      </c>
      <c r="BW316" s="52"/>
      <c r="BX316" s="4">
        <f t="shared" si="13"/>
        <v>2132682.933037808</v>
      </c>
      <c r="BY316" s="4">
        <f t="shared" si="14"/>
        <v>1840080.587077006</v>
      </c>
    </row>
    <row r="317" spans="1:77" ht="12.75">
      <c r="A317" s="5" t="s">
        <v>950</v>
      </c>
      <c r="B317" s="5" t="s">
        <v>316</v>
      </c>
      <c r="C317" s="5" t="s">
        <v>1346</v>
      </c>
      <c r="D317" s="6">
        <v>2264664.172141</v>
      </c>
      <c r="E317" s="6">
        <f>D317*RPI_inc</f>
        <v>2307938.009825223</v>
      </c>
      <c r="F317" s="6"/>
      <c r="G317" s="6"/>
      <c r="H317" s="6"/>
      <c r="I317" s="6"/>
      <c r="J317" s="6">
        <v>159112.947484</v>
      </c>
      <c r="K317" s="6">
        <f>J317*RPI_inc</f>
        <v>162153.3222766879</v>
      </c>
      <c r="L317" s="6">
        <v>535288.33577</v>
      </c>
      <c r="M317" s="6">
        <f>L317*RPI_inc</f>
        <v>545516.7753070063</v>
      </c>
      <c r="N317" s="6"/>
      <c r="O317" s="6"/>
      <c r="P317" s="6"/>
      <c r="Q317" s="6"/>
      <c r="R317" s="6"/>
      <c r="S317" s="6"/>
      <c r="T317" s="6"/>
      <c r="U317" s="6"/>
      <c r="V317" s="6">
        <v>45778.289274</v>
      </c>
      <c r="W317" s="6">
        <f>V317*RPI_inc</f>
        <v>46653.033655031846</v>
      </c>
      <c r="X317" s="6">
        <v>27288.992137</v>
      </c>
      <c r="Y317" s="6">
        <f>X317*RPI_inc</f>
        <v>27810.437846624205</v>
      </c>
      <c r="Z317" s="14">
        <f>D317+F317+H317+J317+L317+N317+P317+R317+T317+V317+X317</f>
        <v>3032132.736806</v>
      </c>
      <c r="AC317" s="14">
        <f>E317+G317+I317+K317+M317+O317+Q317+S317+U317+W317+Y317</f>
        <v>3090071.5789105734</v>
      </c>
      <c r="AF317" s="51"/>
      <c r="AG317" s="6">
        <v>27593</v>
      </c>
      <c r="AH317" s="6">
        <f>AG317/$AG$680*$AH$680</f>
        <v>20775.61113119894</v>
      </c>
      <c r="AI317" s="6">
        <v>2705960.286292</v>
      </c>
      <c r="AJ317" s="6">
        <f>AI317/$AI$680*$AJ$680</f>
        <v>1854802.2071415912</v>
      </c>
      <c r="AK317" s="6">
        <f>AJ317-AH317</f>
        <v>1834026.5960103923</v>
      </c>
      <c r="AL317" s="6"/>
      <c r="AM317" s="6"/>
      <c r="AN317" s="6"/>
      <c r="AO317" s="6"/>
      <c r="AP317" s="6"/>
      <c r="AQ317" s="6"/>
      <c r="AR317" s="6">
        <v>229812.506374</v>
      </c>
      <c r="AS317" s="6">
        <f>AR317/$AR$680*$AS$680</f>
        <v>225290.65189540983</v>
      </c>
      <c r="AT317" s="6">
        <v>677095.754026</v>
      </c>
      <c r="AU317" s="6">
        <f>AT317/$AT$680*$AU$680</f>
        <v>558809.534217009</v>
      </c>
      <c r="AV317" s="6"/>
      <c r="AW317" s="6"/>
      <c r="AX317" s="6"/>
      <c r="AY317" s="6"/>
      <c r="AZ317" s="6">
        <v>64940.154419</v>
      </c>
      <c r="BA317" s="6">
        <f>AZ317/$AZ$680*$BA$680</f>
        <v>63639.172590419046</v>
      </c>
      <c r="BB317" s="6">
        <v>40351.548414</v>
      </c>
      <c r="BC317" s="6">
        <f>BB317/$BB$680*$BC$680</f>
        <v>39576.01855336885</v>
      </c>
      <c r="BD317" s="6">
        <v>78341.827284</v>
      </c>
      <c r="BE317" s="6">
        <f>BD317/BD$680*BE$680</f>
        <v>111327.8719517747</v>
      </c>
      <c r="BF317" s="6">
        <v>16493.004628185074</v>
      </c>
      <c r="BG317" s="6">
        <f>BE317+BF317</f>
        <v>127820.87657995976</v>
      </c>
      <c r="BH317" s="6">
        <v>155313.233838</v>
      </c>
      <c r="BI317" s="6"/>
      <c r="BJ317" s="6">
        <v>5551328.190053</v>
      </c>
      <c r="BK317" s="6">
        <f>BJ317/BJ315*BI315</f>
        <v>160124.26163575143</v>
      </c>
      <c r="BL317" s="6">
        <f>BH317+BK317</f>
        <v>315437.49547375145</v>
      </c>
      <c r="BM317" s="6"/>
      <c r="BN317" s="6"/>
      <c r="BO317" s="6">
        <v>8882.903146</v>
      </c>
      <c r="BP317" s="6"/>
      <c r="BQ317" s="6">
        <f t="shared" si="15"/>
        <v>4164908.4800569364</v>
      </c>
      <c r="BT317" s="6">
        <f t="shared" si="16"/>
        <v>3185375.956451509</v>
      </c>
      <c r="BW317" s="52"/>
      <c r="BX317" s="6">
        <f t="shared" si="13"/>
        <v>7197041.2168629365</v>
      </c>
      <c r="BY317" s="6">
        <f t="shared" si="14"/>
        <v>6275447.5353620825</v>
      </c>
    </row>
    <row r="318" spans="1:77" ht="12.75">
      <c r="A318" t="s">
        <v>951</v>
      </c>
      <c r="B318" t="s">
        <v>317</v>
      </c>
      <c r="K318"/>
      <c r="L318"/>
      <c r="V318"/>
      <c r="X318"/>
      <c r="Z318" s="12">
        <f>Z319+Z320</f>
        <v>64896216.582811005</v>
      </c>
      <c r="AC318" s="12">
        <f>AC319+AC320</f>
        <v>66136271.676750064</v>
      </c>
      <c r="AF318" s="52"/>
      <c r="AG318"/>
      <c r="AI318"/>
      <c r="AT318"/>
      <c r="AV318"/>
      <c r="AW318"/>
      <c r="AZ318"/>
      <c r="BB318"/>
      <c r="BI318">
        <v>846640</v>
      </c>
      <c r="BJ318" s="1">
        <v>125517154.634225</v>
      </c>
      <c r="BQ318" s="1">
        <f>BQ319+BQ320</f>
        <v>81930198.45458001</v>
      </c>
      <c r="BT318" s="1">
        <f>BT319+BT320</f>
        <v>58938956.98889412</v>
      </c>
      <c r="BW318" s="52"/>
      <c r="BX318" s="1">
        <f t="shared" si="13"/>
        <v>146826415.037391</v>
      </c>
      <c r="BY318" s="1">
        <f t="shared" si="14"/>
        <v>125075228.66564418</v>
      </c>
    </row>
    <row r="319" spans="1:77" ht="12.75">
      <c r="A319" s="3" t="s">
        <v>952</v>
      </c>
      <c r="B319" s="3" t="s">
        <v>318</v>
      </c>
      <c r="C319" s="3" t="s">
        <v>1346</v>
      </c>
      <c r="D319" s="3"/>
      <c r="E319" s="4"/>
      <c r="F319" s="4">
        <v>8352232.640652</v>
      </c>
      <c r="G319" s="4">
        <f>F319*RPI_inc</f>
        <v>8511829.442702675</v>
      </c>
      <c r="H319" s="4"/>
      <c r="I319" s="4"/>
      <c r="J319" s="4">
        <v>121260.733083</v>
      </c>
      <c r="K319" s="4">
        <f>J319*RPI_inc</f>
        <v>123577.81715464967</v>
      </c>
      <c r="L319" s="3"/>
      <c r="M319" s="4"/>
      <c r="N319" s="4"/>
      <c r="O319" s="4"/>
      <c r="P319" s="4"/>
      <c r="Q319" s="4"/>
      <c r="R319" s="4"/>
      <c r="S319" s="4"/>
      <c r="T319" s="4">
        <v>255167.125486</v>
      </c>
      <c r="U319" s="4">
        <f>T319*RPI_inc</f>
        <v>260042.93043159237</v>
      </c>
      <c r="V319" s="3"/>
      <c r="W319" s="4"/>
      <c r="X319" s="3"/>
      <c r="Y319" s="4"/>
      <c r="Z319" s="13">
        <f>D319+F319+H319+J319+L319+N319+P319+R319+T319+V319+X319</f>
        <v>8728660.499220999</v>
      </c>
      <c r="AC319" s="13">
        <f>E319+G319+I319+K319+M319+O319+Q319+S319+U319+W319+Y319</f>
        <v>8895450.190288918</v>
      </c>
      <c r="AF319" s="51"/>
      <c r="AG319" s="3"/>
      <c r="AH319" s="4"/>
      <c r="AI319" s="3"/>
      <c r="AJ319" s="4"/>
      <c r="AK319" s="4"/>
      <c r="AL319" s="4">
        <v>9227369.654638</v>
      </c>
      <c r="AM319" s="4">
        <f>AL319/$AL$680*$AM$680</f>
        <v>6178109.32312471</v>
      </c>
      <c r="AN319" s="4"/>
      <c r="AO319" s="4"/>
      <c r="AP319" s="4"/>
      <c r="AQ319" s="4"/>
      <c r="AR319" s="4">
        <v>175141.202744</v>
      </c>
      <c r="AS319" s="4">
        <f>AR319/$AR$680*$AS$680</f>
        <v>171695.07596652702</v>
      </c>
      <c r="AT319" s="3"/>
      <c r="AU319" s="4"/>
      <c r="AV319" s="4"/>
      <c r="AW319" s="4"/>
      <c r="AX319" s="4">
        <v>361974.917788</v>
      </c>
      <c r="AY319" s="4">
        <f>AX319/$AX$680*$AY$680</f>
        <v>354723.28148847236</v>
      </c>
      <c r="AZ319" s="3"/>
      <c r="BA319" s="4"/>
      <c r="BB319" s="3"/>
      <c r="BC319" s="4"/>
      <c r="BD319" s="4"/>
      <c r="BE319" s="4"/>
      <c r="BF319" s="4"/>
      <c r="BG319" s="4"/>
      <c r="BH319" s="4">
        <v>122173.918743</v>
      </c>
      <c r="BI319" s="4"/>
      <c r="BJ319" s="4">
        <v>18114951.852046</v>
      </c>
      <c r="BK319" s="4">
        <f>BJ319/BJ318*BI318</f>
        <v>122189.21692982914</v>
      </c>
      <c r="BL319" s="4">
        <f>BH319+BK319</f>
        <v>244363.13567282914</v>
      </c>
      <c r="BM319" s="4"/>
      <c r="BN319" s="4"/>
      <c r="BO319" s="4">
        <v>25571.389032</v>
      </c>
      <c r="BP319" s="4"/>
      <c r="BQ319" s="4">
        <f t="shared" si="15"/>
        <v>10034420.29987483</v>
      </c>
      <c r="BT319" s="4">
        <f t="shared" si="16"/>
        <v>6948890.816252538</v>
      </c>
      <c r="BW319" s="52"/>
      <c r="BX319" s="4">
        <f t="shared" si="13"/>
        <v>18763080.799095828</v>
      </c>
      <c r="BY319" s="4">
        <f t="shared" si="14"/>
        <v>15844341.006541457</v>
      </c>
    </row>
    <row r="320" spans="1:77" ht="12.75">
      <c r="A320" s="5" t="s">
        <v>953</v>
      </c>
      <c r="B320" s="5" t="s">
        <v>319</v>
      </c>
      <c r="C320" s="5" t="s">
        <v>1346</v>
      </c>
      <c r="D320" s="6">
        <v>46268490.284137</v>
      </c>
      <c r="E320" s="6">
        <f>D320*RPI_inc</f>
        <v>47152601.56345172</v>
      </c>
      <c r="F320" s="6"/>
      <c r="G320" s="6"/>
      <c r="H320" s="6"/>
      <c r="I320" s="6"/>
      <c r="J320" s="6">
        <v>708987.191248</v>
      </c>
      <c r="K320" s="6">
        <f>J320*RPI_inc</f>
        <v>722534.717195414</v>
      </c>
      <c r="L320" s="6">
        <v>4140580.978476</v>
      </c>
      <c r="M320" s="6">
        <f>L320*RPI_inc</f>
        <v>4219700.360230318</v>
      </c>
      <c r="N320" s="6"/>
      <c r="O320" s="6"/>
      <c r="P320" s="6"/>
      <c r="Q320" s="6"/>
      <c r="R320" s="6"/>
      <c r="S320" s="6"/>
      <c r="T320" s="6"/>
      <c r="U320" s="6"/>
      <c r="V320" s="6">
        <v>49158.71455</v>
      </c>
      <c r="W320" s="6">
        <f>V320*RPI_inc</f>
        <v>50098.053044585984</v>
      </c>
      <c r="X320" s="6">
        <v>5000338.915179</v>
      </c>
      <c r="Y320" s="6">
        <f>X320*RPI_inc</f>
        <v>5095886.792539109</v>
      </c>
      <c r="Z320" s="14">
        <f>D320+F320+H320+J320+L320+N320+P320+R320+T320+V320+X320</f>
        <v>56167556.08359001</v>
      </c>
      <c r="AC320" s="14">
        <f>E320+G320+I320+K320+M320+O320+Q320+S320+U320+W320+Y320</f>
        <v>57240821.48646115</v>
      </c>
      <c r="AF320" s="51"/>
      <c r="AG320" s="6">
        <v>1272855</v>
      </c>
      <c r="AH320" s="6">
        <f>AG320/$AG$680*$AH$680</f>
        <v>958371.3444135189</v>
      </c>
      <c r="AI320" s="6">
        <v>55284442.945532</v>
      </c>
      <c r="AJ320" s="6">
        <f>AI320/$AI$680*$AJ$680</f>
        <v>37894756.73956763</v>
      </c>
      <c r="AK320" s="6">
        <f>AJ320-AH320</f>
        <v>36936385.39515411</v>
      </c>
      <c r="AL320" s="6"/>
      <c r="AM320" s="6"/>
      <c r="AN320" s="6"/>
      <c r="AO320" s="6"/>
      <c r="AP320" s="6"/>
      <c r="AQ320" s="6"/>
      <c r="AR320" s="6">
        <v>1024015.493297</v>
      </c>
      <c r="AS320" s="6">
        <f>AR320/$AR$680*$AS$680</f>
        <v>1003866.6810431746</v>
      </c>
      <c r="AT320" s="6">
        <v>5237494.659197</v>
      </c>
      <c r="AU320" s="6">
        <f>AT320/$AT$680*$AU$680</f>
        <v>4322522.971924532</v>
      </c>
      <c r="AV320" s="6"/>
      <c r="AW320" s="6"/>
      <c r="AX320" s="6"/>
      <c r="AY320" s="6"/>
      <c r="AZ320" s="6">
        <v>69735.557281</v>
      </c>
      <c r="BA320" s="6">
        <f>AZ320/$AZ$680*$BA$680</f>
        <v>68338.50650955921</v>
      </c>
      <c r="BB320" s="6">
        <v>7393875.772578</v>
      </c>
      <c r="BC320" s="6">
        <f>BB320/$BB$680*$BC$680</f>
        <v>7251770.4092695145</v>
      </c>
      <c r="BD320" s="6"/>
      <c r="BE320" s="6"/>
      <c r="BF320" s="6"/>
      <c r="BG320" s="6"/>
      <c r="BH320" s="6">
        <v>724360.081257</v>
      </c>
      <c r="BI320" s="6"/>
      <c r="BJ320" s="6">
        <v>107402202.782179</v>
      </c>
      <c r="BK320" s="6">
        <f>BJ320/BJ318*BI318</f>
        <v>724450.7830701709</v>
      </c>
      <c r="BL320" s="6">
        <f>BH320+BK320</f>
        <v>1448810.864327171</v>
      </c>
      <c r="BM320" s="6"/>
      <c r="BN320" s="6"/>
      <c r="BO320" s="6">
        <v>164547.862493</v>
      </c>
      <c r="BP320" s="6"/>
      <c r="BQ320" s="6">
        <f t="shared" si="15"/>
        <v>71895778.15470518</v>
      </c>
      <c r="BT320" s="6">
        <f t="shared" si="16"/>
        <v>51990066.17264158</v>
      </c>
      <c r="BW320" s="52"/>
      <c r="BX320" s="6">
        <f t="shared" si="13"/>
        <v>128063334.2382952</v>
      </c>
      <c r="BY320" s="6">
        <f t="shared" si="14"/>
        <v>109230887.65910274</v>
      </c>
    </row>
    <row r="321" spans="1:77" ht="12.75">
      <c r="A321" t="s">
        <v>954</v>
      </c>
      <c r="B321" t="s">
        <v>320</v>
      </c>
      <c r="K321"/>
      <c r="L321"/>
      <c r="V321"/>
      <c r="X321"/>
      <c r="Z321" s="12">
        <f>Z322+Z323</f>
        <v>28758018.864260003</v>
      </c>
      <c r="AC321" s="12">
        <f>AC322+AC323</f>
        <v>29307535.148290448</v>
      </c>
      <c r="AF321" s="52"/>
      <c r="AG321"/>
      <c r="AI321"/>
      <c r="AT321"/>
      <c r="AV321"/>
      <c r="AW321"/>
      <c r="AZ321"/>
      <c r="BB321"/>
      <c r="BI321">
        <v>850882</v>
      </c>
      <c r="BJ321" s="1">
        <v>50986665.10022</v>
      </c>
      <c r="BQ321" s="1">
        <f>BQ322+BQ323</f>
        <v>37511770.501601</v>
      </c>
      <c r="BT321" s="1">
        <f>BT322+BT323</f>
        <v>28040400.75460862</v>
      </c>
      <c r="BW321" s="52"/>
      <c r="BX321" s="1">
        <f t="shared" si="13"/>
        <v>66269789.365861006</v>
      </c>
      <c r="BY321" s="1">
        <f t="shared" si="14"/>
        <v>57347935.90289907</v>
      </c>
    </row>
    <row r="322" spans="1:77" ht="12.75">
      <c r="A322" s="3" t="s">
        <v>955</v>
      </c>
      <c r="B322" s="3" t="s">
        <v>321</v>
      </c>
      <c r="C322" s="3" t="s">
        <v>1346</v>
      </c>
      <c r="D322" s="3"/>
      <c r="E322" s="4"/>
      <c r="F322" s="4">
        <v>5620059.719682</v>
      </c>
      <c r="G322" s="4">
        <f>F322*RPI_inc</f>
        <v>5727449.395854267</v>
      </c>
      <c r="H322" s="4"/>
      <c r="I322" s="4"/>
      <c r="J322" s="4">
        <v>207246.314212</v>
      </c>
      <c r="K322" s="4">
        <f>J322*RPI_inc</f>
        <v>211206.43486573247</v>
      </c>
      <c r="L322" s="3"/>
      <c r="M322" s="4"/>
      <c r="N322" s="4"/>
      <c r="O322" s="4"/>
      <c r="P322" s="4"/>
      <c r="Q322" s="4"/>
      <c r="R322" s="4"/>
      <c r="S322" s="4"/>
      <c r="T322" s="4">
        <v>42996.973105</v>
      </c>
      <c r="U322" s="4">
        <f>T322*RPI_inc</f>
        <v>43818.57131719745</v>
      </c>
      <c r="V322" s="3"/>
      <c r="W322" s="4"/>
      <c r="X322" s="3"/>
      <c r="Y322" s="4"/>
      <c r="Z322" s="13">
        <f>D322+F322+H322+J322+L322+N322+P322+R322+T322+V322+X322</f>
        <v>5870303.006999</v>
      </c>
      <c r="AC322" s="13">
        <f>E322+G322+I322+K322+M322+O322+Q322+S322+U322+W322+Y322</f>
        <v>5982474.402037198</v>
      </c>
      <c r="AF322" s="51"/>
      <c r="AG322" s="3"/>
      <c r="AH322" s="4"/>
      <c r="AI322" s="3"/>
      <c r="AJ322" s="4"/>
      <c r="AK322" s="4"/>
      <c r="AL322" s="4">
        <v>6208922.900715</v>
      </c>
      <c r="AM322" s="4">
        <f>AL322/$AL$680*$AM$680</f>
        <v>4157133.169601489</v>
      </c>
      <c r="AN322" s="4"/>
      <c r="AO322" s="4"/>
      <c r="AP322" s="4"/>
      <c r="AQ322" s="4"/>
      <c r="AR322" s="4">
        <v>299333.245087</v>
      </c>
      <c r="AS322" s="4">
        <f>AR322/$AR$680*$AS$680</f>
        <v>293443.4813128527</v>
      </c>
      <c r="AT322" s="3"/>
      <c r="AU322" s="4"/>
      <c r="AV322" s="4"/>
      <c r="AW322" s="4"/>
      <c r="AX322" s="4">
        <v>60994.635477</v>
      </c>
      <c r="AY322" s="4">
        <f>AX322/$AX$680*$AY$680</f>
        <v>59772.697461503245</v>
      </c>
      <c r="AZ322" s="3"/>
      <c r="BA322" s="4"/>
      <c r="BB322" s="3"/>
      <c r="BC322" s="4"/>
      <c r="BD322" s="4"/>
      <c r="BE322" s="4"/>
      <c r="BF322" s="4"/>
      <c r="BG322" s="4"/>
      <c r="BH322" s="4">
        <v>205655.320522</v>
      </c>
      <c r="BI322" s="4"/>
      <c r="BJ322" s="4">
        <v>12436890.223842</v>
      </c>
      <c r="BK322" s="4">
        <f>BJ322/BJ321*BI321</f>
        <v>207550.8568101558</v>
      </c>
      <c r="BL322" s="4">
        <f>BH322+BK322</f>
        <v>413206.17733215576</v>
      </c>
      <c r="BM322" s="4"/>
      <c r="BN322" s="4"/>
      <c r="BO322" s="4">
        <v>17197.575956</v>
      </c>
      <c r="BP322" s="4"/>
      <c r="BQ322" s="4">
        <f t="shared" si="15"/>
        <v>6999654.534567155</v>
      </c>
      <c r="BT322" s="4">
        <f t="shared" si="16"/>
        <v>4923555.525708</v>
      </c>
      <c r="BW322" s="52"/>
      <c r="BX322" s="4">
        <f aca="true" t="shared" si="17" ref="BX322:BX385">Z322+BQ322</f>
        <v>12869957.541566156</v>
      </c>
      <c r="BY322" s="4">
        <f aca="true" t="shared" si="18" ref="BY322:BY385">AC322+BT322</f>
        <v>10906029.927745197</v>
      </c>
    </row>
    <row r="323" spans="1:77" ht="12.75">
      <c r="A323" s="5" t="s">
        <v>956</v>
      </c>
      <c r="B323" s="5" t="s">
        <v>322</v>
      </c>
      <c r="C323" s="5" t="s">
        <v>1346</v>
      </c>
      <c r="D323" s="6">
        <v>16285410.192215</v>
      </c>
      <c r="E323" s="6">
        <f>D323*RPI_inc</f>
        <v>16596596.374231847</v>
      </c>
      <c r="F323" s="6"/>
      <c r="G323" s="6"/>
      <c r="H323" s="6"/>
      <c r="I323" s="6"/>
      <c r="J323" s="6">
        <v>631117.481741</v>
      </c>
      <c r="K323" s="6">
        <f>J323*RPI_inc</f>
        <v>643177.0514557961</v>
      </c>
      <c r="L323" s="6">
        <v>2590200.453822</v>
      </c>
      <c r="M323" s="6">
        <f>L323*RPI_inc</f>
        <v>2639694.7300096815</v>
      </c>
      <c r="N323" s="6"/>
      <c r="O323" s="6"/>
      <c r="P323" s="6"/>
      <c r="Q323" s="6"/>
      <c r="R323" s="6"/>
      <c r="S323" s="6"/>
      <c r="T323" s="6"/>
      <c r="U323" s="6"/>
      <c r="V323" s="6">
        <v>48588.522335</v>
      </c>
      <c r="W323" s="6">
        <f>V323*RPI_inc</f>
        <v>49516.96543694268</v>
      </c>
      <c r="X323" s="6">
        <v>3332399.207148</v>
      </c>
      <c r="Y323" s="6">
        <f>X323*RPI_inc</f>
        <v>3396075.625118981</v>
      </c>
      <c r="Z323" s="14">
        <f>D323+F323+H323+J323+L323+N323+P323+R323+T323+V323+X323</f>
        <v>22887715.857261002</v>
      </c>
      <c r="AC323" s="14">
        <f>E323+G323+I323+K323+M323+O323+Q323+S323+U323+W323+Y323</f>
        <v>23325060.746253252</v>
      </c>
      <c r="AF323" s="51"/>
      <c r="AG323" s="6">
        <v>521068</v>
      </c>
      <c r="AH323" s="6">
        <f>AG323/$AG$680*$AH$680</f>
        <v>392327.9868412847</v>
      </c>
      <c r="AI323" s="6">
        <v>19458811.495407</v>
      </c>
      <c r="AJ323" s="6">
        <f>AI323/$AI$680*$AJ$680</f>
        <v>13338054.772226747</v>
      </c>
      <c r="AK323" s="6">
        <f>AJ323-AH323</f>
        <v>12945726.785385462</v>
      </c>
      <c r="AL323" s="6"/>
      <c r="AM323" s="6"/>
      <c r="AN323" s="6"/>
      <c r="AO323" s="6"/>
      <c r="AP323" s="6"/>
      <c r="AQ323" s="6"/>
      <c r="AR323" s="6">
        <v>911545.49387</v>
      </c>
      <c r="AS323" s="6">
        <f>AR323/$AR$680*$AS$680</f>
        <v>893609.6724522276</v>
      </c>
      <c r="AT323" s="6">
        <v>3276390.70789</v>
      </c>
      <c r="AU323" s="6">
        <f>AT323/$AT$680*$AU$680</f>
        <v>2704016.9052937864</v>
      </c>
      <c r="AV323" s="6"/>
      <c r="AW323" s="6"/>
      <c r="AX323" s="6"/>
      <c r="AY323" s="6"/>
      <c r="AZ323" s="6">
        <v>68926.694148</v>
      </c>
      <c r="BA323" s="6">
        <f>AZ323/$AZ$680*$BA$680</f>
        <v>67545.84777655266</v>
      </c>
      <c r="BB323" s="6">
        <v>4927535.149167</v>
      </c>
      <c r="BC323" s="6">
        <f>BB323/$BB$680*$BC$680</f>
        <v>4832831.208483458</v>
      </c>
      <c r="BD323" s="6"/>
      <c r="BE323" s="6"/>
      <c r="BF323" s="6"/>
      <c r="BG323" s="6"/>
      <c r="BH323" s="6">
        <v>637455.679478</v>
      </c>
      <c r="BI323" s="6"/>
      <c r="BJ323" s="6">
        <v>38549774.876378</v>
      </c>
      <c r="BK323" s="6">
        <f>BJ323/BJ321*BI321</f>
        <v>643331.1431898441</v>
      </c>
      <c r="BL323" s="6">
        <f>BH323+BK323</f>
        <v>1280786.8226678441</v>
      </c>
      <c r="BM323" s="6"/>
      <c r="BN323" s="6"/>
      <c r="BO323" s="6">
        <v>67051.603884</v>
      </c>
      <c r="BP323" s="6"/>
      <c r="BQ323" s="6">
        <f t="shared" si="15"/>
        <v>30512115.96703385</v>
      </c>
      <c r="BT323" s="6">
        <f t="shared" si="16"/>
        <v>23116845.22890062</v>
      </c>
      <c r="BW323" s="52"/>
      <c r="BX323" s="6">
        <f t="shared" si="17"/>
        <v>53399831.82429485</v>
      </c>
      <c r="BY323" s="6">
        <f t="shared" si="18"/>
        <v>46441905.97515387</v>
      </c>
    </row>
    <row r="324" spans="1:77" ht="12.75">
      <c r="A324" t="s">
        <v>957</v>
      </c>
      <c r="B324" t="s">
        <v>323</v>
      </c>
      <c r="K324"/>
      <c r="L324"/>
      <c r="V324"/>
      <c r="X324"/>
      <c r="Z324" s="12">
        <f>Z325+Z326</f>
        <v>14990522.579365</v>
      </c>
      <c r="AC324" s="12">
        <f>AC325+AC326</f>
        <v>15276965.685977072</v>
      </c>
      <c r="AF324" s="52"/>
      <c r="AG324"/>
      <c r="AI324"/>
      <c r="AT324"/>
      <c r="AV324"/>
      <c r="AW324"/>
      <c r="AZ324"/>
      <c r="BB324"/>
      <c r="BI324">
        <v>501437</v>
      </c>
      <c r="BJ324" s="1">
        <v>17295620.705885</v>
      </c>
      <c r="BQ324" s="1">
        <f>BQ325+BQ326</f>
        <v>20006268.555115</v>
      </c>
      <c r="BT324" s="1">
        <f>BT325+BT326</f>
        <v>15602280.797741776</v>
      </c>
      <c r="BW324" s="52"/>
      <c r="BX324" s="1">
        <f t="shared" si="17"/>
        <v>34996791.13448</v>
      </c>
      <c r="BY324" s="1">
        <f t="shared" si="18"/>
        <v>30879246.48371885</v>
      </c>
    </row>
    <row r="325" spans="1:77" ht="12.75">
      <c r="A325" s="3" t="s">
        <v>958</v>
      </c>
      <c r="B325" s="3" t="s">
        <v>324</v>
      </c>
      <c r="C325" s="3" t="s">
        <v>1346</v>
      </c>
      <c r="D325" s="3"/>
      <c r="E325" s="4"/>
      <c r="F325" s="4">
        <v>3748621.278787</v>
      </c>
      <c r="G325" s="4">
        <f>F325*RPI_inc</f>
        <v>3820250.984751083</v>
      </c>
      <c r="H325" s="4"/>
      <c r="I325" s="4"/>
      <c r="J325" s="4">
        <v>184665.397336</v>
      </c>
      <c r="K325" s="4">
        <f>J325*RPI_inc</f>
        <v>188194.03550165604</v>
      </c>
      <c r="L325" s="3"/>
      <c r="M325" s="4"/>
      <c r="N325" s="4"/>
      <c r="O325" s="4"/>
      <c r="P325" s="4"/>
      <c r="Q325" s="4"/>
      <c r="R325" s="4"/>
      <c r="S325" s="4"/>
      <c r="T325" s="4">
        <v>20364.007684</v>
      </c>
      <c r="U325" s="4">
        <f>T325*RPI_inc</f>
        <v>20753.128849936307</v>
      </c>
      <c r="V325" s="3"/>
      <c r="W325" s="4"/>
      <c r="X325" s="3"/>
      <c r="Y325" s="4"/>
      <c r="Z325" s="13">
        <f>D325+F325+H325+J325+L325+N325+P325+R325+T325+V325+X325</f>
        <v>3953650.683807</v>
      </c>
      <c r="AC325" s="13">
        <f>E325+G325+I325+K325+M325+O325+Q325+S325+U325+W325+Y325</f>
        <v>4029198.1491026753</v>
      </c>
      <c r="AF325" s="51"/>
      <c r="AG325" s="3"/>
      <c r="AH325" s="4"/>
      <c r="AI325" s="3"/>
      <c r="AJ325" s="4"/>
      <c r="AK325" s="4"/>
      <c r="AL325" s="4">
        <v>4141397.363173</v>
      </c>
      <c r="AM325" s="4">
        <f>AL325/$AL$680*$AM$680</f>
        <v>2772838.481367524</v>
      </c>
      <c r="AN325" s="4"/>
      <c r="AO325" s="4"/>
      <c r="AP325" s="4"/>
      <c r="AQ325" s="4"/>
      <c r="AR325" s="4">
        <v>266718.821273</v>
      </c>
      <c r="AS325" s="4">
        <f>AR325/$AR$680*$AS$680</f>
        <v>261470.78792822265</v>
      </c>
      <c r="AT325" s="3"/>
      <c r="AU325" s="4"/>
      <c r="AV325" s="4"/>
      <c r="AW325" s="4"/>
      <c r="AX325" s="4">
        <v>28887.968986</v>
      </c>
      <c r="AY325" s="4">
        <f>AX325/$AX$680*$AY$680</f>
        <v>28309.240918876858</v>
      </c>
      <c r="AZ325" s="3"/>
      <c r="BA325" s="4"/>
      <c r="BB325" s="3"/>
      <c r="BC325" s="4"/>
      <c r="BD325" s="4"/>
      <c r="BE325" s="4"/>
      <c r="BF325" s="4"/>
      <c r="BG325" s="4"/>
      <c r="BH325" s="4">
        <v>188753.661896</v>
      </c>
      <c r="BI325" s="4"/>
      <c r="BJ325" s="4">
        <v>6558592.864835</v>
      </c>
      <c r="BK325" s="4">
        <f>BJ325/BJ324*BI324</f>
        <v>190147.62096657502</v>
      </c>
      <c r="BL325" s="4">
        <f>BH325+BK325</f>
        <v>378901.282862575</v>
      </c>
      <c r="BM325" s="4"/>
      <c r="BN325" s="4"/>
      <c r="BO325" s="4">
        <v>11582.572119</v>
      </c>
      <c r="BP325" s="4"/>
      <c r="BQ325" s="4">
        <f t="shared" si="15"/>
        <v>4827488.008413575</v>
      </c>
      <c r="BT325" s="4">
        <f t="shared" si="16"/>
        <v>3441519.793077199</v>
      </c>
      <c r="BW325" s="52"/>
      <c r="BX325" s="4">
        <f t="shared" si="17"/>
        <v>8781138.692220574</v>
      </c>
      <c r="BY325" s="4">
        <f t="shared" si="18"/>
        <v>7470717.942179874</v>
      </c>
    </row>
    <row r="326" spans="1:77" ht="12.75">
      <c r="A326" s="5" t="s">
        <v>959</v>
      </c>
      <c r="B326" s="5" t="s">
        <v>325</v>
      </c>
      <c r="C326" s="5" t="s">
        <v>1346</v>
      </c>
      <c r="D326" s="6">
        <v>5935794.888318</v>
      </c>
      <c r="E326" s="6">
        <f>D326*RPI_inc</f>
        <v>6049217.720578854</v>
      </c>
      <c r="F326" s="6"/>
      <c r="G326" s="6"/>
      <c r="H326" s="6"/>
      <c r="I326" s="6"/>
      <c r="J326" s="6">
        <v>308886.060344</v>
      </c>
      <c r="K326" s="6">
        <f>J326*RPI_inc</f>
        <v>314788.3417518471</v>
      </c>
      <c r="L326" s="6">
        <v>1420448.884182</v>
      </c>
      <c r="M326" s="6">
        <f>L326*RPI_inc</f>
        <v>1447591.219548535</v>
      </c>
      <c r="N326" s="6"/>
      <c r="O326" s="6"/>
      <c r="P326" s="6"/>
      <c r="Q326" s="6"/>
      <c r="R326" s="6"/>
      <c r="S326" s="6"/>
      <c r="T326" s="6"/>
      <c r="U326" s="6"/>
      <c r="V326" s="6">
        <v>48669.978365</v>
      </c>
      <c r="W326" s="6">
        <f>V326*RPI_inc</f>
        <v>49599.97795159236</v>
      </c>
      <c r="X326" s="6">
        <v>3323072.084349</v>
      </c>
      <c r="Y326" s="6">
        <f>X326*RPI_inc</f>
        <v>3386570.2770435666</v>
      </c>
      <c r="Z326" s="14">
        <f>D326+F326+H326+J326+L326+N326+P326+R326+T326+V326+X326</f>
        <v>11036871.895558</v>
      </c>
      <c r="AC326" s="14">
        <f>E326+G326+I326+K326+M326+O326+Q326+S326+U326+W326+Y326</f>
        <v>11247767.536874397</v>
      </c>
      <c r="AF326" s="51"/>
      <c r="AG326" s="6">
        <v>208025</v>
      </c>
      <c r="AH326" s="6">
        <f>AG326/$AG$680*$AH$680</f>
        <v>156628.36609167757</v>
      </c>
      <c r="AI326" s="6">
        <v>7092453.456432</v>
      </c>
      <c r="AJ326" s="6">
        <f>AI326/$AI$680*$AJ$680</f>
        <v>4861526.753249443</v>
      </c>
      <c r="AK326" s="6">
        <f>AJ326-AH326</f>
        <v>4704898.387157765</v>
      </c>
      <c r="AL326" s="6"/>
      <c r="AM326" s="6"/>
      <c r="AN326" s="6"/>
      <c r="AO326" s="6"/>
      <c r="AP326" s="6"/>
      <c r="AQ326" s="6"/>
      <c r="AR326" s="6">
        <v>446135.156404</v>
      </c>
      <c r="AS326" s="6">
        <f>AR326/$AR$680*$AS$680</f>
        <v>437356.8775937125</v>
      </c>
      <c r="AT326" s="6">
        <v>1796751.104069</v>
      </c>
      <c r="AU326" s="6">
        <f>AT326/$AT$680*$AU$680</f>
        <v>1482865.0772046342</v>
      </c>
      <c r="AV326" s="6"/>
      <c r="AW326" s="6"/>
      <c r="AX326" s="6"/>
      <c r="AY326" s="6"/>
      <c r="AZ326" s="6">
        <v>69042.246024</v>
      </c>
      <c r="BA326" s="6">
        <f>AZ326/$AZ$680*$BA$680</f>
        <v>67659.08473827074</v>
      </c>
      <c r="BB326" s="6">
        <v>4913743.366557</v>
      </c>
      <c r="BC326" s="6">
        <f>BB326/$BB$680*$BC$680</f>
        <v>4819304.494741092</v>
      </c>
      <c r="BD326" s="6"/>
      <c r="BE326" s="6"/>
      <c r="BF326" s="6"/>
      <c r="BG326" s="6"/>
      <c r="BH326" s="6">
        <v>309007.338104</v>
      </c>
      <c r="BI326" s="6"/>
      <c r="BJ326" s="6">
        <v>10737027.84105</v>
      </c>
      <c r="BK326" s="6">
        <f>BJ326/BJ324*BI324</f>
        <v>311289.37903342495</v>
      </c>
      <c r="BL326" s="6">
        <f>BH326+BK326</f>
        <v>620296.717137425</v>
      </c>
      <c r="BM326" s="6"/>
      <c r="BN326" s="6"/>
      <c r="BO326" s="6">
        <v>32333.500078</v>
      </c>
      <c r="BP326" s="6">
        <v>-128248</v>
      </c>
      <c r="BQ326" s="6">
        <f t="shared" si="15"/>
        <v>15178780.546701426</v>
      </c>
      <c r="BT326" s="6">
        <f t="shared" si="16"/>
        <v>12160761.004664578</v>
      </c>
      <c r="BW326" s="52"/>
      <c r="BX326" s="6">
        <f t="shared" si="17"/>
        <v>26215652.442259423</v>
      </c>
      <c r="BY326" s="6">
        <f t="shared" si="18"/>
        <v>23408528.541538976</v>
      </c>
    </row>
    <row r="327" spans="1:77" ht="12.75">
      <c r="A327" t="s">
        <v>960</v>
      </c>
      <c r="B327" t="s">
        <v>326</v>
      </c>
      <c r="K327"/>
      <c r="L327"/>
      <c r="V327"/>
      <c r="X327"/>
      <c r="Z327" s="12">
        <f>Z328+Z329</f>
        <v>16120645.588294</v>
      </c>
      <c r="AC327" s="12">
        <f>AC328+AC329</f>
        <v>16428683.402083056</v>
      </c>
      <c r="AF327" s="52"/>
      <c r="AG327"/>
      <c r="AI327"/>
      <c r="AT327"/>
      <c r="AV327"/>
      <c r="AW327"/>
      <c r="AZ327"/>
      <c r="BB327"/>
      <c r="BI327">
        <v>836460</v>
      </c>
      <c r="BJ327" s="1">
        <v>21076506.073799</v>
      </c>
      <c r="BQ327" s="1">
        <f>BQ328+BQ329</f>
        <v>20730627.085658997</v>
      </c>
      <c r="BT327" s="1">
        <f>BT328+BT329</f>
        <v>15468342.091224123</v>
      </c>
      <c r="BW327" s="52"/>
      <c r="BX327" s="1">
        <f t="shared" si="17"/>
        <v>36851272.673953</v>
      </c>
      <c r="BY327" s="1">
        <f t="shared" si="18"/>
        <v>31897025.49330718</v>
      </c>
    </row>
    <row r="328" spans="1:77" ht="12.75">
      <c r="A328" s="3" t="s">
        <v>961</v>
      </c>
      <c r="B328" s="3" t="s">
        <v>327</v>
      </c>
      <c r="C328" s="3" t="s">
        <v>1346</v>
      </c>
      <c r="D328" s="3"/>
      <c r="E328" s="4"/>
      <c r="F328" s="4">
        <v>3779173.74455</v>
      </c>
      <c r="G328" s="4">
        <f>F328*RPI_inc</f>
        <v>3851387.2555923564</v>
      </c>
      <c r="H328" s="4"/>
      <c r="I328" s="4"/>
      <c r="J328" s="4">
        <v>242578.956137</v>
      </c>
      <c r="K328" s="4">
        <f>J328*RPI_inc</f>
        <v>247214.22281477708</v>
      </c>
      <c r="L328" s="3"/>
      <c r="M328" s="4"/>
      <c r="N328" s="4"/>
      <c r="O328" s="4"/>
      <c r="P328" s="4"/>
      <c r="Q328" s="4"/>
      <c r="R328" s="4"/>
      <c r="S328" s="4"/>
      <c r="T328" s="4">
        <v>52190.100734</v>
      </c>
      <c r="U328" s="4">
        <f>T328*RPI_inc</f>
        <v>53187.36380535032</v>
      </c>
      <c r="V328" s="3"/>
      <c r="W328" s="4"/>
      <c r="X328" s="3"/>
      <c r="Y328" s="4"/>
      <c r="Z328" s="13">
        <f>D328+F328+H328+J328+L328+N328+P328+R328+T328+V328+X328</f>
        <v>4073942.801421</v>
      </c>
      <c r="AC328" s="13">
        <f>E328+G328+I328+K328+M328+O328+Q328+S328+U328+W328+Y328</f>
        <v>4151788.8422124838</v>
      </c>
      <c r="AF328" s="51"/>
      <c r="AG328" s="3"/>
      <c r="AH328" s="4"/>
      <c r="AI328" s="3"/>
      <c r="AJ328" s="4"/>
      <c r="AK328" s="4"/>
      <c r="AL328" s="4">
        <v>4175151.080004</v>
      </c>
      <c r="AM328" s="4">
        <f>AL328/$AL$680*$AM$680</f>
        <v>2795438.004357144</v>
      </c>
      <c r="AN328" s="4"/>
      <c r="AO328" s="4"/>
      <c r="AP328" s="4"/>
      <c r="AQ328" s="4"/>
      <c r="AR328" s="4">
        <v>350365.440305</v>
      </c>
      <c r="AS328" s="4">
        <f>AR328/$AR$680*$AS$680</f>
        <v>343471.5529340139</v>
      </c>
      <c r="AT328" s="3"/>
      <c r="AU328" s="4"/>
      <c r="AV328" s="4"/>
      <c r="AW328" s="4"/>
      <c r="AX328" s="4">
        <v>74035.820196</v>
      </c>
      <c r="AY328" s="4">
        <f>AX328/$AX$680*$AY$680</f>
        <v>72552.62118188197</v>
      </c>
      <c r="AZ328" s="3"/>
      <c r="BA328" s="4"/>
      <c r="BB328" s="3"/>
      <c r="BC328" s="4"/>
      <c r="BD328" s="4"/>
      <c r="BE328" s="4"/>
      <c r="BF328" s="4"/>
      <c r="BG328" s="4"/>
      <c r="BH328" s="4"/>
      <c r="BI328" s="4"/>
      <c r="BJ328" s="4">
        <v>6260750.37939</v>
      </c>
      <c r="BK328" s="4">
        <f>BJ328/BJ327*BI327</f>
        <v>248469.42107044524</v>
      </c>
      <c r="BL328" s="4">
        <f>BH328+BK328</f>
        <v>248469.42107044524</v>
      </c>
      <c r="BM328" s="4"/>
      <c r="BN328" s="4"/>
      <c r="BO328" s="4">
        <v>11934.9786</v>
      </c>
      <c r="BP328" s="4"/>
      <c r="BQ328" s="4">
        <f t="shared" si="15"/>
        <v>4859956.740175446</v>
      </c>
      <c r="BT328" s="4">
        <f t="shared" si="16"/>
        <v>3459931.599543485</v>
      </c>
      <c r="BW328" s="52"/>
      <c r="BX328" s="4">
        <f t="shared" si="17"/>
        <v>8933899.541596446</v>
      </c>
      <c r="BY328" s="4">
        <f t="shared" si="18"/>
        <v>7611720.441755969</v>
      </c>
    </row>
    <row r="329" spans="1:77" ht="12.75">
      <c r="A329" s="5" t="s">
        <v>962</v>
      </c>
      <c r="B329" s="5" t="s">
        <v>328</v>
      </c>
      <c r="C329" s="5" t="s">
        <v>1346</v>
      </c>
      <c r="D329" s="6">
        <v>8303767.299777</v>
      </c>
      <c r="E329" s="6">
        <f>D329*RPI_inc</f>
        <v>8462438.012511592</v>
      </c>
      <c r="F329" s="6"/>
      <c r="G329" s="6"/>
      <c r="H329" s="6"/>
      <c r="I329" s="6"/>
      <c r="J329" s="6">
        <v>565054.73766</v>
      </c>
      <c r="K329" s="6">
        <f>J329*RPI_inc</f>
        <v>575851.9619464967</v>
      </c>
      <c r="L329" s="6">
        <v>1800898.317677</v>
      </c>
      <c r="M329" s="6">
        <f>L329*RPI_inc</f>
        <v>1835310.3874415287</v>
      </c>
      <c r="N329" s="6"/>
      <c r="O329" s="6"/>
      <c r="P329" s="6"/>
      <c r="Q329" s="6"/>
      <c r="R329" s="6"/>
      <c r="S329" s="6"/>
      <c r="T329" s="6"/>
      <c r="U329" s="6"/>
      <c r="V329" s="6">
        <v>51724.579518</v>
      </c>
      <c r="W329" s="6">
        <f>V329*RPI_inc</f>
        <v>52712.94727949044</v>
      </c>
      <c r="X329" s="6">
        <v>1325257.852241</v>
      </c>
      <c r="Y329" s="6">
        <f>X329*RPI_inc</f>
        <v>1350581.2506914649</v>
      </c>
      <c r="Z329" s="14">
        <f>D329+F329+H329+J329+L329+N329+P329+R329+T329+V329+X329</f>
        <v>12046702.786873</v>
      </c>
      <c r="AC329" s="14">
        <f>E329+G329+I329+K329+M329+O329+Q329+S329+U329+W329+Y329</f>
        <v>12276894.559870573</v>
      </c>
      <c r="AF329" s="51"/>
      <c r="AG329" s="6">
        <v>198417</v>
      </c>
      <c r="AH329" s="6">
        <f>AG329/$AG$680*$AH$680</f>
        <v>149394.20990175407</v>
      </c>
      <c r="AI329" s="6">
        <v>9921852.79222</v>
      </c>
      <c r="AJ329" s="6">
        <f>AI329/$AI$680*$AJ$680</f>
        <v>6800940.335736228</v>
      </c>
      <c r="AK329" s="6">
        <f>AJ329-AH329</f>
        <v>6651546.125834474</v>
      </c>
      <c r="AL329" s="6"/>
      <c r="AM329" s="6"/>
      <c r="AN329" s="6"/>
      <c r="AO329" s="6"/>
      <c r="AP329" s="6"/>
      <c r="AQ329" s="6"/>
      <c r="AR329" s="6">
        <v>816128.715818</v>
      </c>
      <c r="AS329" s="6">
        <f>AR329/$AR$680*$AS$680</f>
        <v>800070.3413328368</v>
      </c>
      <c r="AT329" s="6">
        <v>2277988.371589</v>
      </c>
      <c r="AU329" s="6">
        <f>AT329/$AT$680*$AU$680</f>
        <v>1880031.9058425687</v>
      </c>
      <c r="AV329" s="6"/>
      <c r="AW329" s="6"/>
      <c r="AX329" s="6"/>
      <c r="AY329" s="6"/>
      <c r="AZ329" s="6">
        <v>73375.441381</v>
      </c>
      <c r="BA329" s="6">
        <f>AZ329/$AZ$680*$BA$680</f>
        <v>71905.47080955862</v>
      </c>
      <c r="BB329" s="6">
        <v>1959625.555852</v>
      </c>
      <c r="BC329" s="6">
        <f>BB329/$BB$680*$BC$680</f>
        <v>1921962.8590298912</v>
      </c>
      <c r="BD329" s="6"/>
      <c r="BE329" s="6"/>
      <c r="BF329" s="6"/>
      <c r="BG329" s="6"/>
      <c r="BH329" s="6"/>
      <c r="BI329" s="6"/>
      <c r="BJ329" s="6">
        <v>14815755.694409</v>
      </c>
      <c r="BK329" s="6">
        <f>BJ329/BJ327*BI327</f>
        <v>587990.5789295549</v>
      </c>
      <c r="BL329" s="6">
        <f>BH329+BK329</f>
        <v>587990.5789295549</v>
      </c>
      <c r="BM329" s="6"/>
      <c r="BN329" s="6"/>
      <c r="BO329" s="6">
        <v>35291.889694</v>
      </c>
      <c r="BP329" s="6">
        <v>-54491</v>
      </c>
      <c r="BQ329" s="6">
        <f t="shared" si="15"/>
        <v>15870670.345483553</v>
      </c>
      <c r="BT329" s="6">
        <f t="shared" si="16"/>
        <v>12008410.491680637</v>
      </c>
      <c r="BW329" s="52"/>
      <c r="BX329" s="6">
        <f t="shared" si="17"/>
        <v>27917373.132356554</v>
      </c>
      <c r="BY329" s="6">
        <f t="shared" si="18"/>
        <v>24285305.051551208</v>
      </c>
    </row>
    <row r="330" spans="1:77" ht="12.75">
      <c r="A330" t="s">
        <v>963</v>
      </c>
      <c r="B330" t="s">
        <v>329</v>
      </c>
      <c r="K330"/>
      <c r="L330"/>
      <c r="V330"/>
      <c r="X330"/>
      <c r="Z330" s="12">
        <f>Z331+Z332</f>
        <v>27337013.867220003</v>
      </c>
      <c r="AC330" s="12">
        <f>AC331+AC332</f>
        <v>27859377.189523563</v>
      </c>
      <c r="AF330" s="52"/>
      <c r="AG330"/>
      <c r="AI330"/>
      <c r="AT330"/>
      <c r="AV330"/>
      <c r="AW330"/>
      <c r="AZ330"/>
      <c r="BB330"/>
      <c r="BI330"/>
      <c r="BJ330" s="1">
        <v>48523095.547123</v>
      </c>
      <c r="BQ330" s="1">
        <f>BQ331+BQ332</f>
        <v>33627266.863846</v>
      </c>
      <c r="BT330" s="1">
        <f>BT331+BT332</f>
        <v>24102875.748267516</v>
      </c>
      <c r="BW330" s="52"/>
      <c r="BX330" s="1">
        <f t="shared" si="17"/>
        <v>60964280.731066</v>
      </c>
      <c r="BY330" s="1">
        <f t="shared" si="18"/>
        <v>51962252.93779108</v>
      </c>
    </row>
    <row r="331" spans="1:77" ht="12.75">
      <c r="A331" s="3" t="s">
        <v>964</v>
      </c>
      <c r="B331" s="3" t="s">
        <v>330</v>
      </c>
      <c r="C331" s="3" t="s">
        <v>1346</v>
      </c>
      <c r="D331" s="3"/>
      <c r="E331" s="4"/>
      <c r="F331" s="4">
        <v>5396125.567256</v>
      </c>
      <c r="G331" s="4">
        <f>F331*RPI_inc</f>
        <v>5499236.246885096</v>
      </c>
      <c r="H331" s="4"/>
      <c r="I331" s="4"/>
      <c r="J331" s="4">
        <v>172754.36616</v>
      </c>
      <c r="K331" s="4">
        <f>J331*RPI_inc</f>
        <v>176055.40500382165</v>
      </c>
      <c r="L331" s="3"/>
      <c r="M331" s="4"/>
      <c r="N331" s="4"/>
      <c r="O331" s="4"/>
      <c r="P331" s="4"/>
      <c r="Q331" s="4"/>
      <c r="R331" s="4"/>
      <c r="S331" s="4"/>
      <c r="T331" s="4">
        <v>142339.119071</v>
      </c>
      <c r="U331" s="4">
        <f>T331*RPI_inc</f>
        <v>145058.97484942674</v>
      </c>
      <c r="V331" s="3"/>
      <c r="W331" s="4"/>
      <c r="X331" s="3"/>
      <c r="Y331" s="4"/>
      <c r="Z331" s="13">
        <f>D331+F331+H331+J331+L331+N331+P331+R331+T331+V331+X331</f>
        <v>5711219.052487</v>
      </c>
      <c r="AC331" s="13">
        <f>E331+G331+I331+K331+M331+O331+Q331+S331+U331+W331+Y331</f>
        <v>5820350.626738344</v>
      </c>
      <c r="AF331" s="51"/>
      <c r="AG331" s="3"/>
      <c r="AH331" s="4"/>
      <c r="AI331" s="3"/>
      <c r="AJ331" s="4"/>
      <c r="AK331" s="4"/>
      <c r="AL331" s="4">
        <v>5961525.193822</v>
      </c>
      <c r="AM331" s="4">
        <f>AL331/$AL$680*$AM$680</f>
        <v>3991490.073390743</v>
      </c>
      <c r="AN331" s="4"/>
      <c r="AO331" s="4"/>
      <c r="AP331" s="4"/>
      <c r="AQ331" s="4"/>
      <c r="AR331" s="4">
        <v>249515.294023</v>
      </c>
      <c r="AS331" s="4">
        <f>AR331/$AR$680*$AS$680</f>
        <v>244605.76204166177</v>
      </c>
      <c r="AT331" s="3"/>
      <c r="AU331" s="4"/>
      <c r="AV331" s="4"/>
      <c r="AW331" s="4"/>
      <c r="AX331" s="4">
        <v>201919.392342</v>
      </c>
      <c r="AY331" s="4">
        <f>AX331/$AX$680*$AY$680</f>
        <v>197874.23362207072</v>
      </c>
      <c r="AZ331" s="3"/>
      <c r="BA331" s="4"/>
      <c r="BB331" s="3"/>
      <c r="BC331" s="4"/>
      <c r="BD331" s="4"/>
      <c r="BE331" s="4"/>
      <c r="BF331" s="4"/>
      <c r="BG331" s="4"/>
      <c r="BH331" s="4"/>
      <c r="BI331" s="4"/>
      <c r="BJ331" s="4">
        <v>11468479.267976</v>
      </c>
      <c r="BK331" s="4"/>
      <c r="BL331" s="4"/>
      <c r="BM331" s="4"/>
      <c r="BN331" s="4"/>
      <c r="BO331" s="4">
        <v>16731.52533</v>
      </c>
      <c r="BP331" s="4"/>
      <c r="BQ331" s="4">
        <f t="shared" si="15"/>
        <v>6429691.405517</v>
      </c>
      <c r="BT331" s="4">
        <f t="shared" si="16"/>
        <v>4433970.069054475</v>
      </c>
      <c r="BW331" s="52"/>
      <c r="BX331" s="4">
        <f t="shared" si="17"/>
        <v>12140910.458004</v>
      </c>
      <c r="BY331" s="4">
        <f t="shared" si="18"/>
        <v>10254320.69579282</v>
      </c>
    </row>
    <row r="332" spans="1:77" ht="12.75">
      <c r="A332" s="5" t="s">
        <v>965</v>
      </c>
      <c r="B332" s="5" t="s">
        <v>331</v>
      </c>
      <c r="C332" s="5" t="s">
        <v>1346</v>
      </c>
      <c r="D332" s="6">
        <v>16816832.044939</v>
      </c>
      <c r="E332" s="6">
        <f>D332*RPI_inc</f>
        <v>17138172.78465121</v>
      </c>
      <c r="F332" s="6"/>
      <c r="G332" s="6"/>
      <c r="H332" s="6"/>
      <c r="I332" s="6"/>
      <c r="J332" s="6">
        <v>528043.226843</v>
      </c>
      <c r="K332" s="6">
        <f>J332*RPI_inc</f>
        <v>538133.2248081529</v>
      </c>
      <c r="L332" s="6">
        <v>2326684.694568</v>
      </c>
      <c r="M332" s="6">
        <f>L332*RPI_inc</f>
        <v>2371143.6377763054</v>
      </c>
      <c r="N332" s="6"/>
      <c r="O332" s="6"/>
      <c r="P332" s="6"/>
      <c r="Q332" s="6"/>
      <c r="R332" s="6"/>
      <c r="S332" s="6"/>
      <c r="T332" s="6"/>
      <c r="U332" s="6"/>
      <c r="V332" s="6">
        <v>50502.739057</v>
      </c>
      <c r="W332" s="6">
        <f>V332*RPI_inc</f>
        <v>51467.75954853503</v>
      </c>
      <c r="X332" s="6">
        <v>1903732.109326</v>
      </c>
      <c r="Y332" s="6">
        <f>X332*RPI_inc</f>
        <v>1940109.1560010193</v>
      </c>
      <c r="Z332" s="14">
        <f>D332+F332+H332+J332+L332+N332+P332+R332+T332+V332+X332</f>
        <v>21625794.814733002</v>
      </c>
      <c r="AC332" s="14">
        <f>E332+G332+I332+K332+M332+O332+Q332+S332+U332+W332+Y332</f>
        <v>22039026.56278522</v>
      </c>
      <c r="AF332" s="51"/>
      <c r="AG332" s="6">
        <v>448054</v>
      </c>
      <c r="AH332" s="6">
        <f>AG332/$AG$680*$AH$680</f>
        <v>337353.5197252278</v>
      </c>
      <c r="AI332" s="6">
        <v>20093787.067692</v>
      </c>
      <c r="AJ332" s="6">
        <f>AI332/$AI$680*$AJ$680</f>
        <v>13773299.18395058</v>
      </c>
      <c r="AK332" s="6">
        <f>AJ332-AH332</f>
        <v>13435945.664225353</v>
      </c>
      <c r="AL332" s="6"/>
      <c r="AM332" s="6"/>
      <c r="AN332" s="6"/>
      <c r="AO332" s="6"/>
      <c r="AP332" s="6"/>
      <c r="AQ332" s="6"/>
      <c r="AR332" s="6">
        <v>762671.670367</v>
      </c>
      <c r="AS332" s="6">
        <f>AR332/$AR$680*$AS$680</f>
        <v>747665.1315029644</v>
      </c>
      <c r="AT332" s="6">
        <v>2943064.928517</v>
      </c>
      <c r="AU332" s="6">
        <f>AT332/$AT$680*$AU$680</f>
        <v>2428921.953942496</v>
      </c>
      <c r="AV332" s="6"/>
      <c r="AW332" s="6"/>
      <c r="AX332" s="6"/>
      <c r="AY332" s="6"/>
      <c r="AZ332" s="6">
        <v>71642.163238</v>
      </c>
      <c r="BA332" s="6">
        <f>AZ332/$AZ$680*$BA$680</f>
        <v>70206.91638084748</v>
      </c>
      <c r="BB332" s="6">
        <v>2815000.934816</v>
      </c>
      <c r="BC332" s="6">
        <f>BB332/$BB$680*$BC$680</f>
        <v>2760898.4934361554</v>
      </c>
      <c r="BD332" s="6"/>
      <c r="BE332" s="6"/>
      <c r="BF332" s="6"/>
      <c r="BG332" s="6"/>
      <c r="BH332" s="6"/>
      <c r="BI332" s="6"/>
      <c r="BJ332" s="6">
        <v>37054616.279147</v>
      </c>
      <c r="BK332" s="6"/>
      <c r="BL332" s="6"/>
      <c r="BM332" s="6"/>
      <c r="BN332" s="6"/>
      <c r="BO332" s="6">
        <v>63354.693699</v>
      </c>
      <c r="BP332" s="6">
        <v>-112086</v>
      </c>
      <c r="BQ332" s="6">
        <f t="shared" si="15"/>
        <v>27197575.458328996</v>
      </c>
      <c r="BT332" s="6">
        <f t="shared" si="16"/>
        <v>19668905.679213043</v>
      </c>
      <c r="BW332" s="52"/>
      <c r="BX332" s="6">
        <f t="shared" si="17"/>
        <v>48823370.273062</v>
      </c>
      <c r="BY332" s="6">
        <f t="shared" si="18"/>
        <v>41707932.24199826</v>
      </c>
    </row>
    <row r="333" spans="1:77" ht="12.75">
      <c r="A333" t="s">
        <v>966</v>
      </c>
      <c r="B333" t="s">
        <v>332</v>
      </c>
      <c r="K333"/>
      <c r="L333"/>
      <c r="V333"/>
      <c r="X333"/>
      <c r="Z333" s="12">
        <f>Z334+Z335</f>
        <v>26968720.987790998</v>
      </c>
      <c r="AC333" s="12">
        <f>AC334+AC335</f>
        <v>27484046.8665386</v>
      </c>
      <c r="AF333" s="52"/>
      <c r="AG333"/>
      <c r="AI333"/>
      <c r="AT333"/>
      <c r="AV333"/>
      <c r="AW333"/>
      <c r="AZ333"/>
      <c r="BB333"/>
      <c r="BI333">
        <v>500272</v>
      </c>
      <c r="BJ333" s="1">
        <v>53268963.809822</v>
      </c>
      <c r="BQ333" s="1">
        <f>BQ334+BQ335</f>
        <v>33301953.063112006</v>
      </c>
      <c r="BT333" s="1">
        <f>BT334+BT335</f>
        <v>23808932.31293506</v>
      </c>
      <c r="BW333" s="52"/>
      <c r="BX333" s="1">
        <f t="shared" si="17"/>
        <v>60270674.05090301</v>
      </c>
      <c r="BY333" s="1">
        <f t="shared" si="18"/>
        <v>51292979.17947366</v>
      </c>
    </row>
    <row r="334" spans="1:77" ht="12.75">
      <c r="A334" s="3" t="s">
        <v>967</v>
      </c>
      <c r="B334" s="3" t="s">
        <v>333</v>
      </c>
      <c r="C334" s="3" t="s">
        <v>1346</v>
      </c>
      <c r="D334" s="3"/>
      <c r="E334" s="4"/>
      <c r="F334" s="4">
        <v>5498004.124587</v>
      </c>
      <c r="G334" s="4">
        <f>F334*RPI_inc</f>
        <v>5603061.528241529</v>
      </c>
      <c r="H334" s="4"/>
      <c r="I334" s="4"/>
      <c r="J334" s="4">
        <v>105030.270194</v>
      </c>
      <c r="K334" s="4">
        <f>J334*RPI_inc</f>
        <v>107037.21803210191</v>
      </c>
      <c r="L334" s="3"/>
      <c r="M334" s="4"/>
      <c r="N334" s="4"/>
      <c r="O334" s="4"/>
      <c r="P334" s="4"/>
      <c r="Q334" s="4"/>
      <c r="R334" s="4"/>
      <c r="S334" s="4"/>
      <c r="T334" s="4">
        <v>79971.901857</v>
      </c>
      <c r="U334" s="4">
        <f>T334*RPI_inc</f>
        <v>81500.02737019109</v>
      </c>
      <c r="V334" s="3"/>
      <c r="W334" s="4"/>
      <c r="X334" s="3"/>
      <c r="Y334" s="4"/>
      <c r="Z334" s="13">
        <f>D334+F334+H334+J334+L334+N334+P334+R334+T334+V334+X334</f>
        <v>5683006.296638</v>
      </c>
      <c r="AC334" s="13">
        <f>E334+G334+I334+K334+M334+O334+Q334+S334+U334+W334+Y334</f>
        <v>5791598.773643822</v>
      </c>
      <c r="AF334" s="51"/>
      <c r="AG334" s="3"/>
      <c r="AH334" s="4"/>
      <c r="AI334" s="3"/>
      <c r="AJ334" s="4"/>
      <c r="AK334" s="4"/>
      <c r="AL334" s="4">
        <v>6074078.465363</v>
      </c>
      <c r="AM334" s="4">
        <f>AL334/$AL$680*$AM$680</f>
        <v>4066849.1889655828</v>
      </c>
      <c r="AN334" s="4"/>
      <c r="AO334" s="4"/>
      <c r="AP334" s="4"/>
      <c r="AQ334" s="4"/>
      <c r="AR334" s="4">
        <v>151698.966176</v>
      </c>
      <c r="AS334" s="4">
        <f>AR334/$AR$680*$AS$680</f>
        <v>148714.0953331395</v>
      </c>
      <c r="AT334" s="3"/>
      <c r="AU334" s="4"/>
      <c r="AV334" s="4"/>
      <c r="AW334" s="4"/>
      <c r="AX334" s="4">
        <v>113446.520765</v>
      </c>
      <c r="AY334" s="4">
        <f>AX334/$AX$680*$AY$680</f>
        <v>111173.78619802535</v>
      </c>
      <c r="AZ334" s="3"/>
      <c r="BA334" s="4"/>
      <c r="BB334" s="3"/>
      <c r="BC334" s="4"/>
      <c r="BD334" s="4"/>
      <c r="BE334" s="4"/>
      <c r="BF334" s="4"/>
      <c r="BG334" s="4"/>
      <c r="BH334" s="4"/>
      <c r="BI334" s="4"/>
      <c r="BJ334" s="4">
        <v>12237514.165129</v>
      </c>
      <c r="BK334" s="4">
        <f>BJ334/BJ333*BI333</f>
        <v>114927.81628481</v>
      </c>
      <c r="BL334" s="4">
        <f>BH334+BK334</f>
        <v>114927.81628481</v>
      </c>
      <c r="BM334" s="4"/>
      <c r="BN334" s="4"/>
      <c r="BO334" s="4">
        <v>16648.873546</v>
      </c>
      <c r="BP334" s="4"/>
      <c r="BQ334" s="4">
        <f t="shared" si="15"/>
        <v>6470800.64213481</v>
      </c>
      <c r="BT334" s="4">
        <f t="shared" si="16"/>
        <v>4441664.886781558</v>
      </c>
      <c r="BW334" s="52"/>
      <c r="BX334" s="4">
        <f t="shared" si="17"/>
        <v>12153806.938772809</v>
      </c>
      <c r="BY334" s="4">
        <f t="shared" si="18"/>
        <v>10233263.66042538</v>
      </c>
    </row>
    <row r="335" spans="1:77" ht="12.75">
      <c r="A335" s="5" t="s">
        <v>968</v>
      </c>
      <c r="B335" s="5" t="s">
        <v>334</v>
      </c>
      <c r="C335" s="5" t="s">
        <v>1346</v>
      </c>
      <c r="D335" s="6">
        <v>17242345.114791</v>
      </c>
      <c r="E335" s="6">
        <f>D335*RPI_inc</f>
        <v>17571816.67749401</v>
      </c>
      <c r="F335" s="6"/>
      <c r="G335" s="6"/>
      <c r="H335" s="6"/>
      <c r="I335" s="6"/>
      <c r="J335" s="6">
        <v>382280.840971</v>
      </c>
      <c r="K335" s="6">
        <f>J335*RPI_inc</f>
        <v>389585.57041630574</v>
      </c>
      <c r="L335" s="6">
        <v>2368038.190423</v>
      </c>
      <c r="M335" s="6">
        <f>L335*RPI_inc</f>
        <v>2413287.327819618</v>
      </c>
      <c r="N335" s="6"/>
      <c r="O335" s="6"/>
      <c r="P335" s="6"/>
      <c r="Q335" s="6"/>
      <c r="R335" s="6"/>
      <c r="S335" s="6"/>
      <c r="T335" s="6"/>
      <c r="U335" s="6"/>
      <c r="V335" s="6">
        <v>49362.354627</v>
      </c>
      <c r="W335" s="6">
        <f>V335*RPI_inc</f>
        <v>50305.58433324841</v>
      </c>
      <c r="X335" s="6">
        <v>1243688.190341</v>
      </c>
      <c r="Y335" s="6">
        <f>X335*RPI_inc</f>
        <v>1267452.9328315924</v>
      </c>
      <c r="Z335" s="14">
        <f>D335+F335+H335+J335+L335+N335+P335+R335+T335+V335+X335</f>
        <v>21285714.691152997</v>
      </c>
      <c r="AC335" s="14">
        <f>E335+G335+I335+K335+M335+O335+Q335+S335+U335+W335+Y335</f>
        <v>21692448.092894778</v>
      </c>
      <c r="AF335" s="51"/>
      <c r="AG335" s="6">
        <v>324683</v>
      </c>
      <c r="AH335" s="6">
        <f>AG335/$AG$680*$AH$680</f>
        <v>244463.731704094</v>
      </c>
      <c r="AI335" s="6">
        <v>20602216.300813</v>
      </c>
      <c r="AJ335" s="6">
        <f>AI335/$AI$680*$AJ$680</f>
        <v>14121802.326640965</v>
      </c>
      <c r="AK335" s="6">
        <f>AJ335-AH335</f>
        <v>13877338.594936872</v>
      </c>
      <c r="AL335" s="6"/>
      <c r="AM335" s="6"/>
      <c r="AN335" s="6"/>
      <c r="AO335" s="6"/>
      <c r="AP335" s="6"/>
      <c r="AQ335" s="6"/>
      <c r="AR335" s="6">
        <v>552141.856407</v>
      </c>
      <c r="AS335" s="6">
        <f>AR335/$AR$680*$AS$680</f>
        <v>541277.7604289164</v>
      </c>
      <c r="AT335" s="6">
        <v>2995373.702287</v>
      </c>
      <c r="AU335" s="6">
        <f>AT335/$AT$680*$AU$680</f>
        <v>2472092.570996394</v>
      </c>
      <c r="AV335" s="6"/>
      <c r="AW335" s="6"/>
      <c r="AX335" s="6"/>
      <c r="AY335" s="6"/>
      <c r="AZ335" s="6">
        <v>70024.436971</v>
      </c>
      <c r="BA335" s="6">
        <f>AZ335/$AZ$680*$BA$680</f>
        <v>68621.59891385444</v>
      </c>
      <c r="BB335" s="6">
        <v>1839010.542123</v>
      </c>
      <c r="BC335" s="6">
        <f>BB335/$BB$680*$BC$680</f>
        <v>1803665.9854581798</v>
      </c>
      <c r="BD335" s="6"/>
      <c r="BE335" s="6"/>
      <c r="BF335" s="6"/>
      <c r="BG335" s="6"/>
      <c r="BH335" s="6"/>
      <c r="BI335" s="6"/>
      <c r="BJ335" s="6">
        <v>41031449.644693</v>
      </c>
      <c r="BK335" s="6">
        <f>BJ335/BJ333*BI333</f>
        <v>385344.18371519004</v>
      </c>
      <c r="BL335" s="6">
        <f>BH335+BK335</f>
        <v>385344.18371519004</v>
      </c>
      <c r="BM335" s="6"/>
      <c r="BN335" s="6"/>
      <c r="BO335" s="6">
        <v>62358.398661</v>
      </c>
      <c r="BP335" s="6">
        <v>-25537</v>
      </c>
      <c r="BQ335" s="6">
        <f aca="true" t="shared" si="19" ref="BQ335:BQ387">AG335+AI335+AL335+AN335+AP335+AR335+AT335+AV335+AX335+AZ335+BB335+BD335+BF335+BH335+BK335+BM335+BO335</f>
        <v>26831152.420977194</v>
      </c>
      <c r="BT335" s="6">
        <f aca="true" t="shared" si="20" ref="BT335:BT380">AJ335+AM335+AQ335+AS335+AU335+AW335+AY335+BA335+BC335+BG335+BL335+BN335+BP335</f>
        <v>19367267.426153503</v>
      </c>
      <c r="BW335" s="52"/>
      <c r="BX335" s="6">
        <f t="shared" si="17"/>
        <v>48116867.112130195</v>
      </c>
      <c r="BY335" s="6">
        <f t="shared" si="18"/>
        <v>41059715.51904828</v>
      </c>
    </row>
    <row r="336" spans="1:77" ht="12.75">
      <c r="A336" t="s">
        <v>969</v>
      </c>
      <c r="B336" t="s">
        <v>335</v>
      </c>
      <c r="K336"/>
      <c r="L336"/>
      <c r="V336"/>
      <c r="X336"/>
      <c r="Z336" s="12">
        <f>Z337+Z338</f>
        <v>11335262.858555999</v>
      </c>
      <c r="AC336" s="12">
        <f>AC337+AC338</f>
        <v>11551860.238018854</v>
      </c>
      <c r="AF336" s="52"/>
      <c r="AG336"/>
      <c r="AI336"/>
      <c r="AT336"/>
      <c r="AV336"/>
      <c r="AW336"/>
      <c r="AZ336"/>
      <c r="BB336"/>
      <c r="BI336">
        <v>613079</v>
      </c>
      <c r="BJ336" s="1">
        <v>9278996.292141</v>
      </c>
      <c r="BQ336" s="1">
        <f>BQ337+BQ338</f>
        <v>15373712.810013998</v>
      </c>
      <c r="BT336" s="1">
        <f>BT337+BT338</f>
        <v>11939543.995898306</v>
      </c>
      <c r="BW336" s="52"/>
      <c r="BX336" s="1">
        <f t="shared" si="17"/>
        <v>26708975.668569997</v>
      </c>
      <c r="BY336" s="1">
        <f t="shared" si="18"/>
        <v>23491404.23391716</v>
      </c>
    </row>
    <row r="337" spans="1:77" ht="12.75">
      <c r="A337" s="3" t="s">
        <v>970</v>
      </c>
      <c r="B337" s="3" t="s">
        <v>336</v>
      </c>
      <c r="C337" s="3" t="s">
        <v>1346</v>
      </c>
      <c r="D337" s="3"/>
      <c r="E337" s="4"/>
      <c r="F337" s="4">
        <v>3416706.678496</v>
      </c>
      <c r="G337" s="4">
        <f>F337*RPI_inc</f>
        <v>3481994.06725707</v>
      </c>
      <c r="H337" s="4"/>
      <c r="I337" s="4"/>
      <c r="J337" s="4">
        <v>301706.52862</v>
      </c>
      <c r="K337" s="4">
        <f>J337*RPI_inc</f>
        <v>307471.6215235669</v>
      </c>
      <c r="L337" s="3"/>
      <c r="M337" s="4"/>
      <c r="N337" s="4"/>
      <c r="O337" s="4"/>
      <c r="P337" s="4"/>
      <c r="Q337" s="4"/>
      <c r="R337" s="4"/>
      <c r="S337" s="4"/>
      <c r="T337" s="4">
        <v>20364.007684</v>
      </c>
      <c r="U337" s="4">
        <f>T337*RPI_inc</f>
        <v>20753.128849936307</v>
      </c>
      <c r="V337" s="3"/>
      <c r="W337" s="4"/>
      <c r="X337" s="3"/>
      <c r="Y337" s="4"/>
      <c r="Z337" s="13">
        <f>D337+F337+H337+J337+L337+N337+P337+R337+T337+V337+X337</f>
        <v>3738777.2147999997</v>
      </c>
      <c r="AC337" s="13">
        <f>E337+G337+I337+K337+M337+O337+Q337+S337+U337+W337+Y337</f>
        <v>3810218.817630573</v>
      </c>
      <c r="AF337" s="51"/>
      <c r="AG337" s="3"/>
      <c r="AH337" s="4"/>
      <c r="AI337" s="3"/>
      <c r="AJ337" s="4"/>
      <c r="AK337" s="4"/>
      <c r="AL337" s="4">
        <v>3774705.145364</v>
      </c>
      <c r="AM337" s="4">
        <f>AL337/$AL$680*$AM$680</f>
        <v>2527322.7283030134</v>
      </c>
      <c r="AN337" s="4"/>
      <c r="AO337" s="4"/>
      <c r="AP337" s="4"/>
      <c r="AQ337" s="4"/>
      <c r="AR337" s="4">
        <v>435765.502606</v>
      </c>
      <c r="AS337" s="4">
        <f>AR337/$AR$680*$AS$680</f>
        <v>427191.2599737593</v>
      </c>
      <c r="AT337" s="3"/>
      <c r="AU337" s="4"/>
      <c r="AV337" s="4"/>
      <c r="AW337" s="4"/>
      <c r="AX337" s="4">
        <v>28887.968986</v>
      </c>
      <c r="AY337" s="4">
        <f>AX337/$AX$680*$AY$680</f>
        <v>28309.240918876858</v>
      </c>
      <c r="AZ337" s="3"/>
      <c r="BA337" s="4"/>
      <c r="BB337" s="3"/>
      <c r="BC337" s="4"/>
      <c r="BD337" s="4"/>
      <c r="BE337" s="4"/>
      <c r="BF337" s="4"/>
      <c r="BG337" s="4"/>
      <c r="BH337" s="4">
        <v>283163.2466</v>
      </c>
      <c r="BI337" s="4"/>
      <c r="BJ337" s="4">
        <v>4143608.938738</v>
      </c>
      <c r="BK337" s="4">
        <f>BJ337/BJ336*BI336</f>
        <v>273775.2602298326</v>
      </c>
      <c r="BL337" s="4">
        <f>BH337+BK337</f>
        <v>556938.5068298327</v>
      </c>
      <c r="BM337" s="4"/>
      <c r="BN337" s="4"/>
      <c r="BO337" s="4">
        <v>10953.081137</v>
      </c>
      <c r="BP337" s="4"/>
      <c r="BQ337" s="4">
        <f t="shared" si="19"/>
        <v>4807250.204922833</v>
      </c>
      <c r="BT337" s="4">
        <f t="shared" si="20"/>
        <v>3539761.7360254824</v>
      </c>
      <c r="BW337" s="52"/>
      <c r="BX337" s="4">
        <f t="shared" si="17"/>
        <v>8546027.419722833</v>
      </c>
      <c r="BY337" s="4">
        <f t="shared" si="18"/>
        <v>7349980.553656056</v>
      </c>
    </row>
    <row r="338" spans="1:77" ht="12.75">
      <c r="A338" s="5" t="s">
        <v>971</v>
      </c>
      <c r="B338" s="5" t="s">
        <v>337</v>
      </c>
      <c r="C338" s="5" t="s">
        <v>1346</v>
      </c>
      <c r="D338" s="6">
        <v>4019720.418187</v>
      </c>
      <c r="E338" s="6">
        <f>D338*RPI_inc</f>
        <v>4096530.3624835666</v>
      </c>
      <c r="F338" s="6"/>
      <c r="G338" s="6"/>
      <c r="H338" s="6"/>
      <c r="I338" s="6"/>
      <c r="J338" s="6">
        <v>361295.466122</v>
      </c>
      <c r="K338" s="6">
        <f>J338*RPI_inc</f>
        <v>368199.2011434395</v>
      </c>
      <c r="L338" s="6">
        <v>1604780.608059</v>
      </c>
      <c r="M338" s="6">
        <f>L338*RPI_inc</f>
        <v>1635445.2056652228</v>
      </c>
      <c r="N338" s="6"/>
      <c r="O338" s="6"/>
      <c r="P338" s="6"/>
      <c r="Q338" s="6"/>
      <c r="R338" s="6"/>
      <c r="S338" s="6"/>
      <c r="T338" s="6"/>
      <c r="U338" s="6"/>
      <c r="V338" s="6">
        <v>52987.147995</v>
      </c>
      <c r="W338" s="6">
        <f>V338*RPI_inc</f>
        <v>53999.641268789805</v>
      </c>
      <c r="X338" s="6">
        <v>1557702.003393</v>
      </c>
      <c r="Y338" s="6">
        <f>X338*RPI_inc</f>
        <v>1587467.009827261</v>
      </c>
      <c r="Z338" s="14">
        <f>D338+F338+H338+J338+L338+N338+P338+R338+T338+V338+X338</f>
        <v>7596485.643755999</v>
      </c>
      <c r="AC338" s="14">
        <f>E338+G338+I338+K338+M338+O338+Q338+S338+U338+W338+Y338</f>
        <v>7741641.42038828</v>
      </c>
      <c r="AF338" s="51"/>
      <c r="AG338" s="6">
        <v>120707</v>
      </c>
      <c r="AH338" s="6">
        <f>AG338/$AG$680*$AH$680</f>
        <v>90883.98118412751</v>
      </c>
      <c r="AI338" s="6">
        <v>4803009.623861</v>
      </c>
      <c r="AJ338" s="6">
        <f>AI338/$AI$680*$AJ$680</f>
        <v>3292226.0154332346</v>
      </c>
      <c r="AK338" s="6">
        <f>AJ338-AH338</f>
        <v>3201342.0342491074</v>
      </c>
      <c r="AL338" s="6"/>
      <c r="AM338" s="6"/>
      <c r="AN338" s="6"/>
      <c r="AO338" s="6"/>
      <c r="AP338" s="6"/>
      <c r="AQ338" s="6"/>
      <c r="AR338" s="6">
        <v>521831.930864</v>
      </c>
      <c r="AS338" s="6">
        <f>AR338/$AR$680*$AS$680</f>
        <v>511564.2213695106</v>
      </c>
      <c r="AT338" s="6">
        <v>2029915.586142</v>
      </c>
      <c r="AU338" s="6">
        <f>AT338/$AT$680*$AU$680</f>
        <v>1675296.5536220155</v>
      </c>
      <c r="AV338" s="6"/>
      <c r="AW338" s="6"/>
      <c r="AX338" s="6"/>
      <c r="AY338" s="6"/>
      <c r="AZ338" s="6">
        <v>75166.495462</v>
      </c>
      <c r="BA338" s="6">
        <f>AZ338/$AZ$680*$BA$680</f>
        <v>73660.64371912881</v>
      </c>
      <c r="BB338" s="6">
        <v>2303334.893725</v>
      </c>
      <c r="BC338" s="6">
        <f>BB338/$BB$680*$BC$680</f>
        <v>2259066.332558766</v>
      </c>
      <c r="BD338" s="6"/>
      <c r="BE338" s="6"/>
      <c r="BF338" s="6"/>
      <c r="BG338" s="6"/>
      <c r="BH338" s="6">
        <v>350938.7534</v>
      </c>
      <c r="BI338" s="6"/>
      <c r="BJ338" s="6">
        <v>5135387.353403</v>
      </c>
      <c r="BK338" s="6">
        <f>BJ338/BJ336*BI336</f>
        <v>339303.7397701674</v>
      </c>
      <c r="BL338" s="6">
        <f>BH338+BK338</f>
        <v>690242.4931701673</v>
      </c>
      <c r="BM338" s="6"/>
      <c r="BN338" s="6"/>
      <c r="BO338" s="6">
        <v>22254.581867</v>
      </c>
      <c r="BP338" s="6">
        <v>-102274</v>
      </c>
      <c r="BQ338" s="6">
        <f t="shared" si="19"/>
        <v>10566462.605091166</v>
      </c>
      <c r="BT338" s="6">
        <f t="shared" si="20"/>
        <v>8399782.259872824</v>
      </c>
      <c r="BW338" s="52"/>
      <c r="BX338" s="6">
        <f t="shared" si="17"/>
        <v>18162948.248847164</v>
      </c>
      <c r="BY338" s="6">
        <f t="shared" si="18"/>
        <v>16141423.680261105</v>
      </c>
    </row>
    <row r="339" spans="1:77" ht="12.75">
      <c r="A339" t="s">
        <v>972</v>
      </c>
      <c r="B339" t="s">
        <v>338</v>
      </c>
      <c r="K339"/>
      <c r="L339"/>
      <c r="V339"/>
      <c r="X339"/>
      <c r="Z339" s="12">
        <f>Z340+Z341</f>
        <v>12576513.791759</v>
      </c>
      <c r="AC339" s="12">
        <f>AC340+AC341</f>
        <v>12816829.34192</v>
      </c>
      <c r="AF339" s="52"/>
      <c r="AG339"/>
      <c r="AI339"/>
      <c r="AT339"/>
      <c r="AV339"/>
      <c r="AW339"/>
      <c r="AZ339"/>
      <c r="BB339"/>
      <c r="BI339"/>
      <c r="BJ339" s="1">
        <v>4436073.860025</v>
      </c>
      <c r="BQ339" s="1">
        <f>BQ340+BQ341</f>
        <v>15743433.872481</v>
      </c>
      <c r="BT339" s="1">
        <f>BT340+BT341</f>
        <v>12436115.166983975</v>
      </c>
      <c r="BW339" s="52"/>
      <c r="BX339" s="1">
        <f t="shared" si="17"/>
        <v>28319947.66424</v>
      </c>
      <c r="BY339" s="1">
        <f t="shared" si="18"/>
        <v>25252944.508903973</v>
      </c>
    </row>
    <row r="340" spans="1:77" ht="12.75">
      <c r="A340" s="3" t="s">
        <v>973</v>
      </c>
      <c r="B340" s="3" t="s">
        <v>339</v>
      </c>
      <c r="C340" s="3" t="s">
        <v>1346</v>
      </c>
      <c r="D340" s="3"/>
      <c r="E340" s="4"/>
      <c r="F340" s="4">
        <v>6072513.94106</v>
      </c>
      <c r="G340" s="4">
        <f>F340*RPI_inc</f>
        <v>6188549.239296815</v>
      </c>
      <c r="H340" s="4"/>
      <c r="I340" s="4"/>
      <c r="J340" s="4">
        <v>478197.453356</v>
      </c>
      <c r="K340" s="4">
        <f>J340*RPI_inc</f>
        <v>487334.98431184713</v>
      </c>
      <c r="L340" s="3"/>
      <c r="M340" s="4"/>
      <c r="N340" s="4"/>
      <c r="O340" s="4"/>
      <c r="P340" s="4"/>
      <c r="Q340" s="4"/>
      <c r="R340" s="4"/>
      <c r="S340" s="4"/>
      <c r="T340" s="4">
        <v>20364.007684</v>
      </c>
      <c r="U340" s="4">
        <f>T340*RPI_inc</f>
        <v>20753.128849936307</v>
      </c>
      <c r="V340" s="3"/>
      <c r="W340" s="4"/>
      <c r="X340" s="3"/>
      <c r="Y340" s="4"/>
      <c r="Z340" s="13">
        <f>D340+F340+H340+J340+L340+N340+P340+R340+T340+V340+X340</f>
        <v>6571075.4021</v>
      </c>
      <c r="AC340" s="13">
        <f>E340+G340+I340+K340+M340+O340+Q340+S340+U340+W340+Y340</f>
        <v>6696637.352458599</v>
      </c>
      <c r="AF340" s="51"/>
      <c r="AG340" s="3"/>
      <c r="AH340" s="4"/>
      <c r="AI340" s="3"/>
      <c r="AJ340" s="4"/>
      <c r="AK340" s="4"/>
      <c r="AL340" s="4">
        <v>6708784.737913</v>
      </c>
      <c r="AM340" s="4">
        <f>AL340/$AL$680*$AM$680</f>
        <v>4491811.544073565</v>
      </c>
      <c r="AN340" s="4"/>
      <c r="AO340" s="4"/>
      <c r="AP340" s="4"/>
      <c r="AQ340" s="4"/>
      <c r="AR340" s="4">
        <v>690677.641481</v>
      </c>
      <c r="AS340" s="4">
        <f>AR340/$AR$680*$AS$680</f>
        <v>677087.6770544761</v>
      </c>
      <c r="AT340" s="3"/>
      <c r="AU340" s="4"/>
      <c r="AV340" s="4"/>
      <c r="AW340" s="4"/>
      <c r="AX340" s="4">
        <v>28887.968986</v>
      </c>
      <c r="AY340" s="4">
        <f>AX340/$AX$680*$AY$680</f>
        <v>28309.240918876858</v>
      </c>
      <c r="AZ340" s="3"/>
      <c r="BA340" s="4"/>
      <c r="BB340" s="3"/>
      <c r="BC340" s="4"/>
      <c r="BD340" s="4"/>
      <c r="BE340" s="4"/>
      <c r="BF340" s="4"/>
      <c r="BG340" s="4"/>
      <c r="BH340" s="4"/>
      <c r="BI340" s="4"/>
      <c r="BJ340" s="4">
        <v>3620243.394578</v>
      </c>
      <c r="BK340" s="4"/>
      <c r="BL340" s="4"/>
      <c r="BM340" s="4"/>
      <c r="BN340" s="4"/>
      <c r="BO340" s="4">
        <v>19250.551156</v>
      </c>
      <c r="BP340" s="4"/>
      <c r="BQ340" s="4">
        <f t="shared" si="19"/>
        <v>7447600.899536001</v>
      </c>
      <c r="BT340" s="4">
        <f t="shared" si="20"/>
        <v>5197208.4620469175</v>
      </c>
      <c r="BW340" s="52"/>
      <c r="BX340" s="4">
        <f t="shared" si="17"/>
        <v>14018676.301636</v>
      </c>
      <c r="BY340" s="4">
        <f t="shared" si="18"/>
        <v>11893845.814505517</v>
      </c>
    </row>
    <row r="341" spans="1:77" ht="12.75">
      <c r="A341" s="5" t="s">
        <v>974</v>
      </c>
      <c r="B341" s="5" t="s">
        <v>340</v>
      </c>
      <c r="C341" s="5" t="s">
        <v>1346</v>
      </c>
      <c r="D341" s="6">
        <v>1192056.847744</v>
      </c>
      <c r="E341" s="6">
        <f>D341*RPI_inc</f>
        <v>1214835.0040703183</v>
      </c>
      <c r="F341" s="6"/>
      <c r="G341" s="6"/>
      <c r="H341" s="6"/>
      <c r="I341" s="6"/>
      <c r="J341" s="6">
        <v>321045.454715</v>
      </c>
      <c r="K341" s="6">
        <f>J341*RPI_inc</f>
        <v>327180.08123821655</v>
      </c>
      <c r="L341" s="6">
        <v>1598771.470925</v>
      </c>
      <c r="M341" s="6">
        <f>L341*RPI_inc</f>
        <v>1629321.2442547772</v>
      </c>
      <c r="N341" s="6"/>
      <c r="O341" s="6"/>
      <c r="P341" s="6"/>
      <c r="Q341" s="6"/>
      <c r="R341" s="6"/>
      <c r="S341" s="6"/>
      <c r="T341" s="6"/>
      <c r="U341" s="6"/>
      <c r="V341" s="6">
        <v>48669.978365</v>
      </c>
      <c r="W341" s="6">
        <f>V341*RPI_inc</f>
        <v>49599.97795159236</v>
      </c>
      <c r="X341" s="6">
        <v>2844894.63791</v>
      </c>
      <c r="Y341" s="6">
        <f>X341*RPI_inc</f>
        <v>2899255.681946497</v>
      </c>
      <c r="Z341" s="14">
        <f>D341+F341+H341+J341+L341+N341+P341+R341+T341+V341+X341</f>
        <v>6005438.389659001</v>
      </c>
      <c r="AC341" s="14">
        <f>E341+G341+I341+K341+M341+O341+Q341+S341+U341+W341+Y341</f>
        <v>6120191.9894614015</v>
      </c>
      <c r="AF341" s="51"/>
      <c r="AG341" s="6">
        <v>92168</v>
      </c>
      <c r="AH341" s="6">
        <f>AG341/$AG$680*$AH$680</f>
        <v>69396.09780525292</v>
      </c>
      <c r="AI341" s="6">
        <v>1424342.968233</v>
      </c>
      <c r="AJ341" s="6">
        <f>AI341/$AI$680*$AJ$680</f>
        <v>976316.7976220952</v>
      </c>
      <c r="AK341" s="6">
        <f>AJ341-AH341</f>
        <v>906920.6998168423</v>
      </c>
      <c r="AL341" s="6"/>
      <c r="AM341" s="6"/>
      <c r="AN341" s="6"/>
      <c r="AO341" s="6"/>
      <c r="AP341" s="6"/>
      <c r="AQ341" s="6"/>
      <c r="AR341" s="6">
        <v>463697.403478</v>
      </c>
      <c r="AS341" s="6">
        <f>AR341/$AR$680*$AS$680</f>
        <v>454573.56503373664</v>
      </c>
      <c r="AT341" s="6">
        <v>2022314.521507</v>
      </c>
      <c r="AU341" s="6">
        <f>AT341/$AT$680*$AU$680</f>
        <v>1669023.3679418785</v>
      </c>
      <c r="AV341" s="6"/>
      <c r="AW341" s="6"/>
      <c r="AX341" s="6"/>
      <c r="AY341" s="6"/>
      <c r="AZ341" s="6">
        <v>69042.246024</v>
      </c>
      <c r="BA341" s="6">
        <f>AZ341/$AZ$680*$BA$680</f>
        <v>67659.08473827074</v>
      </c>
      <c r="BB341" s="6">
        <v>4206674.366597</v>
      </c>
      <c r="BC341" s="6">
        <f>BB341/$BB$680*$BC$680</f>
        <v>4125824.889601076</v>
      </c>
      <c r="BD341" s="6"/>
      <c r="BE341" s="6"/>
      <c r="BF341" s="6"/>
      <c r="BG341" s="6"/>
      <c r="BH341" s="6"/>
      <c r="BI341" s="6"/>
      <c r="BJ341" s="6">
        <v>815830.465447</v>
      </c>
      <c r="BK341" s="6"/>
      <c r="BL341" s="6"/>
      <c r="BM341" s="6"/>
      <c r="BN341" s="6"/>
      <c r="BO341" s="6">
        <v>17593.467106</v>
      </c>
      <c r="BP341" s="6">
        <v>-54491</v>
      </c>
      <c r="BQ341" s="6">
        <f t="shared" si="19"/>
        <v>8295832.972944999</v>
      </c>
      <c r="BT341" s="6">
        <f t="shared" si="20"/>
        <v>7238906.704937058</v>
      </c>
      <c r="BW341" s="52"/>
      <c r="BX341" s="6">
        <f t="shared" si="17"/>
        <v>14301271.362604</v>
      </c>
      <c r="BY341" s="6">
        <f t="shared" si="18"/>
        <v>13359098.694398459</v>
      </c>
    </row>
    <row r="342" spans="1:77" ht="12.75">
      <c r="A342" t="s">
        <v>975</v>
      </c>
      <c r="B342" t="s">
        <v>341</v>
      </c>
      <c r="K342"/>
      <c r="L342"/>
      <c r="V342"/>
      <c r="X342"/>
      <c r="Z342" s="12">
        <f>Z343+Z344</f>
        <v>37415204.911862</v>
      </c>
      <c r="AC342" s="12">
        <f>AC343+AC344</f>
        <v>38130145.13310777</v>
      </c>
      <c r="AF342" s="52"/>
      <c r="AG342"/>
      <c r="AI342"/>
      <c r="AT342"/>
      <c r="AV342"/>
      <c r="AW342"/>
      <c r="AZ342"/>
      <c r="BB342"/>
      <c r="BI342">
        <v>662608</v>
      </c>
      <c r="BJ342" s="1">
        <v>77303112.504745</v>
      </c>
      <c r="BQ342" s="1">
        <f>BQ343+BQ344</f>
        <v>47428114.89157601</v>
      </c>
      <c r="BT342" s="1">
        <f>BT343+BT344</f>
        <v>34025822.55993941</v>
      </c>
      <c r="BW342" s="52"/>
      <c r="BX342" s="1">
        <f t="shared" si="17"/>
        <v>84843319.80343801</v>
      </c>
      <c r="BY342" s="1">
        <f t="shared" si="18"/>
        <v>72155967.69304717</v>
      </c>
    </row>
    <row r="343" spans="1:77" ht="12.75">
      <c r="A343" s="3" t="s">
        <v>976</v>
      </c>
      <c r="B343" s="3" t="s">
        <v>342</v>
      </c>
      <c r="C343" s="3" t="s">
        <v>1346</v>
      </c>
      <c r="D343" s="3"/>
      <c r="E343" s="4"/>
      <c r="F343" s="4">
        <v>5696005.990989</v>
      </c>
      <c r="G343" s="4">
        <f>F343*RPI_inc</f>
        <v>5804846.869797707</v>
      </c>
      <c r="H343" s="4"/>
      <c r="I343" s="4"/>
      <c r="J343" s="4">
        <v>104427.200799</v>
      </c>
      <c r="K343" s="4">
        <f>J343*RPI_inc</f>
        <v>106422.62501808917</v>
      </c>
      <c r="L343" s="3"/>
      <c r="M343" s="4"/>
      <c r="N343" s="4"/>
      <c r="O343" s="4"/>
      <c r="P343" s="4"/>
      <c r="Q343" s="4"/>
      <c r="R343" s="4"/>
      <c r="S343" s="4"/>
      <c r="T343" s="4">
        <v>85641.648877</v>
      </c>
      <c r="U343" s="4">
        <f>T343*RPI_inc</f>
        <v>87278.11350522292</v>
      </c>
      <c r="V343" s="3"/>
      <c r="W343" s="4"/>
      <c r="X343" s="3"/>
      <c r="Y343" s="4"/>
      <c r="Z343" s="13">
        <f>D343+F343+H343+J343+L343+N343+P343+R343+T343+V343+X343</f>
        <v>5886074.8406650005</v>
      </c>
      <c r="AC343" s="13">
        <f>E343+G343+I343+K343+M343+O343+Q343+S343+U343+W343+Y343</f>
        <v>5998547.6083210185</v>
      </c>
      <c r="AF343" s="51"/>
      <c r="AG343" s="3"/>
      <c r="AH343" s="4"/>
      <c r="AI343" s="3"/>
      <c r="AJ343" s="4"/>
      <c r="AK343" s="4"/>
      <c r="AL343" s="4">
        <v>6292826.732109</v>
      </c>
      <c r="AM343" s="4">
        <f>AL343/$AL$680*$AM$680</f>
        <v>4213310.288583669</v>
      </c>
      <c r="AN343" s="4"/>
      <c r="AO343" s="4"/>
      <c r="AP343" s="4"/>
      <c r="AQ343" s="4"/>
      <c r="AR343" s="4">
        <v>150827.931533</v>
      </c>
      <c r="AS343" s="4">
        <f>AR343/$AR$680*$AS$680</f>
        <v>147860.19940884374</v>
      </c>
      <c r="AT343" s="3"/>
      <c r="AU343" s="4"/>
      <c r="AV343" s="4"/>
      <c r="AW343" s="4"/>
      <c r="AX343" s="4">
        <v>121489.50909</v>
      </c>
      <c r="AY343" s="4">
        <f>AX343/$AX$680*$AY$680</f>
        <v>119055.64505457859</v>
      </c>
      <c r="AZ343" s="3"/>
      <c r="BA343" s="4"/>
      <c r="BB343" s="3"/>
      <c r="BC343" s="4"/>
      <c r="BD343" s="4"/>
      <c r="BE343" s="4"/>
      <c r="BF343" s="4"/>
      <c r="BG343" s="4"/>
      <c r="BH343" s="4">
        <v>110317.367859</v>
      </c>
      <c r="BI343" s="4"/>
      <c r="BJ343" s="4">
        <v>13134560.19658</v>
      </c>
      <c r="BK343" s="4">
        <f>BJ343/BJ342*BI342</f>
        <v>112583.62542907015</v>
      </c>
      <c r="BL343" s="4">
        <f>BH343+BK343</f>
        <v>222900.99328807014</v>
      </c>
      <c r="BM343" s="4"/>
      <c r="BN343" s="4"/>
      <c r="BO343" s="4">
        <v>17243.780948</v>
      </c>
      <c r="BP343" s="4"/>
      <c r="BQ343" s="4">
        <f t="shared" si="19"/>
        <v>6805288.946968071</v>
      </c>
      <c r="BT343" s="4">
        <f t="shared" si="20"/>
        <v>4703127.126335162</v>
      </c>
      <c r="BW343" s="52"/>
      <c r="BX343" s="4">
        <f t="shared" si="17"/>
        <v>12691363.787633073</v>
      </c>
      <c r="BY343" s="4">
        <f t="shared" si="18"/>
        <v>10701674.734656181</v>
      </c>
    </row>
    <row r="344" spans="1:77" ht="12.75">
      <c r="A344" s="5" t="s">
        <v>977</v>
      </c>
      <c r="B344" s="5" t="s">
        <v>343</v>
      </c>
      <c r="C344" s="5" t="s">
        <v>1346</v>
      </c>
      <c r="D344" s="6">
        <v>25684937.079808</v>
      </c>
      <c r="E344" s="6">
        <f>D344*RPI_inc</f>
        <v>26175732.055855285</v>
      </c>
      <c r="F344" s="6"/>
      <c r="G344" s="6"/>
      <c r="H344" s="6"/>
      <c r="I344" s="6"/>
      <c r="J344" s="6">
        <v>520016.767233</v>
      </c>
      <c r="K344" s="6">
        <f>J344*RPI_inc</f>
        <v>529953.3933584713</v>
      </c>
      <c r="L344" s="6">
        <v>3094994.689623</v>
      </c>
      <c r="M344" s="6">
        <f>L344*RPI_inc</f>
        <v>3154134.715539363</v>
      </c>
      <c r="N344" s="6"/>
      <c r="O344" s="6"/>
      <c r="P344" s="6"/>
      <c r="Q344" s="6"/>
      <c r="R344" s="6"/>
      <c r="S344" s="6"/>
      <c r="T344" s="6"/>
      <c r="U344" s="6"/>
      <c r="V344" s="6">
        <v>48262.698212</v>
      </c>
      <c r="W344" s="6">
        <f>V344*RPI_inc</f>
        <v>49184.915375286626</v>
      </c>
      <c r="X344" s="6">
        <v>2180918.836321</v>
      </c>
      <c r="Y344" s="6">
        <f>X344*RPI_inc</f>
        <v>2222592.444658344</v>
      </c>
      <c r="Z344" s="14">
        <f>D344+F344+H344+J344+L344+N344+P344+R344+T344+V344+X344</f>
        <v>31529130.071197003</v>
      </c>
      <c r="AC344" s="14">
        <f>E344+G344+I344+K344+M344+O344+Q344+S344+U344+W344+Y344</f>
        <v>32131597.524786748</v>
      </c>
      <c r="AF344" s="51"/>
      <c r="AG344" s="6">
        <v>792209</v>
      </c>
      <c r="AH344" s="6">
        <f>AG344/$AG$680*$AH$680</f>
        <v>596478.314015728</v>
      </c>
      <c r="AI344" s="6">
        <v>30689945.356507</v>
      </c>
      <c r="AJ344" s="6">
        <f>AI344/$AI$680*$AJ$680</f>
        <v>21036442.653157756</v>
      </c>
      <c r="AK344" s="6">
        <f>AJ344-AH344</f>
        <v>20439964.33914203</v>
      </c>
      <c r="AL344" s="6"/>
      <c r="AM344" s="6"/>
      <c r="AN344" s="6"/>
      <c r="AO344" s="6"/>
      <c r="AP344" s="6"/>
      <c r="AQ344" s="6"/>
      <c r="AR344" s="6">
        <v>751078.76841</v>
      </c>
      <c r="AS344" s="6">
        <f>AR344/$AR$680*$AS$680</f>
        <v>736300.3346933353</v>
      </c>
      <c r="AT344" s="6">
        <v>3914913.931501</v>
      </c>
      <c r="AU344" s="6">
        <f>AT344/$AT$680*$AU$680</f>
        <v>3230992.3929573894</v>
      </c>
      <c r="AV344" s="6"/>
      <c r="AW344" s="6"/>
      <c r="AX344" s="6"/>
      <c r="AY344" s="6"/>
      <c r="AZ344" s="6">
        <v>68464.486643</v>
      </c>
      <c r="BA344" s="6">
        <f>AZ344/$AZ$680*$BA$680</f>
        <v>67092.89992870037</v>
      </c>
      <c r="BB344" s="6">
        <v>3224869.997689</v>
      </c>
      <c r="BC344" s="6">
        <f>BB344/$BB$680*$BC$680</f>
        <v>3162890.146155135</v>
      </c>
      <c r="BD344" s="6"/>
      <c r="BE344" s="6"/>
      <c r="BF344" s="6"/>
      <c r="BG344" s="6"/>
      <c r="BH344" s="6">
        <v>538952.632141</v>
      </c>
      <c r="BI344" s="6"/>
      <c r="BJ344" s="6">
        <v>64168552.308165</v>
      </c>
      <c r="BK344" s="6">
        <f>BJ344/BJ342*BI342</f>
        <v>550024.3745709298</v>
      </c>
      <c r="BL344" s="6">
        <f>BH344+BK344</f>
        <v>1088977.0067119298</v>
      </c>
      <c r="BM344" s="6"/>
      <c r="BN344" s="6"/>
      <c r="BO344" s="6">
        <v>92367.397146</v>
      </c>
      <c r="BP344" s="6"/>
      <c r="BQ344" s="6">
        <f t="shared" si="19"/>
        <v>40622825.944607936</v>
      </c>
      <c r="BT344" s="6">
        <f t="shared" si="20"/>
        <v>29322695.433604244</v>
      </c>
      <c r="BW344" s="52"/>
      <c r="BX344" s="6">
        <f t="shared" si="17"/>
        <v>72151956.01580495</v>
      </c>
      <c r="BY344" s="6">
        <f t="shared" si="18"/>
        <v>61454292.958390996</v>
      </c>
    </row>
    <row r="345" spans="1:77" ht="12.75">
      <c r="A345" t="s">
        <v>978</v>
      </c>
      <c r="B345" t="s">
        <v>344</v>
      </c>
      <c r="K345"/>
      <c r="L345"/>
      <c r="V345"/>
      <c r="X345"/>
      <c r="Z345" s="12">
        <f>Z346+Z347</f>
        <v>32154130.39161</v>
      </c>
      <c r="AC345" s="12">
        <f>AC346+AC347</f>
        <v>32768540.52648153</v>
      </c>
      <c r="AF345" s="52"/>
      <c r="AG345"/>
      <c r="AI345"/>
      <c r="AT345"/>
      <c r="AV345"/>
      <c r="AW345"/>
      <c r="AZ345"/>
      <c r="BB345"/>
      <c r="BI345"/>
      <c r="BJ345" s="1">
        <v>57679751.633105</v>
      </c>
      <c r="BQ345" s="1">
        <f>BQ346+BQ347</f>
        <v>39763346.244559996</v>
      </c>
      <c r="BT345" s="1">
        <f>BT346+BT347</f>
        <v>27999026.12633015</v>
      </c>
      <c r="BW345" s="52"/>
      <c r="BX345" s="1">
        <f t="shared" si="17"/>
        <v>71917476.63617</v>
      </c>
      <c r="BY345" s="1">
        <f t="shared" si="18"/>
        <v>60767566.652811676</v>
      </c>
    </row>
    <row r="346" spans="1:77" ht="12.75">
      <c r="A346" s="3" t="s">
        <v>979</v>
      </c>
      <c r="B346" s="3" t="s">
        <v>345</v>
      </c>
      <c r="C346" s="3" t="s">
        <v>1346</v>
      </c>
      <c r="D346" s="3"/>
      <c r="E346" s="4"/>
      <c r="F346" s="4">
        <v>4105276.438902</v>
      </c>
      <c r="G346" s="4">
        <f>F346*RPI_inc</f>
        <v>4183721.2116198726</v>
      </c>
      <c r="H346" s="4"/>
      <c r="I346" s="4"/>
      <c r="J346" s="4">
        <v>62451.097583</v>
      </c>
      <c r="K346" s="4">
        <f>J346*RPI_inc</f>
        <v>63644.4306578344</v>
      </c>
      <c r="L346" s="3"/>
      <c r="M346" s="4"/>
      <c r="N346" s="4"/>
      <c r="O346" s="4"/>
      <c r="P346" s="4"/>
      <c r="Q346" s="4"/>
      <c r="R346" s="4"/>
      <c r="S346" s="4"/>
      <c r="T346" s="4">
        <v>20364.007684</v>
      </c>
      <c r="U346" s="4">
        <f>T346*RPI_inc</f>
        <v>20753.128849936307</v>
      </c>
      <c r="V346" s="3"/>
      <c r="W346" s="4"/>
      <c r="X346" s="3"/>
      <c r="Y346" s="4"/>
      <c r="Z346" s="13">
        <f>D346+F346+H346+J346+L346+N346+P346+R346+T346+V346+X346</f>
        <v>4188091.544169</v>
      </c>
      <c r="AC346" s="13">
        <f>E346+G346+I346+K346+M346+O346+Q346+S346+U346+W346+Y346</f>
        <v>4268118.771127644</v>
      </c>
      <c r="AF346" s="51"/>
      <c r="AG346" s="3"/>
      <c r="AH346" s="4"/>
      <c r="AI346" s="3"/>
      <c r="AJ346" s="4"/>
      <c r="AK346" s="4"/>
      <c r="AL346" s="4">
        <v>4535422.427274</v>
      </c>
      <c r="AM346" s="4">
        <f>AL346/$AL$680*$AM$680</f>
        <v>3036654.7164571867</v>
      </c>
      <c r="AN346" s="4"/>
      <c r="AO346" s="4"/>
      <c r="AP346" s="4"/>
      <c r="AQ346" s="4"/>
      <c r="AR346" s="4">
        <v>90200.34817</v>
      </c>
      <c r="AS346" s="4">
        <f>AR346/$AR$680*$AS$680</f>
        <v>88425.54115545428</v>
      </c>
      <c r="AT346" s="3"/>
      <c r="AU346" s="4"/>
      <c r="AV346" s="4"/>
      <c r="AW346" s="4"/>
      <c r="AX346" s="4">
        <v>28887.968986</v>
      </c>
      <c r="AY346" s="4">
        <f>AX346/$AX$680*$AY$680</f>
        <v>28309.240918876858</v>
      </c>
      <c r="AZ346" s="3"/>
      <c r="BA346" s="4"/>
      <c r="BB346" s="3"/>
      <c r="BC346" s="4"/>
      <c r="BD346" s="4"/>
      <c r="BE346" s="4"/>
      <c r="BF346" s="4"/>
      <c r="BG346" s="4"/>
      <c r="BH346" s="4"/>
      <c r="BI346" s="4"/>
      <c r="BJ346" s="4">
        <v>8253003.248837</v>
      </c>
      <c r="BK346" s="4"/>
      <c r="BL346" s="4"/>
      <c r="BM346" s="4"/>
      <c r="BN346" s="4"/>
      <c r="BO346" s="4">
        <v>12269.387518</v>
      </c>
      <c r="BP346" s="4"/>
      <c r="BQ346" s="4">
        <f t="shared" si="19"/>
        <v>4666780.131948</v>
      </c>
      <c r="BT346" s="4">
        <f t="shared" si="20"/>
        <v>3153389.498531518</v>
      </c>
      <c r="BW346" s="52"/>
      <c r="BX346" s="4">
        <f t="shared" si="17"/>
        <v>8854871.676117</v>
      </c>
      <c r="BY346" s="4">
        <f t="shared" si="18"/>
        <v>7421508.269659162</v>
      </c>
    </row>
    <row r="347" spans="1:77" ht="12.75">
      <c r="A347" s="5" t="s">
        <v>980</v>
      </c>
      <c r="B347" s="5" t="s">
        <v>346</v>
      </c>
      <c r="C347" s="5" t="s">
        <v>1346</v>
      </c>
      <c r="D347" s="6">
        <v>23003778.200312</v>
      </c>
      <c r="E347" s="6">
        <f>D347*RPI_inc</f>
        <v>23443340.841082294</v>
      </c>
      <c r="F347" s="6"/>
      <c r="G347" s="6"/>
      <c r="H347" s="6"/>
      <c r="I347" s="6"/>
      <c r="J347" s="6">
        <v>380141.874548</v>
      </c>
      <c r="K347" s="6">
        <f>J347*RPI_inc</f>
        <v>387405.7320234395</v>
      </c>
      <c r="L347" s="6">
        <v>2660728.624912</v>
      </c>
      <c r="M347" s="6">
        <f>L347*RPI_inc</f>
        <v>2711570.573158726</v>
      </c>
      <c r="N347" s="6"/>
      <c r="O347" s="6"/>
      <c r="P347" s="6"/>
      <c r="Q347" s="6"/>
      <c r="R347" s="6"/>
      <c r="S347" s="6"/>
      <c r="T347" s="6"/>
      <c r="U347" s="6"/>
      <c r="V347" s="6">
        <v>47081.585766</v>
      </c>
      <c r="W347" s="6">
        <f>V347*RPI_inc</f>
        <v>47981.23390165604</v>
      </c>
      <c r="X347" s="6">
        <v>1874308.561903</v>
      </c>
      <c r="Y347" s="6">
        <f>X347*RPI_inc</f>
        <v>1910123.3751877707</v>
      </c>
      <c r="Z347" s="14">
        <f>D347+F347+H347+J347+L347+N347+P347+R347+T347+V347+X347</f>
        <v>27966038.847441</v>
      </c>
      <c r="AC347" s="14">
        <f>E347+G347+I347+K347+M347+O347+Q347+S347+U347+W347+Y347</f>
        <v>28500421.755353887</v>
      </c>
      <c r="AF347" s="51"/>
      <c r="AG347" s="6">
        <v>775368</v>
      </c>
      <c r="AH347" s="6">
        <f>AG347/$AG$680*$AH$680</f>
        <v>583798.2115600137</v>
      </c>
      <c r="AI347" s="6">
        <v>27486331.532257</v>
      </c>
      <c r="AJ347" s="6">
        <f>AI347/$AI$680*$AJ$680</f>
        <v>18840523.510460112</v>
      </c>
      <c r="AK347" s="6">
        <f>AJ347-AH347</f>
        <v>18256725.298900098</v>
      </c>
      <c r="AL347" s="6"/>
      <c r="AM347" s="6"/>
      <c r="AN347" s="6"/>
      <c r="AO347" s="6"/>
      <c r="AP347" s="6"/>
      <c r="AQ347" s="6"/>
      <c r="AR347" s="6">
        <v>549052.470895</v>
      </c>
      <c r="AS347" s="6">
        <f>AR347/$AR$680*$AS$680</f>
        <v>538249.1625212724</v>
      </c>
      <c r="AT347" s="6">
        <v>3365603.048217</v>
      </c>
      <c r="AU347" s="6">
        <f>AT347/$AT$680*$AU$680</f>
        <v>2777644.167092604</v>
      </c>
      <c r="AV347" s="6"/>
      <c r="AW347" s="6"/>
      <c r="AX347" s="6"/>
      <c r="AY347" s="6"/>
      <c r="AZ347" s="6">
        <v>66788.984438</v>
      </c>
      <c r="BA347" s="6">
        <f>AZ347/$AZ$680*$BA$680</f>
        <v>65450.963980848275</v>
      </c>
      <c r="BB347" s="6">
        <v>2771493.073024</v>
      </c>
      <c r="BC347" s="6">
        <f>BB347/$BB$680*$BC$680</f>
        <v>2718226.8237437927</v>
      </c>
      <c r="BD347" s="6"/>
      <c r="BE347" s="6"/>
      <c r="BF347" s="6"/>
      <c r="BG347" s="6"/>
      <c r="BH347" s="6"/>
      <c r="BI347" s="6"/>
      <c r="BJ347" s="6">
        <v>49426748.384267</v>
      </c>
      <c r="BK347" s="6"/>
      <c r="BL347" s="6"/>
      <c r="BM347" s="6"/>
      <c r="BN347" s="6"/>
      <c r="BO347" s="6">
        <v>81929.003781</v>
      </c>
      <c r="BP347" s="6">
        <v>-94458</v>
      </c>
      <c r="BQ347" s="6">
        <f t="shared" si="19"/>
        <v>35096566.112611994</v>
      </c>
      <c r="BT347" s="6">
        <f t="shared" si="20"/>
        <v>24845636.62779863</v>
      </c>
      <c r="BW347" s="52"/>
      <c r="BX347" s="6">
        <f t="shared" si="17"/>
        <v>63062604.960053</v>
      </c>
      <c r="BY347" s="6">
        <f t="shared" si="18"/>
        <v>53346058.383152515</v>
      </c>
    </row>
    <row r="348" spans="1:77" ht="12.75">
      <c r="A348" t="s">
        <v>981</v>
      </c>
      <c r="B348" t="s">
        <v>347</v>
      </c>
      <c r="K348"/>
      <c r="L348"/>
      <c r="V348"/>
      <c r="X348"/>
      <c r="Z348" s="12">
        <f>Z349+Z350</f>
        <v>27902742.146957997</v>
      </c>
      <c r="AC348" s="12">
        <f>AC349+AC350</f>
        <v>28435915.56377885</v>
      </c>
      <c r="AF348" s="52"/>
      <c r="AG348"/>
      <c r="AI348"/>
      <c r="AT348"/>
      <c r="AV348"/>
      <c r="AW348"/>
      <c r="AZ348"/>
      <c r="BB348"/>
      <c r="BI348"/>
      <c r="BJ348" s="1">
        <v>49383563.76232</v>
      </c>
      <c r="BQ348" s="1">
        <f>BQ349+BQ350</f>
        <v>34645400.893407</v>
      </c>
      <c r="BT348" s="1">
        <f>BT349+BT350</f>
        <v>24728989.43730592</v>
      </c>
      <c r="BW348" s="52"/>
      <c r="BX348" s="1">
        <f t="shared" si="17"/>
        <v>62548143.040364996</v>
      </c>
      <c r="BY348" s="1">
        <f t="shared" si="18"/>
        <v>53164905.001084775</v>
      </c>
    </row>
    <row r="349" spans="1:77" ht="12.75">
      <c r="A349" s="3" t="s">
        <v>982</v>
      </c>
      <c r="B349" s="3" t="s">
        <v>348</v>
      </c>
      <c r="C349" s="3" t="s">
        <v>1346</v>
      </c>
      <c r="D349" s="3"/>
      <c r="E349" s="4"/>
      <c r="F349" s="4">
        <v>4627189.211885</v>
      </c>
      <c r="G349" s="4">
        <f>F349*RPI_inc</f>
        <v>4715606.8401375795</v>
      </c>
      <c r="H349" s="4"/>
      <c r="I349" s="4"/>
      <c r="J349" s="4">
        <v>163014.620938</v>
      </c>
      <c r="K349" s="4">
        <f>J349*RPI_inc</f>
        <v>166129.55000050957</v>
      </c>
      <c r="L349" s="3"/>
      <c r="M349" s="4"/>
      <c r="N349" s="4"/>
      <c r="O349" s="4"/>
      <c r="P349" s="4"/>
      <c r="Q349" s="4"/>
      <c r="R349" s="4"/>
      <c r="S349" s="4"/>
      <c r="T349" s="4">
        <v>45953.41974</v>
      </c>
      <c r="U349" s="4">
        <f>T349*RPI_inc</f>
        <v>46831.51056305732</v>
      </c>
      <c r="V349" s="3"/>
      <c r="W349" s="4"/>
      <c r="X349" s="3"/>
      <c r="Y349" s="4"/>
      <c r="Z349" s="13">
        <f>D349+F349+H349+J349+L349+N349+P349+R349+T349+V349+X349</f>
        <v>4836157.252563</v>
      </c>
      <c r="AC349" s="13">
        <f>E349+G349+I349+K349+M349+O349+Q349+S349+U349+W349+Y349</f>
        <v>4928567.900701146</v>
      </c>
      <c r="AF349" s="51"/>
      <c r="AG349" s="3"/>
      <c r="AH349" s="4"/>
      <c r="AI349" s="3"/>
      <c r="AJ349" s="4"/>
      <c r="AK349" s="4"/>
      <c r="AL349" s="4">
        <v>5112020.6006</v>
      </c>
      <c r="AM349" s="4">
        <f>AL349/$AL$680*$AM$680</f>
        <v>3422711.272512845</v>
      </c>
      <c r="AN349" s="4"/>
      <c r="AO349" s="4"/>
      <c r="AP349" s="4"/>
      <c r="AQ349" s="4"/>
      <c r="AR349" s="4">
        <v>235447.832535</v>
      </c>
      <c r="AS349" s="4">
        <f>AR349/$AR$680*$AS$680</f>
        <v>230815.09581922658</v>
      </c>
      <c r="AT349" s="3"/>
      <c r="AU349" s="4"/>
      <c r="AV349" s="4"/>
      <c r="AW349" s="4"/>
      <c r="AX349" s="4">
        <v>65188.590814</v>
      </c>
      <c r="AY349" s="4">
        <f>AX349/$AX$680*$AY$680</f>
        <v>63882.63305772607</v>
      </c>
      <c r="AZ349" s="3"/>
      <c r="BA349" s="4"/>
      <c r="BB349" s="3"/>
      <c r="BC349" s="4"/>
      <c r="BD349" s="4"/>
      <c r="BE349" s="4"/>
      <c r="BF349" s="4"/>
      <c r="BG349" s="4"/>
      <c r="BH349" s="4"/>
      <c r="BI349" s="4"/>
      <c r="BJ349" s="4">
        <v>9485535.795756</v>
      </c>
      <c r="BK349" s="4"/>
      <c r="BL349" s="4"/>
      <c r="BM349" s="4"/>
      <c r="BN349" s="4"/>
      <c r="BO349" s="4">
        <v>14167.953781</v>
      </c>
      <c r="BP349" s="4"/>
      <c r="BQ349" s="4">
        <f t="shared" si="19"/>
        <v>5426824.977729999</v>
      </c>
      <c r="BT349" s="4">
        <f t="shared" si="20"/>
        <v>3717409.001389798</v>
      </c>
      <c r="BW349" s="52"/>
      <c r="BX349" s="4">
        <f t="shared" si="17"/>
        <v>10262982.230292998</v>
      </c>
      <c r="BY349" s="4">
        <f t="shared" si="18"/>
        <v>8645976.902090944</v>
      </c>
    </row>
    <row r="350" spans="1:77" ht="12.75">
      <c r="A350" s="5" t="s">
        <v>983</v>
      </c>
      <c r="B350" s="5" t="s">
        <v>349</v>
      </c>
      <c r="C350" s="5" t="s">
        <v>1346</v>
      </c>
      <c r="D350" s="6">
        <v>17819966.381415</v>
      </c>
      <c r="E350" s="6">
        <f>D350*RPI_inc</f>
        <v>18160475.293161783</v>
      </c>
      <c r="F350" s="6"/>
      <c r="G350" s="6"/>
      <c r="H350" s="6"/>
      <c r="I350" s="6"/>
      <c r="J350" s="6">
        <v>648931.355126</v>
      </c>
      <c r="K350" s="6">
        <f>J350*RPI_inc</f>
        <v>661331.3173258599</v>
      </c>
      <c r="L350" s="6">
        <v>2496550.838119</v>
      </c>
      <c r="M350" s="6">
        <f>L350*RPI_inc</f>
        <v>2544255.6312040766</v>
      </c>
      <c r="N350" s="6"/>
      <c r="O350" s="6"/>
      <c r="P350" s="6"/>
      <c r="Q350" s="6"/>
      <c r="R350" s="6"/>
      <c r="S350" s="6"/>
      <c r="T350" s="6"/>
      <c r="U350" s="6"/>
      <c r="V350" s="6">
        <v>50543.467072</v>
      </c>
      <c r="W350" s="6">
        <f>V350*RPI_inc</f>
        <v>51509.265805859875</v>
      </c>
      <c r="X350" s="6">
        <v>2050592.852663</v>
      </c>
      <c r="Y350" s="6">
        <f>X350*RPI_inc</f>
        <v>2089776.1555801276</v>
      </c>
      <c r="Z350" s="14">
        <f>D350+F350+H350+J350+L350+N350+P350+R350+T350+V350+X350</f>
        <v>23066584.894394998</v>
      </c>
      <c r="AC350" s="14">
        <f>E350+G350+I350+K350+M350+O350+Q350+S350+U350+W350+Y350</f>
        <v>23507347.663077705</v>
      </c>
      <c r="AF350" s="51"/>
      <c r="AG350" s="6">
        <v>659540</v>
      </c>
      <c r="AH350" s="6">
        <f>AG350/$AG$680*$AH$680</f>
        <v>496587.7782579259</v>
      </c>
      <c r="AI350" s="6">
        <v>21292393.779323</v>
      </c>
      <c r="AJ350" s="6">
        <f>AI350/$AI$680*$AJ$680</f>
        <v>14594884.920256544</v>
      </c>
      <c r="AK350" s="6">
        <f>AJ350-AH350</f>
        <v>14098297.141998619</v>
      </c>
      <c r="AL350" s="6"/>
      <c r="AM350" s="6"/>
      <c r="AN350" s="6"/>
      <c r="AO350" s="6"/>
      <c r="AP350" s="6"/>
      <c r="AQ350" s="6"/>
      <c r="AR350" s="6">
        <v>937274.706706</v>
      </c>
      <c r="AS350" s="6">
        <f>AR350/$AR$680*$AS$680</f>
        <v>918832.6301756199</v>
      </c>
      <c r="AT350" s="6">
        <v>3157931.640278</v>
      </c>
      <c r="AU350" s="6">
        <f>AT350/$AT$680*$AU$680</f>
        <v>2606252.2154364916</v>
      </c>
      <c r="AV350" s="6"/>
      <c r="AW350" s="6"/>
      <c r="AX350" s="6"/>
      <c r="AY350" s="6"/>
      <c r="AZ350" s="6">
        <v>71699.939176</v>
      </c>
      <c r="BA350" s="6">
        <f>AZ350/$AZ$680*$BA$680</f>
        <v>70263.53486170653</v>
      </c>
      <c r="BB350" s="6">
        <v>3032160.23352</v>
      </c>
      <c r="BC350" s="6">
        <f>BB350/$BB$680*$BC$680</f>
        <v>2973884.135185761</v>
      </c>
      <c r="BD350" s="6"/>
      <c r="BE350" s="6"/>
      <c r="BF350" s="6"/>
      <c r="BG350" s="6"/>
      <c r="BH350" s="6"/>
      <c r="BI350" s="6"/>
      <c r="BJ350" s="6">
        <v>39898027.966564</v>
      </c>
      <c r="BK350" s="6"/>
      <c r="BL350" s="6"/>
      <c r="BM350" s="6"/>
      <c r="BN350" s="6"/>
      <c r="BO350" s="6">
        <v>67575.616674</v>
      </c>
      <c r="BP350" s="6">
        <v>-152537</v>
      </c>
      <c r="BQ350" s="6">
        <f t="shared" si="19"/>
        <v>29218575.915677</v>
      </c>
      <c r="BT350" s="6">
        <f t="shared" si="20"/>
        <v>21011580.435916122</v>
      </c>
      <c r="BW350" s="52"/>
      <c r="BX350" s="6">
        <f t="shared" si="17"/>
        <v>52285160.810072</v>
      </c>
      <c r="BY350" s="6">
        <f t="shared" si="18"/>
        <v>44518928.09899382</v>
      </c>
    </row>
    <row r="351" spans="1:77" ht="12.75">
      <c r="A351" t="s">
        <v>984</v>
      </c>
      <c r="B351" t="s">
        <v>350</v>
      </c>
      <c r="K351"/>
      <c r="L351"/>
      <c r="V351"/>
      <c r="X351"/>
      <c r="Z351" s="12">
        <f>Z352+Z353</f>
        <v>51953103.63248301</v>
      </c>
      <c r="AC351" s="12">
        <f>AC352+AC353</f>
        <v>52945838.09679796</v>
      </c>
      <c r="AF351" s="52"/>
      <c r="AG351"/>
      <c r="AI351"/>
      <c r="AT351"/>
      <c r="AV351"/>
      <c r="AW351"/>
      <c r="AZ351"/>
      <c r="BB351"/>
      <c r="BI351"/>
      <c r="BJ351" s="1">
        <v>105529866.514751</v>
      </c>
      <c r="BQ351" s="1">
        <f>BQ352+BQ353</f>
        <v>63417518.580382</v>
      </c>
      <c r="BT351" s="1">
        <f>BT352+BT353</f>
        <v>43954089.62654838</v>
      </c>
      <c r="BW351" s="52"/>
      <c r="BX351" s="1">
        <f t="shared" si="17"/>
        <v>115370622.21286501</v>
      </c>
      <c r="BY351" s="1">
        <f t="shared" si="18"/>
        <v>96899927.72334634</v>
      </c>
    </row>
    <row r="352" spans="1:77" ht="12.75">
      <c r="A352" s="3" t="s">
        <v>985</v>
      </c>
      <c r="B352" s="3" t="s">
        <v>351</v>
      </c>
      <c r="C352" s="3" t="s">
        <v>1346</v>
      </c>
      <c r="D352" s="3"/>
      <c r="E352" s="4"/>
      <c r="F352" s="4">
        <v>7711379.596962</v>
      </c>
      <c r="G352" s="4">
        <f>F352*RPI_inc</f>
        <v>7858730.79945172</v>
      </c>
      <c r="H352" s="4"/>
      <c r="I352" s="4"/>
      <c r="J352" s="4">
        <v>159384.448445</v>
      </c>
      <c r="K352" s="4">
        <f>J352*RPI_inc</f>
        <v>162430.0111541401</v>
      </c>
      <c r="L352" s="3"/>
      <c r="M352" s="4"/>
      <c r="N352" s="4"/>
      <c r="O352" s="4"/>
      <c r="P352" s="4"/>
      <c r="Q352" s="4"/>
      <c r="R352" s="4"/>
      <c r="S352" s="4"/>
      <c r="T352" s="4">
        <v>225562.745675</v>
      </c>
      <c r="U352" s="4">
        <f>T352*RPI_inc</f>
        <v>229872.86183439492</v>
      </c>
      <c r="V352" s="3"/>
      <c r="W352" s="4"/>
      <c r="X352" s="3"/>
      <c r="Y352" s="4"/>
      <c r="Z352" s="13">
        <f>D352+F352+H352+J352+L352+N352+P352+R352+T352+V352+X352</f>
        <v>8096326.791082</v>
      </c>
      <c r="AC352" s="13">
        <f>E352+G352+I352+K352+M352+O352+Q352+S352+U352+W352+Y352</f>
        <v>8251033.672440255</v>
      </c>
      <c r="AF352" s="51"/>
      <c r="AG352" s="3"/>
      <c r="AH352" s="4"/>
      <c r="AI352" s="3"/>
      <c r="AJ352" s="4"/>
      <c r="AK352" s="4"/>
      <c r="AL352" s="4">
        <v>8519368.790336</v>
      </c>
      <c r="AM352" s="4">
        <f>AL352/$AL$680*$AM$680</f>
        <v>5704073.17802176</v>
      </c>
      <c r="AN352" s="4"/>
      <c r="AO352" s="4"/>
      <c r="AP352" s="4"/>
      <c r="AQ352" s="4"/>
      <c r="AR352" s="4">
        <v>230204.644898</v>
      </c>
      <c r="AS352" s="4">
        <f>AR352/$AR$680*$AS$680</f>
        <v>225675.07459328292</v>
      </c>
      <c r="AT352" s="3"/>
      <c r="AU352" s="4"/>
      <c r="AV352" s="4"/>
      <c r="AW352" s="4"/>
      <c r="AX352" s="4">
        <v>319978.743994</v>
      </c>
      <c r="AY352" s="4">
        <f>AX352/$AX$680*$AY$680</f>
        <v>313568.4394093516</v>
      </c>
      <c r="AZ352" s="3"/>
      <c r="BA352" s="4"/>
      <c r="BB352" s="3"/>
      <c r="BC352" s="4"/>
      <c r="BD352" s="4"/>
      <c r="BE352" s="4"/>
      <c r="BF352" s="4"/>
      <c r="BG352" s="4"/>
      <c r="BH352" s="4"/>
      <c r="BI352" s="4"/>
      <c r="BJ352" s="4">
        <v>16556138.866954</v>
      </c>
      <c r="BK352" s="4"/>
      <c r="BL352" s="4"/>
      <c r="BM352" s="4"/>
      <c r="BN352" s="4"/>
      <c r="BO352" s="4">
        <v>23718.911066</v>
      </c>
      <c r="BP352" s="4"/>
      <c r="BQ352" s="4">
        <f t="shared" si="19"/>
        <v>9093271.090293998</v>
      </c>
      <c r="BT352" s="4">
        <f t="shared" si="20"/>
        <v>6243316.692024395</v>
      </c>
      <c r="BW352" s="52"/>
      <c r="BX352" s="4">
        <f t="shared" si="17"/>
        <v>17189597.881376</v>
      </c>
      <c r="BY352" s="4">
        <f t="shared" si="18"/>
        <v>14494350.36446465</v>
      </c>
    </row>
    <row r="353" spans="1:77" ht="12.75">
      <c r="A353" s="5" t="s">
        <v>986</v>
      </c>
      <c r="B353" s="5" t="s">
        <v>352</v>
      </c>
      <c r="C353" s="5" t="s">
        <v>1346</v>
      </c>
      <c r="D353" s="6">
        <v>38522922.325671</v>
      </c>
      <c r="E353" s="6">
        <f>D353*RPI_inc</f>
        <v>39259029.12170293</v>
      </c>
      <c r="F353" s="6"/>
      <c r="G353" s="6"/>
      <c r="H353" s="6"/>
      <c r="I353" s="6"/>
      <c r="J353" s="6">
        <v>817292.50226</v>
      </c>
      <c r="K353" s="6">
        <f>J353*RPI_inc</f>
        <v>832909.5564433121</v>
      </c>
      <c r="L353" s="6">
        <v>3454399.809467</v>
      </c>
      <c r="M353" s="6">
        <f>L353*RPI_inc</f>
        <v>3520407.449138344</v>
      </c>
      <c r="N353" s="6"/>
      <c r="O353" s="6"/>
      <c r="P353" s="6"/>
      <c r="Q353" s="6"/>
      <c r="R353" s="6"/>
      <c r="S353" s="6"/>
      <c r="T353" s="6"/>
      <c r="U353" s="6"/>
      <c r="V353" s="6">
        <v>48792.162412</v>
      </c>
      <c r="W353" s="6">
        <f>V353*RPI_inc</f>
        <v>49724.496725605095</v>
      </c>
      <c r="X353" s="6">
        <v>1013370.041591</v>
      </c>
      <c r="Y353" s="6">
        <f>X353*RPI_inc</f>
        <v>1032733.800347516</v>
      </c>
      <c r="Z353" s="14">
        <f>D353+F353+H353+J353+L353+N353+P353+R353+T353+V353+X353</f>
        <v>43856776.84140101</v>
      </c>
      <c r="AC353" s="14">
        <f>E353+G353+I353+K353+M353+O353+Q353+S353+U353+W353+Y353</f>
        <v>44694804.424357705</v>
      </c>
      <c r="AF353" s="51"/>
      <c r="AG353" s="6">
        <v>1048567</v>
      </c>
      <c r="AH353" s="6">
        <f>AG353/$AG$680*$AH$680</f>
        <v>789498.069691874</v>
      </c>
      <c r="AI353" s="6">
        <v>46029561.11881</v>
      </c>
      <c r="AJ353" s="6">
        <f>AI353/$AI$680*$AJ$680</f>
        <v>31550992.078275703</v>
      </c>
      <c r="AK353" s="6">
        <f>AJ353-AH353</f>
        <v>30761494.00858383</v>
      </c>
      <c r="AL353" s="6"/>
      <c r="AM353" s="6"/>
      <c r="AN353" s="6"/>
      <c r="AO353" s="6"/>
      <c r="AP353" s="6"/>
      <c r="AQ353" s="6"/>
      <c r="AR353" s="6">
        <v>1180444.717762</v>
      </c>
      <c r="AS353" s="6">
        <f>AR353/$AR$680*$AS$680</f>
        <v>1157217.960794068</v>
      </c>
      <c r="AT353" s="6">
        <v>4369531.871702</v>
      </c>
      <c r="AU353" s="6">
        <f>AT353/$AT$680*$AU$680</f>
        <v>3606190.1960744075</v>
      </c>
      <c r="AV353" s="6"/>
      <c r="AW353" s="6"/>
      <c r="AX353" s="6"/>
      <c r="AY353" s="6"/>
      <c r="AZ353" s="6">
        <v>69215.573838</v>
      </c>
      <c r="BA353" s="6">
        <f>AZ353/$AZ$680*$BA$680</f>
        <v>67828.94018084787</v>
      </c>
      <c r="BB353" s="6">
        <v>1498444.870693</v>
      </c>
      <c r="BC353" s="6">
        <f>BB353/$BB$680*$BC$680</f>
        <v>1469645.7591989585</v>
      </c>
      <c r="BD353" s="6"/>
      <c r="BE353" s="6"/>
      <c r="BF353" s="6"/>
      <c r="BG353" s="6"/>
      <c r="BH353" s="6"/>
      <c r="BI353" s="6"/>
      <c r="BJ353" s="6">
        <v>88973727.647798</v>
      </c>
      <c r="BK353" s="6"/>
      <c r="BL353" s="6"/>
      <c r="BM353" s="6"/>
      <c r="BN353" s="6"/>
      <c r="BO353" s="6">
        <v>128482.337283</v>
      </c>
      <c r="BP353" s="6">
        <v>-141102</v>
      </c>
      <c r="BQ353" s="6">
        <f t="shared" si="19"/>
        <v>54324247.490088</v>
      </c>
      <c r="BT353" s="6">
        <f t="shared" si="20"/>
        <v>37710772.934523985</v>
      </c>
      <c r="BW353" s="52"/>
      <c r="BX353" s="6">
        <f t="shared" si="17"/>
        <v>98181024.33148901</v>
      </c>
      <c r="BY353" s="6">
        <f t="shared" si="18"/>
        <v>82405577.35888168</v>
      </c>
    </row>
    <row r="354" spans="1:77" ht="12.75">
      <c r="A354" t="s">
        <v>987</v>
      </c>
      <c r="B354" t="s">
        <v>353</v>
      </c>
      <c r="K354"/>
      <c r="L354"/>
      <c r="V354"/>
      <c r="X354"/>
      <c r="Z354" s="12">
        <f>Z355+Z356</f>
        <v>28980659.843638007</v>
      </c>
      <c r="AC354" s="12">
        <f>AC355+AC356</f>
        <v>29534430.413898602</v>
      </c>
      <c r="AF354" s="52"/>
      <c r="AG354"/>
      <c r="AI354"/>
      <c r="AT354"/>
      <c r="AV354"/>
      <c r="AW354"/>
      <c r="AZ354"/>
      <c r="BB354"/>
      <c r="BI354">
        <v>633621</v>
      </c>
      <c r="BJ354" s="1">
        <v>58128492.355069</v>
      </c>
      <c r="BQ354" s="1">
        <f>BQ355+BQ356</f>
        <v>36620493.286777</v>
      </c>
      <c r="BT354" s="1">
        <f>BT355+BT356</f>
        <v>25438931.048479762</v>
      </c>
      <c r="BW354" s="52"/>
      <c r="BX354" s="1">
        <f t="shared" si="17"/>
        <v>65601153.13041501</v>
      </c>
      <c r="BY354" s="1">
        <f t="shared" si="18"/>
        <v>54973361.46237837</v>
      </c>
    </row>
    <row r="355" spans="1:77" ht="12.75">
      <c r="A355" s="3" t="s">
        <v>988</v>
      </c>
      <c r="B355" s="3" t="s">
        <v>354</v>
      </c>
      <c r="C355" s="3" t="s">
        <v>1346</v>
      </c>
      <c r="D355" s="3"/>
      <c r="E355" s="4"/>
      <c r="F355" s="4">
        <v>3604869.092681</v>
      </c>
      <c r="G355" s="4">
        <f>F355*RPI_inc</f>
        <v>3673751.9415857326</v>
      </c>
      <c r="H355" s="4"/>
      <c r="I355" s="4"/>
      <c r="J355" s="4">
        <v>87955.671442</v>
      </c>
      <c r="K355" s="4">
        <f>J355*RPI_inc</f>
        <v>89636.35306191084</v>
      </c>
      <c r="L355" s="3"/>
      <c r="M355" s="4"/>
      <c r="N355" s="4"/>
      <c r="O355" s="4"/>
      <c r="P355" s="4"/>
      <c r="Q355" s="4"/>
      <c r="R355" s="4"/>
      <c r="S355" s="4"/>
      <c r="T355" s="4">
        <v>27121.599994</v>
      </c>
      <c r="U355" s="4">
        <f>T355*RPI_inc</f>
        <v>27639.847127643312</v>
      </c>
      <c r="V355" s="3"/>
      <c r="W355" s="4"/>
      <c r="X355" s="3"/>
      <c r="Y355" s="4"/>
      <c r="Z355" s="13">
        <f>D355+F355+H355+J355+L355+N355+P355+R355+T355+V355+X355</f>
        <v>3719946.3641170003</v>
      </c>
      <c r="AC355" s="13">
        <f>E355+G355+I355+K355+M355+O355+Q355+S355+U355+W355+Y355</f>
        <v>3791028.1417752868</v>
      </c>
      <c r="AF355" s="51"/>
      <c r="AG355" s="3"/>
      <c r="AH355" s="4"/>
      <c r="AI355" s="3"/>
      <c r="AJ355" s="4"/>
      <c r="AK355" s="4"/>
      <c r="AL355" s="4">
        <v>3982582.993779</v>
      </c>
      <c r="AM355" s="4">
        <f>AL355/$AL$680*$AM$680</f>
        <v>2666505.6288946555</v>
      </c>
      <c r="AN355" s="4"/>
      <c r="AO355" s="4"/>
      <c r="AP355" s="4"/>
      <c r="AQ355" s="4"/>
      <c r="AR355" s="4">
        <v>127037.514065</v>
      </c>
      <c r="AS355" s="4">
        <f>AR355/$AR$680*$AS$680</f>
        <v>124537.88877920758</v>
      </c>
      <c r="AT355" s="3"/>
      <c r="AU355" s="4"/>
      <c r="AV355" s="4"/>
      <c r="AW355" s="4"/>
      <c r="AX355" s="4">
        <v>38474.152615</v>
      </c>
      <c r="AY355" s="4">
        <f>AX355/$AX$680*$AY$680</f>
        <v>37703.37942606898</v>
      </c>
      <c r="AZ355" s="3"/>
      <c r="BA355" s="4"/>
      <c r="BB355" s="3"/>
      <c r="BC355" s="4"/>
      <c r="BD355" s="4"/>
      <c r="BE355" s="4"/>
      <c r="BF355" s="4"/>
      <c r="BG355" s="4"/>
      <c r="BH355" s="4">
        <v>79355.163696</v>
      </c>
      <c r="BI355" s="4"/>
      <c r="BJ355" s="4">
        <v>7264714.770893</v>
      </c>
      <c r="BK355" s="4">
        <f>BJ355/BJ354*BI354</f>
        <v>79187.94469553432</v>
      </c>
      <c r="BL355" s="4">
        <f>BH355+BK355</f>
        <v>158543.1083915343</v>
      </c>
      <c r="BM355" s="4"/>
      <c r="BN355" s="4"/>
      <c r="BO355" s="4">
        <v>10897.914481</v>
      </c>
      <c r="BP355" s="4"/>
      <c r="BQ355" s="4">
        <f t="shared" si="19"/>
        <v>4317535.683331534</v>
      </c>
      <c r="BT355" s="4">
        <f t="shared" si="20"/>
        <v>2987290.0054914663</v>
      </c>
      <c r="BW355" s="52"/>
      <c r="BX355" s="4">
        <f t="shared" si="17"/>
        <v>8037482.0474485345</v>
      </c>
      <c r="BY355" s="4">
        <f t="shared" si="18"/>
        <v>6778318.147266753</v>
      </c>
    </row>
    <row r="356" spans="1:77" ht="12.75">
      <c r="A356" s="5" t="s">
        <v>989</v>
      </c>
      <c r="B356" s="5" t="s">
        <v>355</v>
      </c>
      <c r="C356" s="5" t="s">
        <v>1346</v>
      </c>
      <c r="D356" s="6">
        <v>22854436.205526</v>
      </c>
      <c r="E356" s="6">
        <f>D356*RPI_inc</f>
        <v>23291145.177606117</v>
      </c>
      <c r="F356" s="6"/>
      <c r="G356" s="6"/>
      <c r="H356" s="6"/>
      <c r="I356" s="6"/>
      <c r="J356" s="6">
        <v>538961.301683</v>
      </c>
      <c r="K356" s="6">
        <f>J356*RPI_inc</f>
        <v>549259.9252820383</v>
      </c>
      <c r="L356" s="6">
        <v>1804493.823166</v>
      </c>
      <c r="M356" s="6">
        <f>L356*RPI_inc</f>
        <v>1838974.59685707</v>
      </c>
      <c r="N356" s="6"/>
      <c r="O356" s="6"/>
      <c r="P356" s="6"/>
      <c r="Q356" s="6"/>
      <c r="R356" s="6"/>
      <c r="S356" s="6"/>
      <c r="T356" s="6"/>
      <c r="U356" s="6"/>
      <c r="V356" s="6">
        <v>48710.706381</v>
      </c>
      <c r="W356" s="6">
        <f>V356*RPI_inc</f>
        <v>49641.48420993631</v>
      </c>
      <c r="X356" s="6">
        <v>14111.442765</v>
      </c>
      <c r="Y356" s="6">
        <f>X356*RPI_inc</f>
        <v>14381.088168152866</v>
      </c>
      <c r="Z356" s="14">
        <f>D356+F356+H356+J356+L356+N356+P356+R356+T356+V356+X356</f>
        <v>25260713.479521006</v>
      </c>
      <c r="AC356" s="14">
        <f>E356+G356+I356+K356+M356+O356+Q356+S356+U356+W356+Y356</f>
        <v>25743402.272123314</v>
      </c>
      <c r="AF356" s="51"/>
      <c r="AG356" s="6">
        <v>660085</v>
      </c>
      <c r="AH356" s="6">
        <f>AG356/$AG$680*$AH$680</f>
        <v>496998.12537735846</v>
      </c>
      <c r="AI356" s="6">
        <v>27307888.515435</v>
      </c>
      <c r="AJ356" s="6">
        <f>AI356/$AI$680*$AJ$680</f>
        <v>18718209.630567957</v>
      </c>
      <c r="AK356" s="6">
        <f>AJ356-AH356</f>
        <v>18221211.5051906</v>
      </c>
      <c r="AL356" s="6"/>
      <c r="AM356" s="6"/>
      <c r="AN356" s="6"/>
      <c r="AO356" s="6"/>
      <c r="AP356" s="6"/>
      <c r="AQ356" s="6"/>
      <c r="AR356" s="6">
        <v>778441.035358</v>
      </c>
      <c r="AS356" s="6">
        <f>AR356/$AR$680*$AS$680</f>
        <v>763124.2141040537</v>
      </c>
      <c r="AT356" s="6">
        <v>2282536.390549</v>
      </c>
      <c r="AU356" s="6">
        <f>AT356/$AT$680*$AU$680</f>
        <v>1883785.402067491</v>
      </c>
      <c r="AV356" s="6"/>
      <c r="AW356" s="6"/>
      <c r="AX356" s="6"/>
      <c r="AY356" s="6"/>
      <c r="AZ356" s="6">
        <v>69100.021962</v>
      </c>
      <c r="BA356" s="6">
        <f>AZ356/$AZ$680*$BA$680</f>
        <v>67715.70321912979</v>
      </c>
      <c r="BB356" s="6">
        <v>20866.236578</v>
      </c>
      <c r="BC356" s="6">
        <f>BB356/$BB$680*$BC$680</f>
        <v>20465.20142120244</v>
      </c>
      <c r="BD356" s="6"/>
      <c r="BE356" s="6"/>
      <c r="BF356" s="6"/>
      <c r="BG356" s="6"/>
      <c r="BH356" s="6">
        <v>555603.836304</v>
      </c>
      <c r="BI356" s="6"/>
      <c r="BJ356" s="6">
        <v>50863777.584176</v>
      </c>
      <c r="BK356" s="6">
        <f>BJ356/BJ354*BI354</f>
        <v>554433.0553044657</v>
      </c>
      <c r="BL356" s="6">
        <f>BH356+BK356</f>
        <v>1110036.8916084657</v>
      </c>
      <c r="BM356" s="6"/>
      <c r="BN356" s="6"/>
      <c r="BO356" s="6">
        <v>74003.511955</v>
      </c>
      <c r="BP356" s="6">
        <v>-111696</v>
      </c>
      <c r="BQ356" s="6">
        <f t="shared" si="19"/>
        <v>32302957.603445463</v>
      </c>
      <c r="BT356" s="6">
        <f t="shared" si="20"/>
        <v>22451641.042988297</v>
      </c>
      <c r="BW356" s="52"/>
      <c r="BX356" s="6">
        <f t="shared" si="17"/>
        <v>57563671.08296647</v>
      </c>
      <c r="BY356" s="6">
        <f t="shared" si="18"/>
        <v>48195043.31511161</v>
      </c>
    </row>
    <row r="357" spans="1:77" ht="12.75">
      <c r="A357" t="s">
        <v>990</v>
      </c>
      <c r="B357" t="s">
        <v>356</v>
      </c>
      <c r="K357"/>
      <c r="L357"/>
      <c r="V357"/>
      <c r="X357"/>
      <c r="Z357" s="12">
        <f>Z358+Z359</f>
        <v>31433379.168859</v>
      </c>
      <c r="AC357" s="12">
        <f>AC358+AC359</f>
        <v>32034016.98737223</v>
      </c>
      <c r="AF357" s="52"/>
      <c r="AG357"/>
      <c r="AI357"/>
      <c r="AT357"/>
      <c r="AV357"/>
      <c r="AW357"/>
      <c r="AZ357"/>
      <c r="BB357"/>
      <c r="BI357">
        <v>708660</v>
      </c>
      <c r="BJ357" s="1">
        <v>61123493.955527</v>
      </c>
      <c r="BQ357" s="1">
        <f>BQ358+BQ359</f>
        <v>39478952.84249999</v>
      </c>
      <c r="BT357" s="1">
        <f>BT358+BT359</f>
        <v>28380418.292862903</v>
      </c>
      <c r="BW357" s="52"/>
      <c r="BX357" s="1">
        <f t="shared" si="17"/>
        <v>70912332.01135899</v>
      </c>
      <c r="BY357" s="1">
        <f t="shared" si="18"/>
        <v>60414435.280235134</v>
      </c>
    </row>
    <row r="358" spans="1:77" ht="12.75">
      <c r="A358" s="3" t="s">
        <v>991</v>
      </c>
      <c r="B358" s="3" t="s">
        <v>357</v>
      </c>
      <c r="C358" s="3" t="s">
        <v>1346</v>
      </c>
      <c r="D358" s="3"/>
      <c r="E358" s="4"/>
      <c r="F358" s="4">
        <v>4762938.974127</v>
      </c>
      <c r="G358" s="4">
        <f>F358*RPI_inc</f>
        <v>4853950.546881019</v>
      </c>
      <c r="H358" s="4"/>
      <c r="I358" s="4"/>
      <c r="J358" s="4">
        <v>118415.863279</v>
      </c>
      <c r="K358" s="4">
        <f>J358*RPI_inc</f>
        <v>120678.5867811465</v>
      </c>
      <c r="L358" s="3"/>
      <c r="M358" s="4"/>
      <c r="N358" s="4"/>
      <c r="O358" s="4"/>
      <c r="P358" s="4"/>
      <c r="Q358" s="4"/>
      <c r="R358" s="4"/>
      <c r="S358" s="4"/>
      <c r="T358" s="4">
        <v>94146.065766</v>
      </c>
      <c r="U358" s="4">
        <f>T358*RPI_inc</f>
        <v>95945.0351755414</v>
      </c>
      <c r="V358" s="3"/>
      <c r="W358" s="4"/>
      <c r="X358" s="3"/>
      <c r="Y358" s="4"/>
      <c r="Z358" s="13">
        <f>D358+F358+H358+J358+L358+N358+P358+R358+T358+V358+X358</f>
        <v>4975500.903172</v>
      </c>
      <c r="AC358" s="13">
        <f>E358+G358+I358+K358+M358+O358+Q358+S358+U358+W358+Y358</f>
        <v>5070574.1688377075</v>
      </c>
      <c r="AF358" s="51"/>
      <c r="AG358" s="3"/>
      <c r="AH358" s="4"/>
      <c r="AI358" s="3"/>
      <c r="AJ358" s="4"/>
      <c r="AK358" s="4"/>
      <c r="AL358" s="4">
        <v>5261994.061664</v>
      </c>
      <c r="AM358" s="4">
        <f>AL358/$AL$680*$AM$680</f>
        <v>3523124.7676582425</v>
      </c>
      <c r="AN358" s="4"/>
      <c r="AO358" s="4"/>
      <c r="AP358" s="4"/>
      <c r="AQ358" s="4"/>
      <c r="AR358" s="4">
        <v>171032.255797</v>
      </c>
      <c r="AS358" s="4">
        <f>AR358/$AR$680*$AS$680</f>
        <v>167666.97779685308</v>
      </c>
      <c r="AT358" s="3"/>
      <c r="AU358" s="4"/>
      <c r="AV358" s="4"/>
      <c r="AW358" s="4"/>
      <c r="AX358" s="4">
        <v>133553.702698</v>
      </c>
      <c r="AY358" s="4">
        <f>AX358/$AX$680*$AY$680</f>
        <v>130878.15024718529</v>
      </c>
      <c r="AZ358" s="3"/>
      <c r="BA358" s="4"/>
      <c r="BB358" s="3"/>
      <c r="BC358" s="4"/>
      <c r="BD358" s="4"/>
      <c r="BE358" s="4"/>
      <c r="BF358" s="4"/>
      <c r="BG358" s="4"/>
      <c r="BH358" s="4"/>
      <c r="BI358" s="4"/>
      <c r="BJ358" s="4">
        <v>10354095.420939</v>
      </c>
      <c r="BK358" s="4">
        <f>BJ358/BJ357*BI357</f>
        <v>120044.40168851223</v>
      </c>
      <c r="BL358" s="4">
        <f>BH358+BK358</f>
        <v>120044.40168851223</v>
      </c>
      <c r="BM358" s="4"/>
      <c r="BN358" s="4"/>
      <c r="BO358" s="4">
        <v>14576.173427</v>
      </c>
      <c r="BP358" s="4"/>
      <c r="BQ358" s="4">
        <f t="shared" si="19"/>
        <v>5701200.595274512</v>
      </c>
      <c r="BT358" s="4">
        <f t="shared" si="20"/>
        <v>3941714.2973907935</v>
      </c>
      <c r="BW358" s="52"/>
      <c r="BX358" s="4">
        <f t="shared" si="17"/>
        <v>10676701.498446513</v>
      </c>
      <c r="BY358" s="4">
        <f t="shared" si="18"/>
        <v>9012288.4662285</v>
      </c>
    </row>
    <row r="359" spans="1:77" ht="12.75">
      <c r="A359" s="5" t="s">
        <v>992</v>
      </c>
      <c r="B359" s="5" t="s">
        <v>358</v>
      </c>
      <c r="C359" s="5" t="s">
        <v>1346</v>
      </c>
      <c r="D359" s="6">
        <v>21476450.505536</v>
      </c>
      <c r="E359" s="6">
        <f>D359*RPI_inc</f>
        <v>21886828.540673632</v>
      </c>
      <c r="F359" s="6"/>
      <c r="G359" s="6"/>
      <c r="H359" s="6"/>
      <c r="I359" s="6"/>
      <c r="J359" s="6">
        <v>580452.036356</v>
      </c>
      <c r="K359" s="6">
        <f>J359*RPI_inc</f>
        <v>591543.4765411465</v>
      </c>
      <c r="L359" s="6">
        <v>2315801.527842</v>
      </c>
      <c r="M359" s="6">
        <f>L359*RPI_inc</f>
        <v>2360052.512450446</v>
      </c>
      <c r="N359" s="6"/>
      <c r="O359" s="6"/>
      <c r="P359" s="6"/>
      <c r="Q359" s="6"/>
      <c r="R359" s="6"/>
      <c r="S359" s="6"/>
      <c r="T359" s="6"/>
      <c r="U359" s="6"/>
      <c r="V359" s="6">
        <v>49810.362796</v>
      </c>
      <c r="W359" s="6">
        <f>V359*RPI_inc</f>
        <v>50762.15316789809</v>
      </c>
      <c r="X359" s="6">
        <v>2035363.833157</v>
      </c>
      <c r="Y359" s="6">
        <f>X359*RPI_inc</f>
        <v>2074256.1357014012</v>
      </c>
      <c r="Z359" s="14">
        <f>D359+F359+H359+J359+L359+N359+P359+R359+T359+V359+X359</f>
        <v>26457878.265687</v>
      </c>
      <c r="AC359" s="14">
        <f>E359+G359+I359+K359+M359+O359+Q359+S359+U359+W359+Y359</f>
        <v>26963442.818534523</v>
      </c>
      <c r="AF359" s="51"/>
      <c r="AG359" s="6">
        <v>602272</v>
      </c>
      <c r="AH359" s="6">
        <f>AG359/$AG$680*$AH$680</f>
        <v>453468.9547062461</v>
      </c>
      <c r="AI359" s="6">
        <v>25661386.29885</v>
      </c>
      <c r="AJ359" s="6">
        <f>AI359/$AI$680*$AJ$680</f>
        <v>17589613.634220127</v>
      </c>
      <c r="AK359" s="6">
        <f>AJ359-AH359</f>
        <v>17136144.67951388</v>
      </c>
      <c r="AL359" s="6"/>
      <c r="AM359" s="6"/>
      <c r="AN359" s="6"/>
      <c r="AO359" s="6"/>
      <c r="AP359" s="6"/>
      <c r="AQ359" s="6"/>
      <c r="AR359" s="6">
        <v>838367.58362</v>
      </c>
      <c r="AS359" s="6">
        <f>AR359/$AR$680*$AS$680</f>
        <v>821871.6310171097</v>
      </c>
      <c r="AT359" s="6">
        <v>2929298.617002</v>
      </c>
      <c r="AU359" s="6">
        <f>AT359/$AT$680*$AU$680</f>
        <v>2417560.568082605</v>
      </c>
      <c r="AV359" s="6"/>
      <c r="AW359" s="6"/>
      <c r="AX359" s="6"/>
      <c r="AY359" s="6"/>
      <c r="AZ359" s="6">
        <v>70659.97229</v>
      </c>
      <c r="BA359" s="6">
        <f>AZ359/$AZ$680*$BA$680</f>
        <v>69244.40220428385</v>
      </c>
      <c r="BB359" s="6">
        <v>3009641.464237</v>
      </c>
      <c r="BC359" s="6">
        <f>BB359/$BB$680*$BC$680</f>
        <v>2951798.161636507</v>
      </c>
      <c r="BD359" s="6"/>
      <c r="BE359" s="6"/>
      <c r="BF359" s="6"/>
      <c r="BG359" s="6"/>
      <c r="BH359" s="6"/>
      <c r="BI359" s="6"/>
      <c r="BJ359" s="6">
        <v>50769398.534587</v>
      </c>
      <c r="BK359" s="6">
        <f>BJ359/BJ357*BI357</f>
        <v>588615.5983114763</v>
      </c>
      <c r="BL359" s="6">
        <f>BH359+BK359</f>
        <v>588615.5983114763</v>
      </c>
      <c r="BM359" s="6"/>
      <c r="BN359" s="6"/>
      <c r="BO359" s="6">
        <v>77510.712915</v>
      </c>
      <c r="BP359" s="6"/>
      <c r="BQ359" s="6">
        <f t="shared" si="19"/>
        <v>33777752.24722548</v>
      </c>
      <c r="BT359" s="6">
        <f t="shared" si="20"/>
        <v>24438703.99547211</v>
      </c>
      <c r="BW359" s="52"/>
      <c r="BX359" s="6">
        <f t="shared" si="17"/>
        <v>60235630.51291248</v>
      </c>
      <c r="BY359" s="6">
        <f t="shared" si="18"/>
        <v>51402146.814006634</v>
      </c>
    </row>
    <row r="360" spans="1:77" ht="12.75">
      <c r="A360" t="s">
        <v>993</v>
      </c>
      <c r="B360" t="s">
        <v>359</v>
      </c>
      <c r="K360"/>
      <c r="L360"/>
      <c r="V360"/>
      <c r="X360"/>
      <c r="Z360" s="12">
        <f>Z361+Z362</f>
        <v>29574285.300758004</v>
      </c>
      <c r="AC360" s="12">
        <f>AC361+AC362</f>
        <v>30139399.032619618</v>
      </c>
      <c r="AF360" s="52"/>
      <c r="AG360"/>
      <c r="AI360"/>
      <c r="AT360"/>
      <c r="AV360"/>
      <c r="AW360"/>
      <c r="AZ360"/>
      <c r="BB360"/>
      <c r="BI360">
        <v>607306</v>
      </c>
      <c r="BJ360" s="1">
        <v>56387415.376201</v>
      </c>
      <c r="BQ360" s="1">
        <f>BQ361+BQ362</f>
        <v>36901992.42760101</v>
      </c>
      <c r="BT360" s="1">
        <f>BT361+BT362</f>
        <v>26567110.656942483</v>
      </c>
      <c r="BW360" s="52"/>
      <c r="BX360" s="1">
        <f t="shared" si="17"/>
        <v>66476277.728359014</v>
      </c>
      <c r="BY360" s="1">
        <f t="shared" si="18"/>
        <v>56706509.6895621</v>
      </c>
    </row>
    <row r="361" spans="1:77" ht="12.75">
      <c r="A361" s="3" t="s">
        <v>994</v>
      </c>
      <c r="B361" s="3" t="s">
        <v>360</v>
      </c>
      <c r="C361" s="3" t="s">
        <v>1346</v>
      </c>
      <c r="D361" s="3"/>
      <c r="E361" s="4"/>
      <c r="F361" s="4">
        <v>4841280.465308</v>
      </c>
      <c r="G361" s="4">
        <f>F361*RPI_inc</f>
        <v>4933789.009231083</v>
      </c>
      <c r="H361" s="4"/>
      <c r="I361" s="4"/>
      <c r="J361" s="4">
        <v>111393.226665</v>
      </c>
      <c r="K361" s="4">
        <f>J361*RPI_inc</f>
        <v>113521.75965859872</v>
      </c>
      <c r="L361" s="3"/>
      <c r="M361" s="4"/>
      <c r="N361" s="4"/>
      <c r="O361" s="4"/>
      <c r="P361" s="4"/>
      <c r="Q361" s="4"/>
      <c r="R361" s="4"/>
      <c r="S361" s="4"/>
      <c r="T361" s="4">
        <v>35423.598647</v>
      </c>
      <c r="U361" s="4">
        <f>T361*RPI_inc</f>
        <v>36100.48269757962</v>
      </c>
      <c r="V361" s="3"/>
      <c r="W361" s="4"/>
      <c r="X361" s="3"/>
      <c r="Y361" s="4"/>
      <c r="Z361" s="13">
        <f>D361+F361+H361+J361+L361+N361+P361+R361+T361+V361+X361</f>
        <v>4988097.290620001</v>
      </c>
      <c r="AC361" s="13">
        <f>E361+G361+I361+K361+M361+O361+Q361+S361+U361+W361+Y361</f>
        <v>5083411.251587261</v>
      </c>
      <c r="AF361" s="51"/>
      <c r="AG361" s="3"/>
      <c r="AH361" s="4"/>
      <c r="AI361" s="3"/>
      <c r="AJ361" s="4"/>
      <c r="AK361" s="4"/>
      <c r="AL361" s="4">
        <v>5348544.081225</v>
      </c>
      <c r="AM361" s="4">
        <f>AL361/$AL$680*$AM$680</f>
        <v>3581073.6201243056</v>
      </c>
      <c r="AN361" s="4"/>
      <c r="AO361" s="4"/>
      <c r="AP361" s="4"/>
      <c r="AQ361" s="4"/>
      <c r="AR361" s="4">
        <v>160889.211204</v>
      </c>
      <c r="AS361" s="4">
        <f>AR361/$AR$680*$AS$680</f>
        <v>157723.5105564657</v>
      </c>
      <c r="AT361" s="3"/>
      <c r="AU361" s="4"/>
      <c r="AV361" s="4"/>
      <c r="AW361" s="4"/>
      <c r="AX361" s="4">
        <v>50251.199811</v>
      </c>
      <c r="AY361" s="4">
        <f>AX361/$AX$680*$AY$680</f>
        <v>49244.49076366848</v>
      </c>
      <c r="AZ361" s="3"/>
      <c r="BA361" s="4"/>
      <c r="BB361" s="3"/>
      <c r="BC361" s="4"/>
      <c r="BD361" s="4"/>
      <c r="BE361" s="4"/>
      <c r="BF361" s="4"/>
      <c r="BG361" s="4"/>
      <c r="BH361" s="4"/>
      <c r="BI361" s="4"/>
      <c r="BJ361" s="4">
        <v>10481381.067967</v>
      </c>
      <c r="BK361" s="4">
        <f>BJ361/BJ360*BI360</f>
        <v>112886.99026892026</v>
      </c>
      <c r="BL361" s="4">
        <f>BH361+BK361</f>
        <v>112886.99026892026</v>
      </c>
      <c r="BM361" s="4"/>
      <c r="BN361" s="4"/>
      <c r="BO361" s="4">
        <v>14613.075667</v>
      </c>
      <c r="BP361" s="4"/>
      <c r="BQ361" s="4">
        <f t="shared" si="19"/>
        <v>5687184.558175921</v>
      </c>
      <c r="BT361" s="4">
        <f t="shared" si="20"/>
        <v>3900928.61171336</v>
      </c>
      <c r="BW361" s="52"/>
      <c r="BX361" s="4">
        <f t="shared" si="17"/>
        <v>10675281.848795922</v>
      </c>
      <c r="BY361" s="4">
        <f t="shared" si="18"/>
        <v>8984339.863300622</v>
      </c>
    </row>
    <row r="362" spans="1:77" ht="12.75">
      <c r="A362" s="5" t="s">
        <v>995</v>
      </c>
      <c r="B362" s="5" t="s">
        <v>361</v>
      </c>
      <c r="C362" s="5" t="s">
        <v>1346</v>
      </c>
      <c r="D362" s="6">
        <v>19812827.080285</v>
      </c>
      <c r="E362" s="6">
        <f>D362*RPI_inc</f>
        <v>20191416.132774524</v>
      </c>
      <c r="F362" s="6"/>
      <c r="G362" s="6"/>
      <c r="H362" s="6"/>
      <c r="I362" s="6"/>
      <c r="J362" s="6">
        <v>472610.265786</v>
      </c>
      <c r="K362" s="6">
        <f>J362*RPI_inc</f>
        <v>481641.0351959236</v>
      </c>
      <c r="L362" s="6">
        <v>2359046.196892</v>
      </c>
      <c r="M362" s="6">
        <f>L362*RPI_inc</f>
        <v>2404123.512756178</v>
      </c>
      <c r="N362" s="6"/>
      <c r="O362" s="6"/>
      <c r="P362" s="6"/>
      <c r="Q362" s="6"/>
      <c r="R362" s="6"/>
      <c r="S362" s="6"/>
      <c r="T362" s="6"/>
      <c r="U362" s="6"/>
      <c r="V362" s="6">
        <v>52620.595856</v>
      </c>
      <c r="W362" s="6">
        <f>V362*RPI_inc</f>
        <v>53626.08494878981</v>
      </c>
      <c r="X362" s="6">
        <v>1889083.871319</v>
      </c>
      <c r="Y362" s="6">
        <f>X362*RPI_inc</f>
        <v>1925181.0153569425</v>
      </c>
      <c r="Z362" s="14">
        <f>D362+F362+H362+J362+L362+N362+P362+R362+T362+V362+X362</f>
        <v>24586188.010138</v>
      </c>
      <c r="AC362" s="14">
        <f>E362+G362+I362+K362+M362+O362+Q362+S362+U362+W362+Y362</f>
        <v>25055987.781032357</v>
      </c>
      <c r="AF362" s="51"/>
      <c r="AG362" s="6">
        <v>440180</v>
      </c>
      <c r="AH362" s="6">
        <f>AG362/$AG$680*$AH$680</f>
        <v>331424.9450125448</v>
      </c>
      <c r="AI362" s="6">
        <v>23673586.529043</v>
      </c>
      <c r="AJ362" s="6">
        <f>AI362/$AI$680*$AJ$680</f>
        <v>16227075.01195311</v>
      </c>
      <c r="AK362" s="6">
        <f>AJ362-AH362</f>
        <v>15895650.066940565</v>
      </c>
      <c r="AL362" s="6"/>
      <c r="AM362" s="6"/>
      <c r="AN362" s="6"/>
      <c r="AO362" s="6"/>
      <c r="AP362" s="6"/>
      <c r="AQ362" s="6"/>
      <c r="AR362" s="6">
        <v>682607.867152</v>
      </c>
      <c r="AS362" s="6">
        <f>AR362/$AR$680*$AS$680</f>
        <v>669176.6858385736</v>
      </c>
      <c r="AT362" s="6">
        <v>2983999.569444</v>
      </c>
      <c r="AU362" s="6">
        <f>AT362/$AT$680*$AU$680</f>
        <v>2462705.4587034476</v>
      </c>
      <c r="AV362" s="6"/>
      <c r="AW362" s="6"/>
      <c r="AX362" s="6"/>
      <c r="AY362" s="6"/>
      <c r="AZ362" s="6">
        <v>74646.512019</v>
      </c>
      <c r="BA362" s="6">
        <f>AZ362/$AZ$680*$BA$680</f>
        <v>73151.07739041749</v>
      </c>
      <c r="BB362" s="6">
        <v>2793340.952573</v>
      </c>
      <c r="BC362" s="6">
        <f>BB362/$BB$680*$BC$680</f>
        <v>2739654.801612493</v>
      </c>
      <c r="BD362" s="6"/>
      <c r="BE362" s="6"/>
      <c r="BF362" s="6"/>
      <c r="BG362" s="6"/>
      <c r="BH362" s="6"/>
      <c r="BI362" s="6"/>
      <c r="BJ362" s="6">
        <v>45906034.308234</v>
      </c>
      <c r="BK362" s="6">
        <f>BJ362/BJ360*BI360</f>
        <v>494419.00973107974</v>
      </c>
      <c r="BL362" s="6">
        <f>BH362+BK362</f>
        <v>494419.00973107974</v>
      </c>
      <c r="BM362" s="6"/>
      <c r="BN362" s="6"/>
      <c r="BO362" s="6">
        <v>72027.429463</v>
      </c>
      <c r="BP362" s="6"/>
      <c r="BQ362" s="6">
        <f t="shared" si="19"/>
        <v>31214807.869425084</v>
      </c>
      <c r="BT362" s="6">
        <f t="shared" si="20"/>
        <v>22666182.045229122</v>
      </c>
      <c r="BW362" s="52"/>
      <c r="BX362" s="6">
        <f t="shared" si="17"/>
        <v>55800995.879563086</v>
      </c>
      <c r="BY362" s="6">
        <f t="shared" si="18"/>
        <v>47722169.826261476</v>
      </c>
    </row>
    <row r="363" spans="1:77" ht="12.75">
      <c r="A363" t="s">
        <v>996</v>
      </c>
      <c r="B363" t="s">
        <v>362</v>
      </c>
      <c r="K363"/>
      <c r="L363"/>
      <c r="V363"/>
      <c r="X363"/>
      <c r="Z363" s="12">
        <f>Z364+Z365</f>
        <v>29070015.433579005</v>
      </c>
      <c r="AC363" s="12">
        <f>AC364+AC365</f>
        <v>29625493.43549452</v>
      </c>
      <c r="AF363" s="52"/>
      <c r="AG363"/>
      <c r="AI363"/>
      <c r="AT363"/>
      <c r="AV363"/>
      <c r="AW363"/>
      <c r="AZ363"/>
      <c r="BB363"/>
      <c r="BI363"/>
      <c r="BJ363" s="1">
        <v>56794040.025831</v>
      </c>
      <c r="BQ363" s="1">
        <f>BQ364+BQ365</f>
        <v>36303163.475622766</v>
      </c>
      <c r="BT363" s="1">
        <f>BT364+BT365</f>
        <v>26460594.699392613</v>
      </c>
      <c r="BW363" s="52"/>
      <c r="BX363" s="1">
        <f t="shared" si="17"/>
        <v>65373178.90920177</v>
      </c>
      <c r="BY363" s="1">
        <f t="shared" si="18"/>
        <v>56086088.13488713</v>
      </c>
    </row>
    <row r="364" spans="1:77" ht="12.75">
      <c r="A364" s="3" t="s">
        <v>997</v>
      </c>
      <c r="B364" s="3" t="s">
        <v>363</v>
      </c>
      <c r="C364" s="3" t="s">
        <v>1346</v>
      </c>
      <c r="D364" s="3"/>
      <c r="E364" s="4"/>
      <c r="F364" s="4">
        <v>4998518.311329</v>
      </c>
      <c r="G364" s="4">
        <f>F364*RPI_inc</f>
        <v>5094031.4000805095</v>
      </c>
      <c r="H364" s="4"/>
      <c r="I364" s="4"/>
      <c r="J364" s="4">
        <v>154150.774116</v>
      </c>
      <c r="K364" s="4">
        <f>J364*RPI_inc</f>
        <v>157096.33030929934</v>
      </c>
      <c r="L364" s="3"/>
      <c r="M364" s="4"/>
      <c r="N364" s="4"/>
      <c r="O364" s="4"/>
      <c r="P364" s="4"/>
      <c r="Q364" s="4"/>
      <c r="R364" s="4"/>
      <c r="S364" s="4"/>
      <c r="T364" s="4">
        <v>83819.070189</v>
      </c>
      <c r="U364" s="4">
        <f>T364*RPI_inc</f>
        <v>85420.70847286624</v>
      </c>
      <c r="V364" s="3"/>
      <c r="W364" s="4"/>
      <c r="X364" s="3"/>
      <c r="Y364" s="4"/>
      <c r="Z364" s="13">
        <f>D364+F364+H364+J364+L364+N364+P364+R364+T364+V364+X364</f>
        <v>5236488.155634</v>
      </c>
      <c r="AC364" s="13">
        <f>E364+G364+I364+K364+M364+O364+Q364+S364+U364+W364+Y364</f>
        <v>5336548.438862676</v>
      </c>
      <c r="AF364" s="51"/>
      <c r="AG364" s="3"/>
      <c r="AH364" s="4"/>
      <c r="AI364" s="3"/>
      <c r="AJ364" s="4"/>
      <c r="AK364" s="4"/>
      <c r="AL364" s="4">
        <v>5522257.12196</v>
      </c>
      <c r="AM364" s="4">
        <f>AL364/$AL$680*$AM$680</f>
        <v>3697381.755235573</v>
      </c>
      <c r="AN364" s="4"/>
      <c r="AO364" s="4"/>
      <c r="AP364" s="4"/>
      <c r="AQ364" s="4"/>
      <c r="AR364" s="4">
        <v>222645.462354</v>
      </c>
      <c r="AS364" s="4">
        <f>AR364/$AR$680*$AS$680</f>
        <v>218264.62861710673</v>
      </c>
      <c r="AT364" s="3"/>
      <c r="AU364" s="4"/>
      <c r="AV364" s="4"/>
      <c r="AW364" s="4"/>
      <c r="AX364" s="4">
        <v>118904.035866</v>
      </c>
      <c r="AY364" s="4">
        <f>AX364/$AX$680*$AY$680</f>
        <v>116521.96799258117</v>
      </c>
      <c r="AZ364" s="3"/>
      <c r="BA364" s="4"/>
      <c r="BB364" s="3"/>
      <c r="BC364" s="4"/>
      <c r="BD364" s="4">
        <v>127282.165207</v>
      </c>
      <c r="BE364" s="4">
        <f>BD364/BD$680*BE$680</f>
        <v>180874.67552347382</v>
      </c>
      <c r="BF364" s="4">
        <v>26796.22639173758</v>
      </c>
      <c r="BG364" s="4">
        <f>BE364+BF364</f>
        <v>207670.9019152114</v>
      </c>
      <c r="BH364" s="4"/>
      <c r="BI364" s="4"/>
      <c r="BJ364" s="4">
        <v>11128763.026229</v>
      </c>
      <c r="BK364" s="4"/>
      <c r="BL364" s="4"/>
      <c r="BM364" s="4"/>
      <c r="BN364" s="4"/>
      <c r="BO364" s="4">
        <v>15340.758848</v>
      </c>
      <c r="BP364" s="4"/>
      <c r="BQ364" s="4">
        <f t="shared" si="19"/>
        <v>6033225.770626738</v>
      </c>
      <c r="BT364" s="4">
        <f t="shared" si="20"/>
        <v>4239839.253760472</v>
      </c>
      <c r="BW364" s="52"/>
      <c r="BX364" s="4">
        <f t="shared" si="17"/>
        <v>11269713.926260738</v>
      </c>
      <c r="BY364" s="4">
        <f t="shared" si="18"/>
        <v>9576387.692623148</v>
      </c>
    </row>
    <row r="365" spans="1:77" ht="12.75">
      <c r="A365" s="5" t="s">
        <v>998</v>
      </c>
      <c r="B365" s="5" t="s">
        <v>364</v>
      </c>
      <c r="C365" s="5" t="s">
        <v>1346</v>
      </c>
      <c r="D365" s="6">
        <v>19346185.079698</v>
      </c>
      <c r="E365" s="6">
        <f>D365*RPI_inc</f>
        <v>19715857.406061657</v>
      </c>
      <c r="F365" s="6"/>
      <c r="G365" s="6"/>
      <c r="H365" s="6"/>
      <c r="I365" s="6"/>
      <c r="J365" s="6">
        <v>722751.09182</v>
      </c>
      <c r="K365" s="6">
        <f>J365*RPI_inc</f>
        <v>736561.6222369426</v>
      </c>
      <c r="L365" s="6">
        <v>2146887.368953</v>
      </c>
      <c r="M365" s="6">
        <f>L365*RPI_inc</f>
        <v>2187910.694474395</v>
      </c>
      <c r="N365" s="6"/>
      <c r="O365" s="6"/>
      <c r="P365" s="6"/>
      <c r="Q365" s="6"/>
      <c r="R365" s="6"/>
      <c r="S365" s="6"/>
      <c r="T365" s="6"/>
      <c r="U365" s="6"/>
      <c r="V365" s="6">
        <v>52864.963948</v>
      </c>
      <c r="W365" s="6">
        <f>V365*RPI_inc</f>
        <v>53875.12249477707</v>
      </c>
      <c r="X365" s="6">
        <v>1564838.773526</v>
      </c>
      <c r="Y365" s="6">
        <f>X365*RPI_inc</f>
        <v>1594740.1513640764</v>
      </c>
      <c r="Z365" s="14">
        <f>D365+F365+H365+J365+L365+N365+P365+R365+T365+V365+X365</f>
        <v>23833527.277945004</v>
      </c>
      <c r="AC365" s="14">
        <f>E365+G365+I365+K365+M365+O365+Q365+S365+U365+W365+Y365</f>
        <v>24288944.996631846</v>
      </c>
      <c r="AF365" s="51"/>
      <c r="AG365" s="6">
        <v>365599</v>
      </c>
      <c r="AH365" s="6">
        <f>AG365/$AG$680*$AH$680</f>
        <v>275270.6358118074</v>
      </c>
      <c r="AI365" s="6">
        <v>23116013.915391</v>
      </c>
      <c r="AJ365" s="6">
        <f>AI365/$AI$680*$AJ$680</f>
        <v>15844886.50767887</v>
      </c>
      <c r="AK365" s="6">
        <f>AJ365-AH365</f>
        <v>15569615.871867063</v>
      </c>
      <c r="AL365" s="6"/>
      <c r="AM365" s="6"/>
      <c r="AN365" s="6"/>
      <c r="AO365" s="6"/>
      <c r="AP365" s="6"/>
      <c r="AQ365" s="6"/>
      <c r="AR365" s="6">
        <v>1043895.185917</v>
      </c>
      <c r="AS365" s="6">
        <f>AR365/$AR$680*$AS$680</f>
        <v>1023355.215329257</v>
      </c>
      <c r="AT365" s="6">
        <v>2715636.087603</v>
      </c>
      <c r="AU365" s="6">
        <f>AT365/$AT$680*$AU$680</f>
        <v>2241224.1225752262</v>
      </c>
      <c r="AV365" s="6"/>
      <c r="AW365" s="6"/>
      <c r="AX365" s="6"/>
      <c r="AY365" s="6"/>
      <c r="AZ365" s="6">
        <v>74993.167648</v>
      </c>
      <c r="BA365" s="6">
        <f>AZ365/$AZ$680*$BA$680</f>
        <v>73490.78827655168</v>
      </c>
      <c r="BB365" s="6">
        <v>2313887.85677</v>
      </c>
      <c r="BC365" s="6">
        <f>BB365/$BB$680*$BC$680</f>
        <v>2269416.47468905</v>
      </c>
      <c r="BD365" s="6">
        <v>470944.011264</v>
      </c>
      <c r="BE365" s="6">
        <f>BD365/BD$680*BE$680</f>
        <v>669236.2994341531</v>
      </c>
      <c r="BF365" s="6">
        <v>99146.03764902905</v>
      </c>
      <c r="BG365" s="6">
        <f>BE365+BF365</f>
        <v>768382.3370831822</v>
      </c>
      <c r="BH365" s="6"/>
      <c r="BI365" s="6"/>
      <c r="BJ365" s="6">
        <v>45665276.999602</v>
      </c>
      <c r="BK365" s="6"/>
      <c r="BL365" s="6"/>
      <c r="BM365" s="6"/>
      <c r="BN365" s="6"/>
      <c r="BO365" s="6">
        <v>69822.442754</v>
      </c>
      <c r="BP365" s="6"/>
      <c r="BQ365" s="6">
        <f t="shared" si="19"/>
        <v>30269937.70499603</v>
      </c>
      <c r="BT365" s="6">
        <f t="shared" si="20"/>
        <v>22220755.44563214</v>
      </c>
      <c r="BW365" s="52"/>
      <c r="BX365" s="6">
        <f t="shared" si="17"/>
        <v>54103464.98294103</v>
      </c>
      <c r="BY365" s="6">
        <f t="shared" si="18"/>
        <v>46509700.44226399</v>
      </c>
    </row>
    <row r="366" spans="1:77" ht="12.75">
      <c r="A366" t="s">
        <v>999</v>
      </c>
      <c r="B366" t="s">
        <v>365</v>
      </c>
      <c r="K366"/>
      <c r="L366"/>
      <c r="V366"/>
      <c r="X366"/>
      <c r="Z366" s="12">
        <f>Z367+Z368</f>
        <v>42939650.960943006</v>
      </c>
      <c r="AC366" s="12">
        <f>AC367+AC368</f>
        <v>43760153.84554701</v>
      </c>
      <c r="AF366" s="52"/>
      <c r="AG366"/>
      <c r="AI366"/>
      <c r="AT366"/>
      <c r="AV366"/>
      <c r="AW366"/>
      <c r="AZ366"/>
      <c r="BB366"/>
      <c r="BI366"/>
      <c r="BJ366" s="1">
        <v>81041158.018667</v>
      </c>
      <c r="BQ366" s="1">
        <f>BQ367+BQ368</f>
        <v>53182932.666516</v>
      </c>
      <c r="BT366" s="1">
        <f>BT367+BT368</f>
        <v>38473631.72313116</v>
      </c>
      <c r="BW366" s="52"/>
      <c r="BX366" s="1">
        <f t="shared" si="17"/>
        <v>96122583.627459</v>
      </c>
      <c r="BY366" s="1">
        <f t="shared" si="18"/>
        <v>82233785.56867817</v>
      </c>
    </row>
    <row r="367" spans="1:77" ht="12.75">
      <c r="A367" s="3" t="s">
        <v>1000</v>
      </c>
      <c r="B367" s="3" t="s">
        <v>366</v>
      </c>
      <c r="C367" s="3" t="s">
        <v>1346</v>
      </c>
      <c r="D367" s="3"/>
      <c r="E367" s="4"/>
      <c r="F367" s="4">
        <v>7338687.658383</v>
      </c>
      <c r="G367" s="4">
        <f>F367*RPI_inc</f>
        <v>7478917.358861656</v>
      </c>
      <c r="H367" s="4"/>
      <c r="I367" s="4"/>
      <c r="J367" s="4">
        <v>205818.338217</v>
      </c>
      <c r="K367" s="4">
        <f>J367*RPI_inc</f>
        <v>209751.17270522294</v>
      </c>
      <c r="L367" s="3"/>
      <c r="M367" s="4"/>
      <c r="N367" s="4"/>
      <c r="O367" s="4"/>
      <c r="P367" s="4"/>
      <c r="Q367" s="4"/>
      <c r="R367" s="4"/>
      <c r="S367" s="4"/>
      <c r="T367" s="4">
        <v>61140.082111</v>
      </c>
      <c r="U367" s="4">
        <f>T367*RPI_inc</f>
        <v>62308.36393477707</v>
      </c>
      <c r="V367" s="3"/>
      <c r="W367" s="4"/>
      <c r="X367" s="3"/>
      <c r="Y367" s="4"/>
      <c r="Z367" s="13">
        <f>D367+F367+H367+J367+L367+N367+P367+R367+T367+V367+X367</f>
        <v>7605646.078711</v>
      </c>
      <c r="AC367" s="13">
        <f>E367+G367+I367+K367+M367+O367+Q367+S367+U367+W367+Y367</f>
        <v>7750976.8955016555</v>
      </c>
      <c r="AF367" s="51"/>
      <c r="AG367" s="3"/>
      <c r="AH367" s="4"/>
      <c r="AI367" s="3"/>
      <c r="AJ367" s="4"/>
      <c r="AK367" s="4"/>
      <c r="AL367" s="4">
        <v>8107626.633176</v>
      </c>
      <c r="AM367" s="4">
        <f>AL367/$AL$680*$AM$680</f>
        <v>5428394.609254865</v>
      </c>
      <c r="AN367" s="4"/>
      <c r="AO367" s="4"/>
      <c r="AP367" s="4"/>
      <c r="AQ367" s="4"/>
      <c r="AR367" s="4">
        <v>297270.768415</v>
      </c>
      <c r="AS367" s="4">
        <f>AR367/$AR$680*$AS$680</f>
        <v>291421.58650266443</v>
      </c>
      <c r="AT367" s="3"/>
      <c r="AU367" s="4"/>
      <c r="AV367" s="4"/>
      <c r="AW367" s="4"/>
      <c r="AX367" s="4">
        <v>86732.082565</v>
      </c>
      <c r="AY367" s="4">
        <f>AX367/$AX$680*$AY$680</f>
        <v>84994.53256538832</v>
      </c>
      <c r="AZ367" s="3"/>
      <c r="BA367" s="4"/>
      <c r="BB367" s="3"/>
      <c r="BC367" s="4"/>
      <c r="BD367" s="4"/>
      <c r="BE367" s="4"/>
      <c r="BF367" s="4"/>
      <c r="BG367" s="4"/>
      <c r="BH367" s="4"/>
      <c r="BI367" s="4"/>
      <c r="BJ367" s="4">
        <v>16192732.751905</v>
      </c>
      <c r="BK367" s="4"/>
      <c r="BL367" s="4"/>
      <c r="BM367" s="4"/>
      <c r="BN367" s="4"/>
      <c r="BO367" s="4">
        <v>22281.418178</v>
      </c>
      <c r="BP367" s="4"/>
      <c r="BQ367" s="4">
        <f t="shared" si="19"/>
        <v>8513910.902333999</v>
      </c>
      <c r="BT367" s="4">
        <f t="shared" si="20"/>
        <v>5804810.728322918</v>
      </c>
      <c r="BW367" s="52"/>
      <c r="BX367" s="4">
        <f t="shared" si="17"/>
        <v>16119556.981045</v>
      </c>
      <c r="BY367" s="4">
        <f t="shared" si="18"/>
        <v>13555787.623824574</v>
      </c>
    </row>
    <row r="368" spans="1:77" ht="12.75">
      <c r="A368" s="5" t="s">
        <v>1001</v>
      </c>
      <c r="B368" s="5" t="s">
        <v>367</v>
      </c>
      <c r="C368" s="5" t="s">
        <v>1346</v>
      </c>
      <c r="D368" s="6">
        <v>27191721.107783</v>
      </c>
      <c r="E368" s="6">
        <f>D368*RPI_inc</f>
        <v>27711308.135320257</v>
      </c>
      <c r="F368" s="6"/>
      <c r="G368" s="6"/>
      <c r="H368" s="6"/>
      <c r="I368" s="6"/>
      <c r="J368" s="6">
        <v>797342.411762</v>
      </c>
      <c r="K368" s="6">
        <f>J368*RPI_inc</f>
        <v>812578.2540249681</v>
      </c>
      <c r="L368" s="6">
        <v>3395131.508481</v>
      </c>
      <c r="M368" s="6">
        <f>L368*RPI_inc</f>
        <v>3460006.632846879</v>
      </c>
      <c r="N368" s="6"/>
      <c r="O368" s="6"/>
      <c r="P368" s="6"/>
      <c r="Q368" s="6"/>
      <c r="R368" s="6"/>
      <c r="S368" s="6"/>
      <c r="T368" s="6"/>
      <c r="U368" s="6"/>
      <c r="V368" s="6">
        <v>53720.252271</v>
      </c>
      <c r="W368" s="6">
        <f>V368*RPI_inc</f>
        <v>54746.75390675159</v>
      </c>
      <c r="X368" s="6">
        <v>3896089.601935</v>
      </c>
      <c r="Y368" s="6">
        <f>X368*RPI_inc</f>
        <v>3970537.173946497</v>
      </c>
      <c r="Z368" s="14">
        <f>D368+F368+H368+J368+L368+N368+P368+R368+T368+V368+X368</f>
        <v>35334004.882232</v>
      </c>
      <c r="AC368" s="14">
        <f>E368+G368+I368+K368+M368+O368+Q368+S368+U368+W368+Y368</f>
        <v>36009176.950045355</v>
      </c>
      <c r="AF368" s="51"/>
      <c r="AG368" s="6">
        <v>791715</v>
      </c>
      <c r="AH368" s="6">
        <f>AG368/$AG$680*$AH$680</f>
        <v>596106.3663515084</v>
      </c>
      <c r="AI368" s="6">
        <v>32490343.751057</v>
      </c>
      <c r="AJ368" s="6">
        <f>AI368/$AI$680*$AJ$680</f>
        <v>22270526.88301965</v>
      </c>
      <c r="AK368" s="6">
        <f>AJ368-AH368</f>
        <v>21674420.51666814</v>
      </c>
      <c r="AL368" s="6"/>
      <c r="AM368" s="6"/>
      <c r="AN368" s="6"/>
      <c r="AO368" s="6"/>
      <c r="AP368" s="6"/>
      <c r="AQ368" s="6"/>
      <c r="AR368" s="6">
        <v>1151630.09034</v>
      </c>
      <c r="AS368" s="6">
        <f>AR368/$AR$680*$AS$680</f>
        <v>1128970.297955993</v>
      </c>
      <c r="AT368" s="6">
        <v>4294562.341705</v>
      </c>
      <c r="AU368" s="6">
        <f>AT368/$AT$680*$AU$680</f>
        <v>3544317.576302401</v>
      </c>
      <c r="AV368" s="6"/>
      <c r="AW368" s="6"/>
      <c r="AX368" s="6"/>
      <c r="AY368" s="6"/>
      <c r="AZ368" s="6">
        <v>76206.462348</v>
      </c>
      <c r="BA368" s="6">
        <f>AZ368/$AZ$680*$BA$680</f>
        <v>74679.7763765515</v>
      </c>
      <c r="BB368" s="6">
        <v>5761050.001649</v>
      </c>
      <c r="BC368" s="6">
        <f>BB368/$BB$680*$BC$680</f>
        <v>5650326.461153642</v>
      </c>
      <c r="BD368" s="6"/>
      <c r="BE368" s="6"/>
      <c r="BF368" s="6"/>
      <c r="BG368" s="6"/>
      <c r="BH368" s="6"/>
      <c r="BI368" s="6"/>
      <c r="BJ368" s="6">
        <v>64848425.266762</v>
      </c>
      <c r="BK368" s="6"/>
      <c r="BL368" s="6"/>
      <c r="BM368" s="6"/>
      <c r="BN368" s="6"/>
      <c r="BO368" s="6">
        <v>103514.117083</v>
      </c>
      <c r="BP368" s="6"/>
      <c r="BQ368" s="6">
        <f t="shared" si="19"/>
        <v>44669021.764182</v>
      </c>
      <c r="BT368" s="6">
        <f t="shared" si="20"/>
        <v>32668820.994808238</v>
      </c>
      <c r="BW368" s="52"/>
      <c r="BX368" s="6">
        <f t="shared" si="17"/>
        <v>80003026.64641401</v>
      </c>
      <c r="BY368" s="6">
        <f t="shared" si="18"/>
        <v>68677997.94485359</v>
      </c>
    </row>
    <row r="369" spans="1:77" ht="12.75">
      <c r="A369" t="s">
        <v>1002</v>
      </c>
      <c r="B369" t="s">
        <v>368</v>
      </c>
      <c r="K369"/>
      <c r="L369"/>
      <c r="V369"/>
      <c r="X369"/>
      <c r="Z369" s="12">
        <f>Z370+Z371</f>
        <v>39690727.238079</v>
      </c>
      <c r="AC369" s="12">
        <f>AC370+AC371</f>
        <v>40449148.777660124</v>
      </c>
      <c r="AF369" s="52"/>
      <c r="AG369"/>
      <c r="AI369"/>
      <c r="AT369"/>
      <c r="AV369"/>
      <c r="AW369"/>
      <c r="AZ369"/>
      <c r="BB369"/>
      <c r="BI369">
        <v>497971</v>
      </c>
      <c r="BJ369" s="1">
        <v>77119259.779533</v>
      </c>
      <c r="BQ369" s="1">
        <f>BQ370+BQ371</f>
        <v>49610396.070466004</v>
      </c>
      <c r="BT369" s="1">
        <f>BT370+BT371</f>
        <v>35242254.75683685</v>
      </c>
      <c r="BW369" s="52"/>
      <c r="BX369" s="1">
        <f t="shared" si="17"/>
        <v>89301123.308545</v>
      </c>
      <c r="BY369" s="1">
        <f t="shared" si="18"/>
        <v>75691403.53449696</v>
      </c>
    </row>
    <row r="370" spans="1:77" ht="12.75">
      <c r="A370" s="3" t="s">
        <v>1003</v>
      </c>
      <c r="B370" s="3" t="s">
        <v>369</v>
      </c>
      <c r="C370" s="3" t="s">
        <v>1346</v>
      </c>
      <c r="D370" s="3"/>
      <c r="E370" s="4"/>
      <c r="F370" s="4">
        <v>6493669.510991</v>
      </c>
      <c r="G370" s="4">
        <f>F370*RPI_inc</f>
        <v>6617752.367888917</v>
      </c>
      <c r="H370" s="4"/>
      <c r="I370" s="4"/>
      <c r="J370" s="4">
        <v>92319.675205</v>
      </c>
      <c r="K370" s="4">
        <f>J370*RPI_inc</f>
        <v>94083.74543184714</v>
      </c>
      <c r="L370" s="3"/>
      <c r="M370" s="4"/>
      <c r="N370" s="4"/>
      <c r="O370" s="4"/>
      <c r="P370" s="4"/>
      <c r="Q370" s="4"/>
      <c r="R370" s="4"/>
      <c r="S370" s="4"/>
      <c r="T370" s="4">
        <v>44130.841053</v>
      </c>
      <c r="U370" s="4">
        <f>T370*RPI_inc</f>
        <v>44974.10553171974</v>
      </c>
      <c r="V370" s="3"/>
      <c r="W370" s="4"/>
      <c r="X370" s="3"/>
      <c r="Y370" s="4"/>
      <c r="Z370" s="13">
        <f>D370+F370+H370+J370+L370+N370+P370+R370+T370+V370+X370</f>
        <v>6630120.027248999</v>
      </c>
      <c r="AC370" s="13">
        <f>E370+G370+I370+K370+M370+O370+Q370+S370+U370+W370+Y370</f>
        <v>6756810.218852484</v>
      </c>
      <c r="AF370" s="51"/>
      <c r="AG370" s="3"/>
      <c r="AH370" s="4"/>
      <c r="AI370" s="3"/>
      <c r="AJ370" s="4"/>
      <c r="AK370" s="4"/>
      <c r="AL370" s="4">
        <v>7174068.488146</v>
      </c>
      <c r="AM370" s="4">
        <f>AL370/$AL$680*$AM$680</f>
        <v>4803338.445325219</v>
      </c>
      <c r="AN370" s="4"/>
      <c r="AO370" s="4"/>
      <c r="AP370" s="4"/>
      <c r="AQ370" s="4"/>
      <c r="AR370" s="4">
        <v>133340.600385</v>
      </c>
      <c r="AS370" s="4">
        <f>AR370/$AR$680*$AS$680</f>
        <v>130716.95382832579</v>
      </c>
      <c r="AT370" s="3"/>
      <c r="AU370" s="4"/>
      <c r="AV370" s="4"/>
      <c r="AW370" s="4"/>
      <c r="AX370" s="4">
        <v>62603.11759</v>
      </c>
      <c r="AY370" s="4">
        <f>AX370/$AX$680*$AY$680</f>
        <v>61348.95599572865</v>
      </c>
      <c r="AZ370" s="3"/>
      <c r="BA370" s="4"/>
      <c r="BB370" s="3"/>
      <c r="BC370" s="4"/>
      <c r="BD370" s="4"/>
      <c r="BE370" s="4"/>
      <c r="BF370" s="4"/>
      <c r="BG370" s="4"/>
      <c r="BH370" s="4">
        <v>90290.962356</v>
      </c>
      <c r="BI370" s="4"/>
      <c r="BJ370" s="4">
        <v>14164419.9336</v>
      </c>
      <c r="BK370" s="4">
        <f>BJ370/BJ369*BI369</f>
        <v>91461.85244670458</v>
      </c>
      <c r="BL370" s="4">
        <f>BH370+BK370</f>
        <v>181752.81480270458</v>
      </c>
      <c r="BM370" s="4"/>
      <c r="BN370" s="4"/>
      <c r="BO370" s="4">
        <v>19423.527649</v>
      </c>
      <c r="BP370" s="4"/>
      <c r="BQ370" s="4">
        <f t="shared" si="19"/>
        <v>7571188.548572704</v>
      </c>
      <c r="BT370" s="4">
        <f t="shared" si="20"/>
        <v>5177157.169951977</v>
      </c>
      <c r="BW370" s="52"/>
      <c r="BX370" s="4">
        <f t="shared" si="17"/>
        <v>14201308.575821703</v>
      </c>
      <c r="BY370" s="4">
        <f t="shared" si="18"/>
        <v>11933967.388804462</v>
      </c>
    </row>
    <row r="371" spans="1:77" ht="12.75">
      <c r="A371" s="5" t="s">
        <v>1004</v>
      </c>
      <c r="B371" s="5" t="s">
        <v>370</v>
      </c>
      <c r="C371" s="5" t="s">
        <v>1346</v>
      </c>
      <c r="D371" s="6">
        <v>27320734.447386</v>
      </c>
      <c r="E371" s="6">
        <f>D371*RPI_inc</f>
        <v>27842786.697972994</v>
      </c>
      <c r="F371" s="6"/>
      <c r="G371" s="6"/>
      <c r="H371" s="6"/>
      <c r="I371" s="6"/>
      <c r="J371" s="6">
        <v>419756.512985</v>
      </c>
      <c r="K371" s="6">
        <f>J371*RPI_inc</f>
        <v>427777.3380738853</v>
      </c>
      <c r="L371" s="6">
        <v>3509268.860263</v>
      </c>
      <c r="M371" s="6">
        <f>L371*RPI_inc</f>
        <v>3576324.953134267</v>
      </c>
      <c r="N371" s="6"/>
      <c r="O371" s="6"/>
      <c r="P371" s="6"/>
      <c r="Q371" s="6"/>
      <c r="R371" s="6"/>
      <c r="S371" s="6"/>
      <c r="T371" s="6"/>
      <c r="U371" s="6"/>
      <c r="V371" s="6">
        <v>48425.610273</v>
      </c>
      <c r="W371" s="6">
        <f>V371*RPI_inc</f>
        <v>49350.94040560509</v>
      </c>
      <c r="X371" s="6">
        <v>1762421.779923</v>
      </c>
      <c r="Y371" s="6">
        <f>X371*RPI_inc</f>
        <v>1796098.6292208915</v>
      </c>
      <c r="Z371" s="14">
        <f>D371+F371+H371+J371+L371+N371+P371+R371+T371+V371+X371</f>
        <v>33060607.21083</v>
      </c>
      <c r="AC371" s="14">
        <f>E371+G371+I371+K371+M371+O371+Q371+S371+U371+W371+Y371</f>
        <v>33692338.55880764</v>
      </c>
      <c r="AF371" s="51"/>
      <c r="AG371" s="6">
        <v>770092</v>
      </c>
      <c r="AH371" s="6">
        <f>AG371/$AG$680*$AH$680</f>
        <v>579825.7502717086</v>
      </c>
      <c r="AI371" s="6">
        <v>32644496.838151</v>
      </c>
      <c r="AJ371" s="6">
        <f>AI371/$AI$680*$AJ$680</f>
        <v>22376191.215060323</v>
      </c>
      <c r="AK371" s="6">
        <f>AJ371-AH371</f>
        <v>21796365.464788616</v>
      </c>
      <c r="AL371" s="6"/>
      <c r="AM371" s="6"/>
      <c r="AN371" s="6"/>
      <c r="AO371" s="6"/>
      <c r="AP371" s="6"/>
      <c r="AQ371" s="6"/>
      <c r="AR371" s="6">
        <v>606269.306434</v>
      </c>
      <c r="AS371" s="6">
        <f>AR371/$AR$680*$AS$680</f>
        <v>594340.1837688094</v>
      </c>
      <c r="AT371" s="6">
        <v>4438936.711747</v>
      </c>
      <c r="AU371" s="6">
        <f>AT371/$AT$680*$AU$680</f>
        <v>3663470.2574355123</v>
      </c>
      <c r="AV371" s="6"/>
      <c r="AW371" s="6"/>
      <c r="AX371" s="6"/>
      <c r="AY371" s="6"/>
      <c r="AZ371" s="6">
        <v>68695.590395</v>
      </c>
      <c r="BA371" s="6">
        <f>AZ371/$AZ$680*$BA$680</f>
        <v>67319.37385213654</v>
      </c>
      <c r="BB371" s="6">
        <v>2606048.894022</v>
      </c>
      <c r="BC371" s="6">
        <f>BB371/$BB$680*$BC$680</f>
        <v>2555962.3715707916</v>
      </c>
      <c r="BD371" s="6"/>
      <c r="BE371" s="6"/>
      <c r="BF371" s="6"/>
      <c r="BG371" s="6"/>
      <c r="BH371" s="6">
        <v>401305.037644</v>
      </c>
      <c r="BI371" s="6"/>
      <c r="BJ371" s="6">
        <v>62954839.845933</v>
      </c>
      <c r="BK371" s="6">
        <f>BJ371/BJ369*BI369</f>
        <v>406509.1475532954</v>
      </c>
      <c r="BL371" s="6">
        <f>BH371+BK371</f>
        <v>807814.1851972954</v>
      </c>
      <c r="BM371" s="6"/>
      <c r="BN371" s="6"/>
      <c r="BO371" s="6">
        <v>96853.995947</v>
      </c>
      <c r="BP371" s="6"/>
      <c r="BQ371" s="6">
        <f t="shared" si="19"/>
        <v>42039207.5218933</v>
      </c>
      <c r="BT371" s="6">
        <f t="shared" si="20"/>
        <v>30065097.586884867</v>
      </c>
      <c r="BW371" s="52"/>
      <c r="BX371" s="6">
        <f t="shared" si="17"/>
        <v>75099814.7327233</v>
      </c>
      <c r="BY371" s="6">
        <f t="shared" si="18"/>
        <v>63757436.14569251</v>
      </c>
    </row>
    <row r="372" spans="1:77" ht="12.75">
      <c r="A372" t="s">
        <v>1005</v>
      </c>
      <c r="B372" t="s">
        <v>371</v>
      </c>
      <c r="K372"/>
      <c r="L372"/>
      <c r="V372"/>
      <c r="X372"/>
      <c r="Z372" s="12">
        <f>Z373+Z374</f>
        <v>43022018.375231</v>
      </c>
      <c r="AC372" s="12">
        <f>AC373+AC374</f>
        <v>43844095.15947108</v>
      </c>
      <c r="AF372" s="52"/>
      <c r="AG372"/>
      <c r="AI372"/>
      <c r="AT372"/>
      <c r="AV372"/>
      <c r="AW372"/>
      <c r="AZ372"/>
      <c r="BB372"/>
      <c r="BI372">
        <v>612768</v>
      </c>
      <c r="BJ372" s="1">
        <v>85391991.008476</v>
      </c>
      <c r="BQ372" s="1">
        <f>BQ373+BQ374</f>
        <v>54275920.61708599</v>
      </c>
      <c r="BT372" s="1">
        <f>BT373+BT374</f>
        <v>38307090.0137477</v>
      </c>
      <c r="BW372" s="52"/>
      <c r="BX372" s="1">
        <f t="shared" si="17"/>
        <v>97297938.99231699</v>
      </c>
      <c r="BY372" s="1">
        <f t="shared" si="18"/>
        <v>82151185.17321879</v>
      </c>
    </row>
    <row r="373" spans="1:77" ht="12.75">
      <c r="A373" s="3" t="s">
        <v>1006</v>
      </c>
      <c r="B373" s="3" t="s">
        <v>372</v>
      </c>
      <c r="C373" s="3" t="s">
        <v>1346</v>
      </c>
      <c r="D373" s="3"/>
      <c r="E373" s="4"/>
      <c r="F373" s="4">
        <v>6026226.897491</v>
      </c>
      <c r="G373" s="4">
        <f>F373*RPI_inc</f>
        <v>6141377.729927134</v>
      </c>
      <c r="H373" s="4"/>
      <c r="I373" s="4"/>
      <c r="J373" s="4">
        <v>94823.525866</v>
      </c>
      <c r="K373" s="4">
        <f>J373*RPI_inc</f>
        <v>96635.44037299363</v>
      </c>
      <c r="L373" s="3"/>
      <c r="M373" s="4"/>
      <c r="N373" s="4"/>
      <c r="O373" s="4"/>
      <c r="P373" s="4"/>
      <c r="Q373" s="4"/>
      <c r="R373" s="4"/>
      <c r="S373" s="4"/>
      <c r="T373" s="4">
        <v>214020.8334</v>
      </c>
      <c r="U373" s="4">
        <f>T373*RPI_inc</f>
        <v>218110.40346496814</v>
      </c>
      <c r="V373" s="3"/>
      <c r="W373" s="4"/>
      <c r="X373" s="3"/>
      <c r="Y373" s="4"/>
      <c r="Z373" s="13">
        <f>D373+F373+H373+J373+L373+N373+P373+R373+T373+V373+X373</f>
        <v>6335071.2567569995</v>
      </c>
      <c r="AC373" s="13">
        <f>E373+G373+I373+K373+M373+O373+Q373+S373+U373+W373+Y373</f>
        <v>6456123.573765095</v>
      </c>
      <c r="AF373" s="51"/>
      <c r="AG373" s="3"/>
      <c r="AH373" s="4"/>
      <c r="AI373" s="3"/>
      <c r="AJ373" s="4"/>
      <c r="AK373" s="4"/>
      <c r="AL373" s="4">
        <v>6657647.792906</v>
      </c>
      <c r="AM373" s="4">
        <f>AL373/$AL$680*$AM$680</f>
        <v>4457573.223888238</v>
      </c>
      <c r="AN373" s="4"/>
      <c r="AO373" s="4"/>
      <c r="AP373" s="4"/>
      <c r="AQ373" s="4"/>
      <c r="AR373" s="4">
        <v>136957.001219</v>
      </c>
      <c r="AS373" s="4">
        <f>AR373/$AR$680*$AS$680</f>
        <v>134262.1973586367</v>
      </c>
      <c r="AT373" s="3"/>
      <c r="AU373" s="4"/>
      <c r="AV373" s="4"/>
      <c r="AW373" s="4"/>
      <c r="AX373" s="4">
        <v>303605.620932</v>
      </c>
      <c r="AY373" s="4">
        <f>AX373/$AX$680*$AY$680</f>
        <v>297523.32784123794</v>
      </c>
      <c r="AZ373" s="3"/>
      <c r="BA373" s="4"/>
      <c r="BB373" s="3"/>
      <c r="BC373" s="4"/>
      <c r="BD373" s="4"/>
      <c r="BE373" s="4"/>
      <c r="BF373" s="4"/>
      <c r="BG373" s="4"/>
      <c r="BH373" s="4">
        <v>90567.013278</v>
      </c>
      <c r="BI373" s="4"/>
      <c r="BJ373" s="4">
        <v>12941997.341729</v>
      </c>
      <c r="BK373" s="4">
        <f>BJ373/BJ372*BI372</f>
        <v>92871.0261165994</v>
      </c>
      <c r="BL373" s="4">
        <f>BH373+BK373</f>
        <v>183438.0393945994</v>
      </c>
      <c r="BM373" s="4"/>
      <c r="BN373" s="4"/>
      <c r="BO373" s="4">
        <v>18559.155974</v>
      </c>
      <c r="BP373" s="4"/>
      <c r="BQ373" s="4">
        <f t="shared" si="19"/>
        <v>7300207.610425599</v>
      </c>
      <c r="BT373" s="4">
        <f t="shared" si="20"/>
        <v>5072796.788482713</v>
      </c>
      <c r="BW373" s="52"/>
      <c r="BX373" s="4">
        <f t="shared" si="17"/>
        <v>13635278.867182598</v>
      </c>
      <c r="BY373" s="4">
        <f t="shared" si="18"/>
        <v>11528920.362247808</v>
      </c>
    </row>
    <row r="374" spans="1:77" ht="12.75">
      <c r="A374" s="5" t="s">
        <v>1007</v>
      </c>
      <c r="B374" s="5" t="s">
        <v>373</v>
      </c>
      <c r="C374" s="5" t="s">
        <v>1346</v>
      </c>
      <c r="D374" s="6">
        <v>31603692.023291</v>
      </c>
      <c r="E374" s="6">
        <f>D374*RPI_inc</f>
        <v>32207584.227557708</v>
      </c>
      <c r="F374" s="6"/>
      <c r="G374" s="6"/>
      <c r="H374" s="6"/>
      <c r="I374" s="6"/>
      <c r="J374" s="6">
        <v>514561.665763</v>
      </c>
      <c r="K374" s="6">
        <f>J374*RPI_inc</f>
        <v>524394.0542807643</v>
      </c>
      <c r="L374" s="6">
        <v>2530336.494413</v>
      </c>
      <c r="M374" s="6">
        <f>L374*RPI_inc</f>
        <v>2578686.873287134</v>
      </c>
      <c r="N374" s="6"/>
      <c r="O374" s="6"/>
      <c r="P374" s="6"/>
      <c r="Q374" s="6"/>
      <c r="R374" s="6"/>
      <c r="S374" s="6"/>
      <c r="T374" s="6"/>
      <c r="U374" s="6"/>
      <c r="V374" s="6">
        <v>47488.86592</v>
      </c>
      <c r="W374" s="6">
        <f>V374*RPI_inc</f>
        <v>48396.29647898089</v>
      </c>
      <c r="X374" s="6">
        <v>1990868.069087</v>
      </c>
      <c r="Y374" s="6">
        <f>X374*RPI_inc</f>
        <v>2028910.1341014013</v>
      </c>
      <c r="Z374" s="14">
        <f>D374+F374+H374+J374+L374+N374+P374+R374+T374+V374+X374</f>
        <v>36686947.118474</v>
      </c>
      <c r="AC374" s="14">
        <f>E374+G374+I374+K374+M374+O374+Q374+S374+U374+W374+Y374</f>
        <v>37387971.58570598</v>
      </c>
      <c r="AF374" s="51"/>
      <c r="AG374" s="6">
        <v>1124220</v>
      </c>
      <c r="AH374" s="6">
        <f>AG374/$AG$680*$AH$680</f>
        <v>846459.5203825779</v>
      </c>
      <c r="AI374" s="6">
        <v>37762038.436963</v>
      </c>
      <c r="AJ374" s="6">
        <f>AI374/$AI$680*$AJ$680</f>
        <v>25884013.37368572</v>
      </c>
      <c r="AK374" s="6">
        <f>AJ374-AH374</f>
        <v>25037553.853303142</v>
      </c>
      <c r="AL374" s="6"/>
      <c r="AM374" s="6"/>
      <c r="AN374" s="6"/>
      <c r="AO374" s="6"/>
      <c r="AP374" s="6"/>
      <c r="AQ374" s="6"/>
      <c r="AR374" s="6">
        <v>743199.770747</v>
      </c>
      <c r="AS374" s="6">
        <f>AR374/$AR$680*$AS$680</f>
        <v>728576.366368953</v>
      </c>
      <c r="AT374" s="6">
        <v>3200667.718939</v>
      </c>
      <c r="AU374" s="6">
        <f>AT374/$AT$680*$AU$680</f>
        <v>2641522.453167</v>
      </c>
      <c r="AV374" s="6"/>
      <c r="AW374" s="6"/>
      <c r="AX374" s="6"/>
      <c r="AY374" s="6"/>
      <c r="AZ374" s="6">
        <v>67366.743819</v>
      </c>
      <c r="BA374" s="6">
        <f>AZ374/$AZ$680*$BA$680</f>
        <v>66017.14879041865</v>
      </c>
      <c r="BB374" s="6">
        <v>2943846.693618</v>
      </c>
      <c r="BC374" s="6">
        <f>BB374/$BB$680*$BC$680</f>
        <v>2887267.9226474934</v>
      </c>
      <c r="BD374" s="6"/>
      <c r="BE374" s="6"/>
      <c r="BF374" s="6"/>
      <c r="BG374" s="6"/>
      <c r="BH374" s="6">
        <v>506998.986722</v>
      </c>
      <c r="BI374" s="6"/>
      <c r="BJ374" s="6">
        <v>72449993.666747</v>
      </c>
      <c r="BK374" s="6">
        <f>BJ374/BJ372*BI372</f>
        <v>519896.9738834006</v>
      </c>
      <c r="BL374" s="6">
        <f>BH374+BK374</f>
        <v>1026895.9606054006</v>
      </c>
      <c r="BM374" s="6"/>
      <c r="BN374" s="6"/>
      <c r="BO374" s="6">
        <v>107477.681969</v>
      </c>
      <c r="BP374" s="6"/>
      <c r="BQ374" s="6">
        <f t="shared" si="19"/>
        <v>46975713.006660394</v>
      </c>
      <c r="BT374" s="6">
        <f t="shared" si="20"/>
        <v>33234293.22526499</v>
      </c>
      <c r="BW374" s="52"/>
      <c r="BX374" s="6">
        <f t="shared" si="17"/>
        <v>83662660.1251344</v>
      </c>
      <c r="BY374" s="6">
        <f t="shared" si="18"/>
        <v>70622264.81097096</v>
      </c>
    </row>
    <row r="375" spans="1:77" ht="12.75">
      <c r="A375" t="s">
        <v>1008</v>
      </c>
      <c r="B375" t="s">
        <v>374</v>
      </c>
      <c r="K375"/>
      <c r="L375"/>
      <c r="V375"/>
      <c r="X375"/>
      <c r="Z375" s="12">
        <f>Z376+Z377</f>
        <v>86013066.97474</v>
      </c>
      <c r="AC375" s="12">
        <f>AC376+AC377</f>
        <v>87656628.76406625</v>
      </c>
      <c r="AF375" s="52"/>
      <c r="AG375"/>
      <c r="AI375"/>
      <c r="AT375"/>
      <c r="AV375"/>
      <c r="AW375"/>
      <c r="AZ375"/>
      <c r="BB375"/>
      <c r="BI375"/>
      <c r="BJ375" s="1">
        <v>171149578.99504</v>
      </c>
      <c r="BQ375" s="1">
        <f>BQ376+BQ377</f>
        <v>105445089.507323</v>
      </c>
      <c r="BT375" s="1">
        <f>BT376+BT377</f>
        <v>73074857.75016075</v>
      </c>
      <c r="BW375" s="52"/>
      <c r="BX375" s="1">
        <f t="shared" si="17"/>
        <v>191458156.482063</v>
      </c>
      <c r="BY375" s="1">
        <f t="shared" si="18"/>
        <v>160731486.514227</v>
      </c>
    </row>
    <row r="376" spans="1:77" ht="12.75">
      <c r="A376" s="3" t="s">
        <v>1009</v>
      </c>
      <c r="B376" s="3" t="s">
        <v>375</v>
      </c>
      <c r="C376" s="3" t="s">
        <v>1346</v>
      </c>
      <c r="D376" s="3"/>
      <c r="E376" s="4"/>
      <c r="F376" s="4">
        <v>13876957.835892</v>
      </c>
      <c r="G376" s="4">
        <f>F376*RPI_inc</f>
        <v>14142122.635303948</v>
      </c>
      <c r="H376" s="4"/>
      <c r="I376" s="4"/>
      <c r="J376" s="4">
        <v>181704.404477</v>
      </c>
      <c r="K376" s="4">
        <f>J376*RPI_inc</f>
        <v>185176.4631612739</v>
      </c>
      <c r="L376" s="3"/>
      <c r="M376" s="4"/>
      <c r="N376" s="4"/>
      <c r="O376" s="4"/>
      <c r="P376" s="4"/>
      <c r="Q376" s="4"/>
      <c r="R376" s="4"/>
      <c r="S376" s="4"/>
      <c r="T376" s="4">
        <v>227195.124531</v>
      </c>
      <c r="U376" s="4">
        <f>T376*RPI_inc</f>
        <v>231536.43264305734</v>
      </c>
      <c r="V376" s="3"/>
      <c r="W376" s="4"/>
      <c r="X376" s="3"/>
      <c r="Y376" s="4"/>
      <c r="Z376" s="13">
        <f>D376+F376+H376+J376+L376+N376+P376+R376+T376+V376+X376</f>
        <v>14285857.3649</v>
      </c>
      <c r="AC376" s="13">
        <f>E376+G376+I376+K376+M376+O376+Q376+S376+U376+W376+Y376</f>
        <v>14558835.53110828</v>
      </c>
      <c r="AF376" s="51"/>
      <c r="AG376" s="3"/>
      <c r="AH376" s="4"/>
      <c r="AI376" s="3"/>
      <c r="AJ376" s="4"/>
      <c r="AK376" s="4"/>
      <c r="AL376" s="4">
        <v>15330968.992693</v>
      </c>
      <c r="AM376" s="4">
        <f>AL376/$AL$680*$AM$680</f>
        <v>10264723.969163267</v>
      </c>
      <c r="AN376" s="4"/>
      <c r="AO376" s="4"/>
      <c r="AP376" s="4"/>
      <c r="AQ376" s="4"/>
      <c r="AR376" s="4">
        <v>262442.153655</v>
      </c>
      <c r="AS376" s="4">
        <f>AR376/$AR$680*$AS$680</f>
        <v>257278.2692058899</v>
      </c>
      <c r="AT376" s="3"/>
      <c r="AU376" s="4"/>
      <c r="AV376" s="4"/>
      <c r="AW376" s="4"/>
      <c r="AX376" s="4">
        <v>322294.403588</v>
      </c>
      <c r="AY376" s="4">
        <f>AX376/$AX$680*$AY$680</f>
        <v>315837.70816148934</v>
      </c>
      <c r="AZ376" s="3"/>
      <c r="BA376" s="4"/>
      <c r="BB376" s="3"/>
      <c r="BC376" s="4"/>
      <c r="BD376" s="4"/>
      <c r="BE376" s="4"/>
      <c r="BF376" s="4"/>
      <c r="BG376" s="4"/>
      <c r="BH376" s="4"/>
      <c r="BI376" s="4"/>
      <c r="BJ376" s="4">
        <v>29819848.930477</v>
      </c>
      <c r="BK376" s="4"/>
      <c r="BL376" s="4"/>
      <c r="BM376" s="4"/>
      <c r="BN376" s="4"/>
      <c r="BO376" s="4">
        <v>41851.692635</v>
      </c>
      <c r="BP376" s="4"/>
      <c r="BQ376" s="4">
        <f t="shared" si="19"/>
        <v>15957557.242571</v>
      </c>
      <c r="BT376" s="4">
        <f t="shared" si="20"/>
        <v>10837839.946530648</v>
      </c>
      <c r="BW376" s="52"/>
      <c r="BX376" s="4">
        <f t="shared" si="17"/>
        <v>30243414.607471</v>
      </c>
      <c r="BY376" s="4">
        <f t="shared" si="18"/>
        <v>25396675.47763893</v>
      </c>
    </row>
    <row r="377" spans="1:77" ht="12.75">
      <c r="A377" s="5" t="s">
        <v>1010</v>
      </c>
      <c r="B377" s="5" t="s">
        <v>376</v>
      </c>
      <c r="C377" s="5" t="s">
        <v>1346</v>
      </c>
      <c r="D377" s="6">
        <v>62846619.359657</v>
      </c>
      <c r="E377" s="6">
        <f>D377*RPI_inc</f>
        <v>64047510.17544662</v>
      </c>
      <c r="F377" s="6"/>
      <c r="G377" s="6"/>
      <c r="H377" s="6"/>
      <c r="I377" s="6"/>
      <c r="J377" s="6">
        <v>840846.546338</v>
      </c>
      <c r="K377" s="6">
        <f>J377*RPI_inc</f>
        <v>856913.6777966879</v>
      </c>
      <c r="L377" s="6">
        <v>5125446.491346</v>
      </c>
      <c r="M377" s="6">
        <f>L377*RPI_inc</f>
        <v>5223384.959333503</v>
      </c>
      <c r="N377" s="6"/>
      <c r="O377" s="6"/>
      <c r="P377" s="6"/>
      <c r="Q377" s="6"/>
      <c r="R377" s="6"/>
      <c r="S377" s="6"/>
      <c r="T377" s="6"/>
      <c r="U377" s="6"/>
      <c r="V377" s="6">
        <v>54005.348379</v>
      </c>
      <c r="W377" s="6">
        <f>V377*RPI_inc</f>
        <v>55037.29771108281</v>
      </c>
      <c r="X377" s="6">
        <v>2860291.86412</v>
      </c>
      <c r="Y377" s="6">
        <f>X377*RPI_inc</f>
        <v>2914947.1226700637</v>
      </c>
      <c r="Z377" s="14">
        <f>D377+F377+H377+J377+L377+N377+P377+R377+T377+V377+X377</f>
        <v>71727209.60984</v>
      </c>
      <c r="AC377" s="14">
        <f>E377+G377+I377+K377+M377+O377+Q377+S377+U377+W377+Y377</f>
        <v>73097793.23295797</v>
      </c>
      <c r="AF377" s="51"/>
      <c r="AG377" s="6">
        <v>2180602</v>
      </c>
      <c r="AH377" s="6">
        <f>AG377/$AG$680*$AH$680</f>
        <v>1641841.7418879669</v>
      </c>
      <c r="AI377" s="6">
        <v>75093012.998087</v>
      </c>
      <c r="AJ377" s="6">
        <f>AI377/$AI$680*$AJ$680</f>
        <v>51472553.73826058</v>
      </c>
      <c r="AK377" s="6">
        <f>AJ377-AH377</f>
        <v>49830711.99637262</v>
      </c>
      <c r="AL377" s="6"/>
      <c r="AM377" s="6"/>
      <c r="AN377" s="6"/>
      <c r="AO377" s="6"/>
      <c r="AP377" s="6"/>
      <c r="AQ377" s="6"/>
      <c r="AR377" s="6">
        <v>1214464.66391</v>
      </c>
      <c r="AS377" s="6">
        <f>AR377/$AR$680*$AS$680</f>
        <v>1190568.5210662603</v>
      </c>
      <c r="AT377" s="6">
        <v>6483268.595392</v>
      </c>
      <c r="AU377" s="6">
        <f>AT377/$AT$680*$AU$680</f>
        <v>5350664.632665305</v>
      </c>
      <c r="AV377" s="6"/>
      <c r="AW377" s="6"/>
      <c r="AX377" s="6"/>
      <c r="AY377" s="6"/>
      <c r="AZ377" s="6">
        <v>76610.893914</v>
      </c>
      <c r="BA377" s="6">
        <f>AZ377/$AZ$680*$BA$680</f>
        <v>75076.10574256479</v>
      </c>
      <c r="BB377" s="6">
        <v>4229441.858916</v>
      </c>
      <c r="BC377" s="6">
        <f>BB377/$BB$680*$BC$680</f>
        <v>4148154.805895387</v>
      </c>
      <c r="BD377" s="6"/>
      <c r="BE377" s="6"/>
      <c r="BF377" s="6"/>
      <c r="BG377" s="6"/>
      <c r="BH377" s="6"/>
      <c r="BI377" s="6"/>
      <c r="BJ377" s="6">
        <v>141329730.064562</v>
      </c>
      <c r="BK377" s="6"/>
      <c r="BL377" s="6"/>
      <c r="BM377" s="6"/>
      <c r="BN377" s="6"/>
      <c r="BO377" s="6">
        <v>210131.254533</v>
      </c>
      <c r="BP377" s="6"/>
      <c r="BQ377" s="6">
        <f t="shared" si="19"/>
        <v>89487532.264752</v>
      </c>
      <c r="BT377" s="6">
        <f t="shared" si="20"/>
        <v>62237017.803630106</v>
      </c>
      <c r="BW377" s="52"/>
      <c r="BX377" s="6">
        <f t="shared" si="17"/>
        <v>161214741.874592</v>
      </c>
      <c r="BY377" s="6">
        <f t="shared" si="18"/>
        <v>135334811.03658807</v>
      </c>
    </row>
    <row r="378" spans="1:77" ht="12.75">
      <c r="A378" t="s">
        <v>1011</v>
      </c>
      <c r="B378" t="s">
        <v>377</v>
      </c>
      <c r="K378"/>
      <c r="L378"/>
      <c r="V378"/>
      <c r="X378"/>
      <c r="Z378" s="12">
        <f>Z379+Z380</f>
        <v>34502322.48600099</v>
      </c>
      <c r="AC378" s="12">
        <f>AC379+AC380</f>
        <v>35161602.5335042</v>
      </c>
      <c r="AF378" s="52"/>
      <c r="AG378"/>
      <c r="AI378"/>
      <c r="AT378"/>
      <c r="AV378"/>
      <c r="AW378"/>
      <c r="AZ378"/>
      <c r="BB378"/>
      <c r="BI378">
        <v>605864</v>
      </c>
      <c r="BJ378" s="1">
        <v>65248392.276516</v>
      </c>
      <c r="BQ378" s="1">
        <f>BQ379+BQ380</f>
        <v>43258165.03464</v>
      </c>
      <c r="BT378" s="1">
        <f>BT379+BT380</f>
        <v>31167668.10204798</v>
      </c>
      <c r="BW378" s="52"/>
      <c r="BX378" s="1">
        <f t="shared" si="17"/>
        <v>77760487.520641</v>
      </c>
      <c r="BY378" s="1">
        <f t="shared" si="18"/>
        <v>66329270.63555218</v>
      </c>
    </row>
    <row r="379" spans="1:77" ht="12.75">
      <c r="A379" s="3" t="s">
        <v>1012</v>
      </c>
      <c r="B379" s="3" t="s">
        <v>378</v>
      </c>
      <c r="C379" s="3" t="s">
        <v>1346</v>
      </c>
      <c r="D379" s="3"/>
      <c r="E379" s="4"/>
      <c r="F379" s="4">
        <v>4359244.921448</v>
      </c>
      <c r="G379" s="4">
        <f>F379*RPI_inc</f>
        <v>4442542.595106242</v>
      </c>
      <c r="H379" s="4"/>
      <c r="I379" s="4"/>
      <c r="J379" s="4">
        <v>81090.509219</v>
      </c>
      <c r="K379" s="4">
        <f>J379*RPI_inc</f>
        <v>82640.00939515923</v>
      </c>
      <c r="L379" s="3"/>
      <c r="M379" s="4"/>
      <c r="N379" s="4"/>
      <c r="O379" s="4"/>
      <c r="P379" s="4"/>
      <c r="Q379" s="4"/>
      <c r="R379" s="4"/>
      <c r="S379" s="4"/>
      <c r="T379" s="4">
        <v>35626.424163</v>
      </c>
      <c r="U379" s="4">
        <f>T379*RPI_inc</f>
        <v>36307.18386038217</v>
      </c>
      <c r="V379" s="3"/>
      <c r="W379" s="4"/>
      <c r="X379" s="3"/>
      <c r="Y379" s="4"/>
      <c r="Z379" s="13">
        <f>D379+F379+H379+J379+L379+N379+P379+R379+T379+V379+X379</f>
        <v>4475961.85483</v>
      </c>
      <c r="AC379" s="13">
        <f>E379+G379+I379+K379+M379+O379+Q379+S379+U379+W379+Y379</f>
        <v>4561489.788361783</v>
      </c>
      <c r="AF379" s="51"/>
      <c r="AG379" s="3"/>
      <c r="AH379" s="4"/>
      <c r="AI379" s="3"/>
      <c r="AJ379" s="4"/>
      <c r="AK379" s="4"/>
      <c r="AL379" s="4">
        <v>4816001.425717</v>
      </c>
      <c r="AM379" s="4">
        <f>AL379/$AL$680*$AM$680</f>
        <v>3224514.0730271707</v>
      </c>
      <c r="AN379" s="4"/>
      <c r="AO379" s="4"/>
      <c r="AP379" s="4"/>
      <c r="AQ379" s="4"/>
      <c r="AR379" s="4">
        <v>117121.915353</v>
      </c>
      <c r="AS379" s="4">
        <f>AR379/$AR$680*$AS$680</f>
        <v>114817.39213171747</v>
      </c>
      <c r="AT379" s="3"/>
      <c r="AU379" s="4"/>
      <c r="AV379" s="4"/>
      <c r="AW379" s="4"/>
      <c r="AX379" s="4">
        <v>50538.923982</v>
      </c>
      <c r="AY379" s="4">
        <f>AX379/$AX$680*$AY$680</f>
        <v>49526.450803121945</v>
      </c>
      <c r="AZ379" s="3"/>
      <c r="BA379" s="4"/>
      <c r="BB379" s="3"/>
      <c r="BC379" s="4"/>
      <c r="BD379" s="4"/>
      <c r="BE379" s="4"/>
      <c r="BF379" s="4"/>
      <c r="BG379" s="4"/>
      <c r="BH379" s="4"/>
      <c r="BI379" s="4"/>
      <c r="BJ379" s="4">
        <v>9217911.421099</v>
      </c>
      <c r="BK379" s="4">
        <f>BJ379/BJ378*BI378</f>
        <v>85592.9240611004</v>
      </c>
      <c r="BL379" s="4">
        <f>BH379+BK379</f>
        <v>85592.9240611004</v>
      </c>
      <c r="BM379" s="4"/>
      <c r="BN379" s="4"/>
      <c r="BO379" s="4">
        <v>13112.729255</v>
      </c>
      <c r="BP379" s="4"/>
      <c r="BQ379" s="4">
        <f t="shared" si="19"/>
        <v>5082367.9183681</v>
      </c>
      <c r="BT379" s="4">
        <f t="shared" si="20"/>
        <v>3474450.8400231106</v>
      </c>
      <c r="BW379" s="52"/>
      <c r="BX379" s="4">
        <f t="shared" si="17"/>
        <v>9558329.7731981</v>
      </c>
      <c r="BY379" s="4">
        <f t="shared" si="18"/>
        <v>8035940.628384894</v>
      </c>
    </row>
    <row r="380" spans="1:77" ht="12.75">
      <c r="A380" s="5" t="s">
        <v>1013</v>
      </c>
      <c r="B380" s="5" t="s">
        <v>379</v>
      </c>
      <c r="C380" s="5" t="s">
        <v>1346</v>
      </c>
      <c r="D380" s="6">
        <v>24253777.811874</v>
      </c>
      <c r="E380" s="6">
        <f>D380*RPI_inc</f>
        <v>24717225.79554038</v>
      </c>
      <c r="F380" s="6"/>
      <c r="G380" s="6"/>
      <c r="H380" s="6"/>
      <c r="I380" s="6"/>
      <c r="J380" s="6">
        <v>488896.436743</v>
      </c>
      <c r="K380" s="6">
        <f>J380*RPI_inc</f>
        <v>498238.4068718471</v>
      </c>
      <c r="L380" s="6">
        <v>2383368.65405</v>
      </c>
      <c r="M380" s="6">
        <f>L380*RPI_inc</f>
        <v>2428910.730242038</v>
      </c>
      <c r="N380" s="6"/>
      <c r="O380" s="6"/>
      <c r="P380" s="6"/>
      <c r="Q380" s="6"/>
      <c r="R380" s="6"/>
      <c r="S380" s="6"/>
      <c r="T380" s="6"/>
      <c r="U380" s="6"/>
      <c r="V380" s="6">
        <v>47692.505997</v>
      </c>
      <c r="W380" s="6">
        <f>V380*RPI_inc</f>
        <v>48603.82776764331</v>
      </c>
      <c r="X380" s="6">
        <v>2852625.222507</v>
      </c>
      <c r="Y380" s="6">
        <f>X380*RPI_inc</f>
        <v>2907133.9847205095</v>
      </c>
      <c r="Z380" s="14">
        <f>D380+F380+H380+J380+L380+N380+P380+R380+T380+V380+X380</f>
        <v>30026360.631170996</v>
      </c>
      <c r="AC380" s="14">
        <f>E380+G380+I380+K380+M380+O380+Q380+S380+U380+W380+Y380</f>
        <v>30600112.745142423</v>
      </c>
      <c r="AF380" s="51"/>
      <c r="AG380" s="6">
        <v>580996</v>
      </c>
      <c r="AH380" s="6">
        <f>AG380/$AG$680*$AH$680</f>
        <v>437449.6055079933</v>
      </c>
      <c r="AI380" s="6">
        <v>28979908.084744</v>
      </c>
      <c r="AJ380" s="6">
        <f>AI380/$AI$680*$AJ$680</f>
        <v>19864296.5126441</v>
      </c>
      <c r="AK380" s="6">
        <f>AJ380-AH380</f>
        <v>19426846.90713611</v>
      </c>
      <c r="AL380" s="6"/>
      <c r="AM380" s="6"/>
      <c r="AN380" s="6"/>
      <c r="AO380" s="6"/>
      <c r="AP380" s="6"/>
      <c r="AQ380" s="6"/>
      <c r="AR380" s="6">
        <v>706130.564872</v>
      </c>
      <c r="AS380" s="6">
        <f>AR380/$AR$680*$AS$680</f>
        <v>692236.5444480659</v>
      </c>
      <c r="AT380" s="6">
        <v>3014765.478897</v>
      </c>
      <c r="AU380" s="6">
        <f>AT380/$AT$680*$AU$680</f>
        <v>2488096.673208883</v>
      </c>
      <c r="AV380" s="6"/>
      <c r="AW380" s="6"/>
      <c r="AX380" s="6"/>
      <c r="AY380" s="6"/>
      <c r="AZ380" s="6">
        <v>67655.62351</v>
      </c>
      <c r="BA380" s="6">
        <f>AZ380/$AZ$680*$BA$680</f>
        <v>66300.24119569383</v>
      </c>
      <c r="BB380" s="6">
        <v>4218105.3882</v>
      </c>
      <c r="BC380" s="6">
        <f>BB380/$BB$680*$BC$680</f>
        <v>4137036.2145892237</v>
      </c>
      <c r="BD380" s="6"/>
      <c r="BE380" s="6"/>
      <c r="BF380" s="6"/>
      <c r="BG380" s="6"/>
      <c r="BH380" s="6"/>
      <c r="BI380" s="6"/>
      <c r="BJ380" s="6">
        <v>56030480.855417</v>
      </c>
      <c r="BK380" s="6">
        <f>BJ380/BJ378*BI378</f>
        <v>520271.0759388996</v>
      </c>
      <c r="BL380" s="6">
        <f>BH380+BK380</f>
        <v>520271.0759388996</v>
      </c>
      <c r="BM380" s="6"/>
      <c r="BN380" s="6"/>
      <c r="BO380" s="6">
        <v>87964.90011</v>
      </c>
      <c r="BP380" s="6">
        <v>-75020</v>
      </c>
      <c r="BQ380" s="6">
        <f t="shared" si="19"/>
        <v>38175797.1162719</v>
      </c>
      <c r="BT380" s="6">
        <f t="shared" si="20"/>
        <v>27693217.26202487</v>
      </c>
      <c r="BW380" s="52"/>
      <c r="BX380" s="6">
        <f t="shared" si="17"/>
        <v>68202157.7474429</v>
      </c>
      <c r="BY380" s="6">
        <f t="shared" si="18"/>
        <v>58293330.007167295</v>
      </c>
    </row>
    <row r="381" spans="1:77" ht="12.75">
      <c r="A381" t="s">
        <v>1014</v>
      </c>
      <c r="B381" t="s">
        <v>380</v>
      </c>
      <c r="L381"/>
      <c r="V381"/>
      <c r="X381"/>
      <c r="Z381" s="12">
        <f>Z382+Z383+Z384</f>
        <v>99868354.40396401</v>
      </c>
      <c r="AC381" s="12">
        <f>AC382+AC383+AC384</f>
        <v>101776666.90849835</v>
      </c>
      <c r="AF381" s="52"/>
      <c r="AG381"/>
      <c r="AI381"/>
      <c r="AT381"/>
      <c r="AV381"/>
      <c r="AW381"/>
      <c r="AZ381"/>
      <c r="BB381"/>
      <c r="BI381"/>
      <c r="BJ381" s="1">
        <v>202859471.292122</v>
      </c>
      <c r="BQ381" s="1">
        <f>BQ382+BQ383+BQ384</f>
        <v>124501746.74001354</v>
      </c>
      <c r="BT381" s="1">
        <f>BT382+BT383+BT384</f>
        <v>89179195.8727818</v>
      </c>
      <c r="BW381" s="52"/>
      <c r="BX381" s="1">
        <f t="shared" si="17"/>
        <v>224370101.14397755</v>
      </c>
      <c r="BY381" s="1">
        <f t="shared" si="18"/>
        <v>190955862.78128016</v>
      </c>
    </row>
    <row r="382" spans="1:77" ht="12.75">
      <c r="A382" s="3" t="s">
        <v>1015</v>
      </c>
      <c r="B382" s="3" t="s">
        <v>381</v>
      </c>
      <c r="C382" s="3" t="s">
        <v>1345</v>
      </c>
      <c r="D382" s="3"/>
      <c r="E382" s="4"/>
      <c r="F382" s="4">
        <v>13524973.569003</v>
      </c>
      <c r="G382" s="4">
        <f>F382*RPI_inc</f>
        <v>13783412.554397963</v>
      </c>
      <c r="H382" s="4"/>
      <c r="I382" s="4"/>
      <c r="J382" s="4">
        <v>334717.180652</v>
      </c>
      <c r="K382" s="4">
        <f>J382*RPI_inc</f>
        <v>341113.05034598726</v>
      </c>
      <c r="L382" s="3"/>
      <c r="M382" s="4"/>
      <c r="N382" s="4"/>
      <c r="O382" s="4"/>
      <c r="P382" s="4"/>
      <c r="Q382" s="4"/>
      <c r="R382" s="4"/>
      <c r="S382" s="4"/>
      <c r="T382" s="4">
        <v>305951.70241</v>
      </c>
      <c r="U382" s="4">
        <f>T382*RPI_inc</f>
        <v>311797.91328407644</v>
      </c>
      <c r="V382" s="3"/>
      <c r="W382" s="4"/>
      <c r="X382" s="3"/>
      <c r="Y382" s="4"/>
      <c r="Z382" s="13">
        <f>D382+F382+H382+J382+L382+N382+P382+R382+T382+V382+X382</f>
        <v>14165642.452065</v>
      </c>
      <c r="AC382" s="13">
        <f>E382+G382+I382+K382+M382+O382+Q382+S382+U382+W382+Y382</f>
        <v>14436323.518028026</v>
      </c>
      <c r="AF382" s="51"/>
      <c r="AG382" s="3"/>
      <c r="AH382" s="4"/>
      <c r="AI382" s="3"/>
      <c r="AJ382" s="4"/>
      <c r="AK382" s="4"/>
      <c r="AL382" s="4">
        <v>14942104.232462</v>
      </c>
      <c r="AM382" s="4">
        <f>AL382/$AL$680*$AM$680</f>
        <v>10004362.773011316</v>
      </c>
      <c r="AN382" s="4"/>
      <c r="AO382" s="4"/>
      <c r="AP382" s="4"/>
      <c r="AQ382" s="4"/>
      <c r="AR382" s="4">
        <v>483443.964984</v>
      </c>
      <c r="AS382" s="4">
        <f>AR382/$AR$680*$AS$680</f>
        <v>473931.58773046336</v>
      </c>
      <c r="AT382" s="3"/>
      <c r="AU382" s="4"/>
      <c r="AV382" s="4"/>
      <c r="AW382" s="4"/>
      <c r="AX382" s="4">
        <v>434016.890364</v>
      </c>
      <c r="AY382" s="4">
        <f>AX382/$AX$680*$AY$680</f>
        <v>425321.9988615589</v>
      </c>
      <c r="AZ382" s="3"/>
      <c r="BA382" s="4"/>
      <c r="BB382" s="3"/>
      <c r="BC382" s="4"/>
      <c r="BD382" s="4">
        <v>92491.105882</v>
      </c>
      <c r="BE382" s="4">
        <f>BD382/BD$680*BE$680</f>
        <v>131434.7437286836</v>
      </c>
      <c r="BF382" s="4">
        <v>19471.798019821403</v>
      </c>
      <c r="BG382" s="4">
        <f>BE382+BF382</f>
        <v>150906.541748505</v>
      </c>
      <c r="BH382" s="4">
        <v>355400.077026</v>
      </c>
      <c r="BI382" s="4"/>
      <c r="BJ382" s="4">
        <v>28685831.220999</v>
      </c>
      <c r="BK382" s="4"/>
      <c r="BL382" s="4">
        <f>BH382+BK382</f>
        <v>355400.077026</v>
      </c>
      <c r="BM382" s="4"/>
      <c r="BN382" s="4"/>
      <c r="BO382" s="4">
        <v>41499.512332</v>
      </c>
      <c r="BP382" s="4"/>
      <c r="BQ382" s="4">
        <f t="shared" si="19"/>
        <v>16368427.581069821</v>
      </c>
      <c r="BT382" s="4">
        <f>AJ382+AM382+AQ382+AS382+AU382+AW382+AY382+BA382+BC382+BG382+BL382+BN382+BP382</f>
        <v>11409922.978377843</v>
      </c>
      <c r="BW382" s="52"/>
      <c r="BX382" s="4">
        <f t="shared" si="17"/>
        <v>30534070.03313482</v>
      </c>
      <c r="BY382" s="4">
        <f t="shared" si="18"/>
        <v>25846246.49640587</v>
      </c>
    </row>
    <row r="383" spans="1:77" ht="12.75">
      <c r="A383" s="5" t="s">
        <v>1016</v>
      </c>
      <c r="B383" s="5" t="s">
        <v>382</v>
      </c>
      <c r="C383" s="5" t="s">
        <v>1345</v>
      </c>
      <c r="D383" s="6">
        <v>69419116.892919</v>
      </c>
      <c r="E383" s="6">
        <f>D383*RPI_inc</f>
        <v>70745596.83354802</v>
      </c>
      <c r="F383" s="6"/>
      <c r="G383" s="6"/>
      <c r="H383" s="6"/>
      <c r="I383" s="6"/>
      <c r="J383" s="6">
        <v>1930081.357573</v>
      </c>
      <c r="K383" s="6">
        <f>J383*RPI_inc</f>
        <v>1966961.8930680256</v>
      </c>
      <c r="L383" s="6">
        <v>6441124.18194</v>
      </c>
      <c r="M383" s="6">
        <f>L383*RPI_inc</f>
        <v>6564202.987964331</v>
      </c>
      <c r="N383" s="6"/>
      <c r="O383" s="6"/>
      <c r="P383" s="6"/>
      <c r="Q383" s="6"/>
      <c r="R383" s="6"/>
      <c r="S383" s="6"/>
      <c r="T383" s="6"/>
      <c r="U383" s="6"/>
      <c r="V383" s="6">
        <v>63454.247944</v>
      </c>
      <c r="W383" s="6">
        <f>V383*RPI_inc</f>
        <v>64666.749497070065</v>
      </c>
      <c r="X383" s="6">
        <v>936822.143986</v>
      </c>
      <c r="Y383" s="6">
        <f>X383*RPI_inc</f>
        <v>954723.2040621656</v>
      </c>
      <c r="Z383" s="14">
        <f>D383+F383+H383+J383+L383+N383+P383+R383+T383+V383+X383</f>
        <v>78790598.82436201</v>
      </c>
      <c r="AC383" s="14">
        <f>E383+G383+I383+K383+M383+O383+Q383+S383+U383+W383+Y383</f>
        <v>80296151.66813962</v>
      </c>
      <c r="AF383" s="51"/>
      <c r="AG383" s="6">
        <v>1175869</v>
      </c>
      <c r="AH383" s="6">
        <f>AG383/$AG$680*$AH$680</f>
        <v>885347.6274863831</v>
      </c>
      <c r="AI383" s="6">
        <v>82946238.004044</v>
      </c>
      <c r="AJ383" s="6">
        <f>AI383/$AI$680*$AJ$680</f>
        <v>56855551.83620707</v>
      </c>
      <c r="AK383" s="6">
        <f>AJ383-AH383</f>
        <v>55970204.208720684</v>
      </c>
      <c r="AL383" s="6"/>
      <c r="AM383" s="6"/>
      <c r="AN383" s="6"/>
      <c r="AO383" s="6"/>
      <c r="AP383" s="6"/>
      <c r="AQ383" s="6"/>
      <c r="AR383" s="6">
        <v>2787685.360012</v>
      </c>
      <c r="AS383" s="6">
        <f>AR383/$AR$680*$AS$680</f>
        <v>2732834.0913453763</v>
      </c>
      <c r="AT383" s="6">
        <v>8147492.749811</v>
      </c>
      <c r="AU383" s="6">
        <f>AT383/$AT$680*$AU$680</f>
        <v>6724154.746927441</v>
      </c>
      <c r="AV383" s="6"/>
      <c r="AW383" s="6"/>
      <c r="AX383" s="6"/>
      <c r="AY383" s="6"/>
      <c r="AZ383" s="6">
        <v>90014.911552</v>
      </c>
      <c r="BA383" s="6">
        <f>AZ383/$AZ$680*$BA$680</f>
        <v>88211.59332342168</v>
      </c>
      <c r="BB383" s="6">
        <v>1385255.41391</v>
      </c>
      <c r="BC383" s="6">
        <f>BB383/$BB$680*$BC$680</f>
        <v>1358631.7283189055</v>
      </c>
      <c r="BD383" s="6">
        <v>342217.091765</v>
      </c>
      <c r="BE383" s="6">
        <f>BD383/BD$680*BE$680</f>
        <v>486308.5517984029</v>
      </c>
      <c r="BF383" s="6">
        <v>72045.65267367603</v>
      </c>
      <c r="BG383" s="6">
        <f>BE383+BF383</f>
        <v>558354.2044720789</v>
      </c>
      <c r="BH383" s="6">
        <v>1971181.863827</v>
      </c>
      <c r="BI383" s="6"/>
      <c r="BJ383" s="6">
        <v>159102357.896916</v>
      </c>
      <c r="BK383" s="6"/>
      <c r="BL383" s="6">
        <f>BH383+BK383</f>
        <v>1971181.863827</v>
      </c>
      <c r="BM383" s="6"/>
      <c r="BN383" s="6"/>
      <c r="BO383" s="6">
        <v>230824.082889</v>
      </c>
      <c r="BP383" s="6"/>
      <c r="BQ383" s="6">
        <f t="shared" si="19"/>
        <v>99148824.13048367</v>
      </c>
      <c r="BT383" s="6">
        <f>AJ383+AM383+AQ383+AS383+AU383+AW383+AY383+BA383+BC383+BG383+BL383+BN383+BP383</f>
        <v>70288920.0644213</v>
      </c>
      <c r="BW383" s="52"/>
      <c r="BX383" s="6">
        <f t="shared" si="17"/>
        <v>177939422.95484567</v>
      </c>
      <c r="BY383" s="6">
        <f t="shared" si="18"/>
        <v>150585071.73256093</v>
      </c>
    </row>
    <row r="384" spans="1:77" ht="12.75">
      <c r="A384" s="7" t="s">
        <v>1017</v>
      </c>
      <c r="B384" s="7" t="s">
        <v>383</v>
      </c>
      <c r="C384" s="7" t="s">
        <v>1345</v>
      </c>
      <c r="D384" s="7"/>
      <c r="E384" s="8"/>
      <c r="F384" s="8"/>
      <c r="G384" s="8"/>
      <c r="H384" s="8">
        <v>6723182.734977</v>
      </c>
      <c r="I384" s="8">
        <f>H384*RPI_inc</f>
        <v>6851651.194881019</v>
      </c>
      <c r="J384" s="8">
        <v>188930.39256</v>
      </c>
      <c r="K384" s="8">
        <f>J384*RPI_inc</f>
        <v>192540.52744968154</v>
      </c>
      <c r="L384" s="7"/>
      <c r="M384" s="8"/>
      <c r="N384" s="8"/>
      <c r="O384" s="8"/>
      <c r="P384" s="8"/>
      <c r="Q384" s="8"/>
      <c r="R384" s="8"/>
      <c r="S384" s="8"/>
      <c r="T384" s="8"/>
      <c r="U384" s="8"/>
      <c r="V384" s="7"/>
      <c r="W384" s="8"/>
      <c r="X384" s="7"/>
      <c r="Y384" s="8"/>
      <c r="Z384" s="15">
        <f>D384+F384+H384+J384+L384+N384+P384+R384+T384+V384+X384</f>
        <v>6912113.127537</v>
      </c>
      <c r="AC384" s="15">
        <f>E384+G384+I384+K384+M384+O384+Q384+S384+U384+W384+Y384</f>
        <v>7044191.722330701</v>
      </c>
      <c r="AF384" s="51"/>
      <c r="AG384" s="7"/>
      <c r="AH384" s="8"/>
      <c r="AI384" s="7"/>
      <c r="AJ384" s="8"/>
      <c r="AK384" s="8"/>
      <c r="AL384" s="8"/>
      <c r="AM384" s="8"/>
      <c r="AN384" s="8">
        <v>8494047.540539</v>
      </c>
      <c r="AO384" s="8">
        <f>AN384/$AN$680*$AO$680</f>
        <v>7003841.143158761</v>
      </c>
      <c r="AP384" s="8">
        <v>-22994</v>
      </c>
      <c r="AQ384" s="8">
        <f>AO384+AP384</f>
        <v>6980847.143158761</v>
      </c>
      <c r="AR384" s="8">
        <v>272878.906029</v>
      </c>
      <c r="AS384" s="8">
        <f>AR384/$AR$680*$AS$680</f>
        <v>267509.6651516914</v>
      </c>
      <c r="AT384" s="7"/>
      <c r="AU384" s="8"/>
      <c r="AV384" s="8"/>
      <c r="AW384" s="8"/>
      <c r="AX384" s="8"/>
      <c r="AY384" s="8"/>
      <c r="AZ384" s="7"/>
      <c r="BA384" s="8"/>
      <c r="BB384" s="7"/>
      <c r="BC384" s="8"/>
      <c r="BD384" s="8">
        <v>27747.331765</v>
      </c>
      <c r="BE384" s="8">
        <f>BD384/BD$680*BE$680</f>
        <v>39430.423119173494</v>
      </c>
      <c r="BF384" s="8">
        <v>5841.539406030632</v>
      </c>
      <c r="BG384" s="8">
        <f>BE384+BF384</f>
        <v>45271.96252520413</v>
      </c>
      <c r="BH384" s="8">
        <v>186724.059147</v>
      </c>
      <c r="BI384" s="8"/>
      <c r="BJ384" s="8">
        <v>15071282.174207</v>
      </c>
      <c r="BK384" s="8"/>
      <c r="BL384" s="8">
        <f>BH384+BK384</f>
        <v>186724.059147</v>
      </c>
      <c r="BM384" s="8"/>
      <c r="BN384" s="8"/>
      <c r="BO384" s="8">
        <v>20249.651574</v>
      </c>
      <c r="BP384" s="8"/>
      <c r="BQ384" s="8">
        <f t="shared" si="19"/>
        <v>8984495.028460033</v>
      </c>
      <c r="BT384" s="8">
        <f>AJ384+AM384+AQ384+AS384+AU384+AW384+AY384+BA384+BC384+BG384+BL384+BN384+BP384</f>
        <v>7480352.829982656</v>
      </c>
      <c r="BW384" s="52"/>
      <c r="BX384" s="8">
        <f t="shared" si="17"/>
        <v>15896608.155997034</v>
      </c>
      <c r="BY384" s="8">
        <f t="shared" si="18"/>
        <v>14524544.552313358</v>
      </c>
    </row>
    <row r="385" spans="1:77" ht="12.75">
      <c r="A385" t="s">
        <v>1018</v>
      </c>
      <c r="B385" t="s">
        <v>384</v>
      </c>
      <c r="L385"/>
      <c r="V385"/>
      <c r="X385"/>
      <c r="Z385" s="12">
        <f>Z386+Z387</f>
        <v>113374620.23460801</v>
      </c>
      <c r="AC385" s="12">
        <f>AC386+AC387</f>
        <v>115541014.2518298</v>
      </c>
      <c r="AF385" s="52"/>
      <c r="AG385"/>
      <c r="AI385"/>
      <c r="AT385"/>
      <c r="AV385"/>
      <c r="AW385"/>
      <c r="AZ385"/>
      <c r="BB385"/>
      <c r="BI385"/>
      <c r="BJ385" s="1">
        <v>223733524.915293</v>
      </c>
      <c r="BQ385" s="1">
        <f>BQ386+BQ387</f>
        <v>140610419.682394</v>
      </c>
      <c r="BT385" s="1">
        <f>BT386+BT387</f>
        <v>99274172.05795357</v>
      </c>
      <c r="BW385" s="52"/>
      <c r="BX385" s="1">
        <f t="shared" si="17"/>
        <v>253985039.91700202</v>
      </c>
      <c r="BY385" s="1">
        <f t="shared" si="18"/>
        <v>214815186.30978337</v>
      </c>
    </row>
    <row r="386" spans="1:77" ht="12.75">
      <c r="A386" s="3" t="s">
        <v>1019</v>
      </c>
      <c r="B386" s="3" t="s">
        <v>385</v>
      </c>
      <c r="C386" s="3" t="s">
        <v>1346</v>
      </c>
      <c r="D386" s="3"/>
      <c r="E386" s="4"/>
      <c r="F386" s="4">
        <v>15148342.902762</v>
      </c>
      <c r="G386" s="4">
        <f>F386*RPI_inc</f>
        <v>15437801.684343439</v>
      </c>
      <c r="H386" s="4"/>
      <c r="I386" s="4"/>
      <c r="J386" s="4">
        <v>294795.186426</v>
      </c>
      <c r="K386" s="4">
        <f>J386*RPI_inc</f>
        <v>300428.2154659872</v>
      </c>
      <c r="L386" s="3"/>
      <c r="M386" s="4"/>
      <c r="N386" s="4"/>
      <c r="O386" s="4"/>
      <c r="P386" s="4"/>
      <c r="Q386" s="4"/>
      <c r="R386" s="4"/>
      <c r="S386" s="4"/>
      <c r="T386" s="4">
        <v>176357.601188</v>
      </c>
      <c r="U386" s="4">
        <f>T386*RPI_inc</f>
        <v>179727.4916565605</v>
      </c>
      <c r="V386" s="3"/>
      <c r="W386" s="4"/>
      <c r="X386" s="3"/>
      <c r="Y386" s="4"/>
      <c r="Z386" s="13">
        <f>D386+F386+H386+J386+L386+N386+P386+R386+T386+V386+X386</f>
        <v>15619495.690376</v>
      </c>
      <c r="AC386" s="13">
        <f>E386+G386+I386+K386+M386+O386+Q386+S386+U386+W386+Y386</f>
        <v>15917957.391465986</v>
      </c>
      <c r="AF386" s="51"/>
      <c r="AG386" s="3"/>
      <c r="AH386" s="4"/>
      <c r="AI386" s="3"/>
      <c r="AJ386" s="4"/>
      <c r="AK386" s="4"/>
      <c r="AL386" s="4">
        <v>16735568.276518</v>
      </c>
      <c r="AM386" s="4">
        <f>AL386/$AL$680*$AM$680</f>
        <v>11205161.846418113</v>
      </c>
      <c r="AN386" s="4"/>
      <c r="AO386" s="4"/>
      <c r="AP386" s="4"/>
      <c r="AQ386" s="4"/>
      <c r="AR386" s="4">
        <v>425783.204514</v>
      </c>
      <c r="AS386" s="4">
        <f>AR386/$AR$680*$AS$680</f>
        <v>417405.3763417299</v>
      </c>
      <c r="AT386" s="3"/>
      <c r="AU386" s="4"/>
      <c r="AV386" s="4"/>
      <c r="AW386" s="4"/>
      <c r="AX386" s="4">
        <v>250177.322292</v>
      </c>
      <c r="AY386" s="4">
        <f>AX386/$AX$680*$AY$680</f>
        <v>245165.38676139008</v>
      </c>
      <c r="AZ386" s="3"/>
      <c r="BA386" s="4"/>
      <c r="BB386" s="3"/>
      <c r="BC386" s="4"/>
      <c r="BD386" s="4"/>
      <c r="BE386" s="4"/>
      <c r="BF386" s="4"/>
      <c r="BG386" s="4"/>
      <c r="BH386" s="4">
        <v>288483.801</v>
      </c>
      <c r="BI386" s="4"/>
      <c r="BJ386" s="4">
        <v>31805684.24528</v>
      </c>
      <c r="BK386" s="4"/>
      <c r="BL386" s="4">
        <f>BH386+BK386</f>
        <v>288483.801</v>
      </c>
      <c r="BM386" s="4"/>
      <c r="BN386" s="4"/>
      <c r="BO386" s="4">
        <v>45758.704994</v>
      </c>
      <c r="BP386" s="4"/>
      <c r="BQ386" s="4">
        <f t="shared" si="19"/>
        <v>17745771.309318</v>
      </c>
      <c r="BT386" s="4">
        <f>AJ386+AM386+AQ386+AS386+AU386+AW386+AY386+BA386+BC386+BG386+BL386+BN386+BP386</f>
        <v>12156216.410521232</v>
      </c>
      <c r="BW386" s="52"/>
      <c r="BX386" s="4">
        <f aca="true" t="shared" si="21" ref="BX386:BX449">Z386+BQ386</f>
        <v>33365266.999693997</v>
      </c>
      <c r="BY386" s="4">
        <f aca="true" t="shared" si="22" ref="BY386:BY449">AC386+BT386</f>
        <v>28074173.801987216</v>
      </c>
    </row>
    <row r="387" spans="1:77" ht="12.75">
      <c r="A387" s="5" t="s">
        <v>1020</v>
      </c>
      <c r="B387" s="5" t="s">
        <v>386</v>
      </c>
      <c r="C387" s="5" t="s">
        <v>1346</v>
      </c>
      <c r="D387" s="6">
        <v>84648086.377887</v>
      </c>
      <c r="E387" s="6">
        <f>D387*RPI_inc</f>
        <v>86265565.73542623</v>
      </c>
      <c r="F387" s="6"/>
      <c r="G387" s="6"/>
      <c r="H387" s="6"/>
      <c r="I387" s="6"/>
      <c r="J387" s="6">
        <v>1730103.583182</v>
      </c>
      <c r="K387" s="6">
        <f>J387*RPI_inc</f>
        <v>1763162.8873192358</v>
      </c>
      <c r="L387" s="6">
        <v>7130423.173398</v>
      </c>
      <c r="M387" s="6">
        <f>L387*RPI_inc</f>
        <v>7266673.297730446</v>
      </c>
      <c r="N387" s="6"/>
      <c r="O387" s="6"/>
      <c r="P387" s="6"/>
      <c r="Q387" s="6"/>
      <c r="R387" s="6"/>
      <c r="S387" s="6"/>
      <c r="T387" s="6"/>
      <c r="U387" s="6"/>
      <c r="V387" s="6">
        <v>52946.419979</v>
      </c>
      <c r="W387" s="6">
        <f>V387*RPI_inc</f>
        <v>53958.13501044586</v>
      </c>
      <c r="X387" s="6">
        <v>4193564.989786</v>
      </c>
      <c r="Y387" s="6">
        <f>X387*RPI_inc</f>
        <v>4273696.804877453</v>
      </c>
      <c r="Z387" s="14">
        <f>D387+F387+H387+J387+L387+N387+P387+R387+T387+V387+X387</f>
        <v>97755124.54423201</v>
      </c>
      <c r="AC387" s="14">
        <f>E387+G387+I387+K387+M387+O387+Q387+S387+U387+W387+Y387</f>
        <v>99623056.86036381</v>
      </c>
      <c r="AF387" s="51"/>
      <c r="AG387" s="6">
        <v>1900416</v>
      </c>
      <c r="AH387" s="6">
        <f>AG387/$AG$680*$AH$680</f>
        <v>1430881.1583919313</v>
      </c>
      <c r="AI387" s="6">
        <v>101142749.051641</v>
      </c>
      <c r="AJ387" s="6">
        <f>AI387/$AI$680*$AJ$680</f>
        <v>69328361.9599685</v>
      </c>
      <c r="AK387" s="6">
        <f>AJ387-AH387</f>
        <v>67897480.80157657</v>
      </c>
      <c r="AL387" s="6"/>
      <c r="AM387" s="6"/>
      <c r="AN387" s="6"/>
      <c r="AO387" s="6"/>
      <c r="AP387" s="6"/>
      <c r="AQ387" s="6"/>
      <c r="AR387" s="6">
        <v>2498850.326292</v>
      </c>
      <c r="AS387" s="6">
        <f>AR387/$AR$680*$AS$680</f>
        <v>2449682.255687169</v>
      </c>
      <c r="AT387" s="6">
        <v>9019399.326477</v>
      </c>
      <c r="AU387" s="6">
        <f>AT387/$AT$680*$AU$680</f>
        <v>7443742.34600839</v>
      </c>
      <c r="AV387" s="6"/>
      <c r="AW387" s="6"/>
      <c r="AX387" s="6"/>
      <c r="AY387" s="6"/>
      <c r="AZ387" s="6">
        <v>75108.719524</v>
      </c>
      <c r="BA387" s="6">
        <f>AZ387/$AZ$680*$BA$680</f>
        <v>73604.02523826978</v>
      </c>
      <c r="BB387" s="6">
        <v>6200919.398601</v>
      </c>
      <c r="BC387" s="6">
        <f>BB387/$BB$680*$BC$680</f>
        <v>6081741.861529994</v>
      </c>
      <c r="BD387" s="6"/>
      <c r="BE387" s="6"/>
      <c r="BF387" s="6"/>
      <c r="BG387" s="6"/>
      <c r="BH387" s="6">
        <v>1740823.199</v>
      </c>
      <c r="BI387" s="6"/>
      <c r="BJ387" s="6">
        <v>191927840.670012</v>
      </c>
      <c r="BK387" s="6"/>
      <c r="BL387" s="6">
        <f>BH387+BK387</f>
        <v>1740823.199</v>
      </c>
      <c r="BM387" s="6"/>
      <c r="BN387" s="6"/>
      <c r="BO387" s="6">
        <v>286382.351541</v>
      </c>
      <c r="BP387" s="6"/>
      <c r="BQ387" s="6">
        <f t="shared" si="19"/>
        <v>122864648.37307599</v>
      </c>
      <c r="BT387" s="6">
        <f>AJ387+AM387+AQ387+AS387+AU387+AW387+AY387+BA387+BC387+BG387+BL387+BN387+BP387</f>
        <v>87117955.64743233</v>
      </c>
      <c r="BW387" s="52"/>
      <c r="BX387" s="6">
        <f t="shared" si="21"/>
        <v>220619772.917308</v>
      </c>
      <c r="BY387" s="6">
        <f t="shared" si="22"/>
        <v>186741012.50779614</v>
      </c>
    </row>
    <row r="388" spans="1:77" ht="12.75">
      <c r="A388" t="s">
        <v>1021</v>
      </c>
      <c r="B388" t="s">
        <v>387</v>
      </c>
      <c r="L388"/>
      <c r="V388"/>
      <c r="X388"/>
      <c r="Z388" s="12">
        <f>Z389+Z390+Z391</f>
        <v>61375418.461005</v>
      </c>
      <c r="AC388" s="12">
        <f>AC389+AC390+AC391</f>
        <v>62548197.1577121</v>
      </c>
      <c r="AF388" s="52"/>
      <c r="AG388"/>
      <c r="AI388"/>
      <c r="AT388"/>
      <c r="AV388"/>
      <c r="AW388"/>
      <c r="AZ388"/>
      <c r="BB388"/>
      <c r="BI388"/>
      <c r="BJ388" s="1">
        <v>120346424.358399</v>
      </c>
      <c r="BQ388" s="1">
        <f>BQ389+BQ390+BQ391</f>
        <v>77621226.13289529</v>
      </c>
      <c r="BT388" s="1">
        <f>BT389+BT390+BT391</f>
        <v>56535247.67692939</v>
      </c>
      <c r="BW388" s="52"/>
      <c r="BX388" s="1">
        <f t="shared" si="21"/>
        <v>138996644.5939003</v>
      </c>
      <c r="BY388" s="1">
        <f t="shared" si="22"/>
        <v>119083444.83464149</v>
      </c>
    </row>
    <row r="389" spans="1:77" ht="12.75">
      <c r="A389" s="3" t="s">
        <v>1022</v>
      </c>
      <c r="B389" s="3" t="s">
        <v>388</v>
      </c>
      <c r="C389" s="3" t="s">
        <v>1345</v>
      </c>
      <c r="D389" s="3"/>
      <c r="E389" s="4"/>
      <c r="F389" s="4">
        <v>8597029.047089</v>
      </c>
      <c r="G389" s="4">
        <f>F389*RPI_inc</f>
        <v>8761303.487479234</v>
      </c>
      <c r="H389" s="4"/>
      <c r="I389" s="4"/>
      <c r="J389" s="4">
        <v>229356.157663</v>
      </c>
      <c r="K389" s="4">
        <f>J389*RPI_inc</f>
        <v>233738.75940178343</v>
      </c>
      <c r="L389" s="3"/>
      <c r="M389" s="4"/>
      <c r="N389" s="4"/>
      <c r="O389" s="4"/>
      <c r="P389" s="4"/>
      <c r="Q389" s="4"/>
      <c r="R389" s="4"/>
      <c r="S389" s="4"/>
      <c r="T389" s="4">
        <v>142339.119071</v>
      </c>
      <c r="U389" s="4">
        <f>T389*RPI_inc</f>
        <v>145058.97484942674</v>
      </c>
      <c r="V389" s="3"/>
      <c r="W389" s="4"/>
      <c r="X389" s="3"/>
      <c r="Y389" s="4"/>
      <c r="Z389" s="13">
        <f>D389+F389+H389+J389+L389+N389+P389+R389+T389+V389+X389</f>
        <v>8968724.323823</v>
      </c>
      <c r="AC389" s="13">
        <f>E389+G389+I389+K389+M389+O389+Q389+S389+U389+W389+Y389</f>
        <v>9140101.221730445</v>
      </c>
      <c r="AF389" s="51"/>
      <c r="AG389" s="3"/>
      <c r="AH389" s="4"/>
      <c r="AI389" s="3"/>
      <c r="AJ389" s="4"/>
      <c r="AK389" s="4"/>
      <c r="AL389" s="4">
        <v>9497815.537733</v>
      </c>
      <c r="AM389" s="4">
        <f>AL389/$AL$680*$AM$680</f>
        <v>6359184.135805493</v>
      </c>
      <c r="AN389" s="4"/>
      <c r="AO389" s="4"/>
      <c r="AP389" s="4"/>
      <c r="AQ389" s="4"/>
      <c r="AR389" s="4">
        <v>331267.280749</v>
      </c>
      <c r="AS389" s="4">
        <f>AR389/$AR$680*$AS$680</f>
        <v>324749.17405106657</v>
      </c>
      <c r="AT389" s="3"/>
      <c r="AU389" s="4"/>
      <c r="AV389" s="4"/>
      <c r="AW389" s="4"/>
      <c r="AX389" s="4">
        <v>201919.392342</v>
      </c>
      <c r="AY389" s="4">
        <f>AX389/$AX$680*$AY$680</f>
        <v>197874.23362207072</v>
      </c>
      <c r="AZ389" s="3"/>
      <c r="BA389" s="4"/>
      <c r="BB389" s="3"/>
      <c r="BC389" s="4"/>
      <c r="BD389" s="4">
        <v>54894.8</v>
      </c>
      <c r="BE389" s="4">
        <f>BD389/BD$680*BE$680</f>
        <v>78008.4084975947</v>
      </c>
      <c r="BF389" s="4">
        <v>11556.791842257713</v>
      </c>
      <c r="BG389" s="4">
        <f>BE389+BF389</f>
        <v>89565.20033985242</v>
      </c>
      <c r="BH389" s="4">
        <v>238930.070734</v>
      </c>
      <c r="BI389" s="4"/>
      <c r="BJ389" s="4">
        <v>18700040.896186</v>
      </c>
      <c r="BK389" s="4"/>
      <c r="BL389" s="4">
        <f>BH389+BK389</f>
        <v>238930.070734</v>
      </c>
      <c r="BM389" s="4"/>
      <c r="BN389" s="4"/>
      <c r="BO389" s="4">
        <v>26274.677406</v>
      </c>
      <c r="BP389" s="4"/>
      <c r="BQ389" s="4">
        <f>AG389+AI389+AL389+AN389+AP389+AR389+AT389+AV389+AX389+AZ389+BB389+BD389+BF389+BH389+BK389+BM389+BO389</f>
        <v>10362658.550806258</v>
      </c>
      <c r="BT389" s="4">
        <f>AJ389+AM389+AQ389+AS389+AU389+AW389+AY389+BA389+BC389+BG389+BL389+BN389+BP389</f>
        <v>7210302.814552483</v>
      </c>
      <c r="BW389" s="52"/>
      <c r="BX389" s="4">
        <f t="shared" si="21"/>
        <v>19331382.87462926</v>
      </c>
      <c r="BY389" s="4">
        <f t="shared" si="22"/>
        <v>16350404.036282927</v>
      </c>
    </row>
    <row r="390" spans="1:77" ht="12.75">
      <c r="A390" s="5" t="s">
        <v>1023</v>
      </c>
      <c r="B390" s="5" t="s">
        <v>389</v>
      </c>
      <c r="C390" s="5" t="s">
        <v>1345</v>
      </c>
      <c r="D390" s="6">
        <v>40332586.536718</v>
      </c>
      <c r="E390" s="6">
        <f>D390*RPI_inc</f>
        <v>41103272.90366166</v>
      </c>
      <c r="F390" s="6"/>
      <c r="G390" s="6"/>
      <c r="H390" s="6"/>
      <c r="I390" s="6"/>
      <c r="J390" s="6">
        <v>1201101.971987</v>
      </c>
      <c r="K390" s="6">
        <f>J390*RPI_inc</f>
        <v>1224052.965082293</v>
      </c>
      <c r="L390" s="6">
        <v>3713856.726364</v>
      </c>
      <c r="M390" s="6">
        <f>L390*RPI_inc</f>
        <v>3784822.141517452</v>
      </c>
      <c r="N390" s="6"/>
      <c r="O390" s="6"/>
      <c r="P390" s="6"/>
      <c r="Q390" s="6"/>
      <c r="R390" s="6"/>
      <c r="S390" s="6"/>
      <c r="T390" s="6"/>
      <c r="U390" s="6"/>
      <c r="V390" s="6">
        <v>53068.604025</v>
      </c>
      <c r="W390" s="6">
        <f>V390*RPI_inc</f>
        <v>54082.65378343949</v>
      </c>
      <c r="X390" s="6">
        <v>3815030.262067</v>
      </c>
      <c r="Y390" s="6">
        <f>X390*RPI_inc</f>
        <v>3887928.929495032</v>
      </c>
      <c r="Z390" s="14">
        <f>D390+F390+H390+J390+L390+N390+P390+R390+T390+V390+X390</f>
        <v>49115644.101161</v>
      </c>
      <c r="AC390" s="14">
        <f>E390+G390+I390+K390+M390+O390+Q390+S390+U390+W390+Y390</f>
        <v>50054159.59353988</v>
      </c>
      <c r="AF390" s="51"/>
      <c r="AG390" s="6">
        <v>1038295</v>
      </c>
      <c r="AH390" s="6">
        <f>AG390/$AG$680*$AH$680</f>
        <v>781763.9676536876</v>
      </c>
      <c r="AI390" s="6">
        <v>48191859.41754</v>
      </c>
      <c r="AJ390" s="6">
        <f>AI390/$AI$680*$AJ$680</f>
        <v>33033140.82868428</v>
      </c>
      <c r="AK390" s="6">
        <f>AJ390-AH390</f>
        <v>32251376.861030594</v>
      </c>
      <c r="AL390" s="6"/>
      <c r="AM390" s="6"/>
      <c r="AN390" s="6"/>
      <c r="AO390" s="6"/>
      <c r="AP390" s="6"/>
      <c r="AQ390" s="6"/>
      <c r="AR390" s="6">
        <v>1734794.427215</v>
      </c>
      <c r="AS390" s="6">
        <f>AR390/$AR$680*$AS$680</f>
        <v>1700660.1319414035</v>
      </c>
      <c r="AT390" s="6">
        <v>4697723.549055</v>
      </c>
      <c r="AU390" s="6">
        <f>AT390/$AT$680*$AU$680</f>
        <v>3877047.9547666693</v>
      </c>
      <c r="AV390" s="6"/>
      <c r="AW390" s="6"/>
      <c r="AX390" s="6"/>
      <c r="AY390" s="6"/>
      <c r="AZ390" s="6">
        <v>75282.047338</v>
      </c>
      <c r="BA390" s="6">
        <f>AZ390/$AZ$680*$BA$680</f>
        <v>73773.8806808469</v>
      </c>
      <c r="BB390" s="6">
        <v>5641189.588315</v>
      </c>
      <c r="BC390" s="6">
        <f>BB390/$BB$680*$BC$680</f>
        <v>5532769.685060386</v>
      </c>
      <c r="BD390" s="6">
        <v>203110.76</v>
      </c>
      <c r="BE390" s="6">
        <f>BD390/BD$680*BE$680</f>
        <v>288631.11144110037</v>
      </c>
      <c r="BF390" s="6">
        <v>42760.12981635353</v>
      </c>
      <c r="BG390" s="6">
        <f>BE390+BF390</f>
        <v>331391.2412574539</v>
      </c>
      <c r="BH390" s="6">
        <v>1207277.829046</v>
      </c>
      <c r="BI390" s="6"/>
      <c r="BJ390" s="6">
        <v>94488503.29648</v>
      </c>
      <c r="BK390" s="6"/>
      <c r="BL390" s="6">
        <f>BH390+BK390</f>
        <v>1207277.829046</v>
      </c>
      <c r="BM390" s="6"/>
      <c r="BN390" s="6"/>
      <c r="BO390" s="6">
        <v>143888.657712</v>
      </c>
      <c r="BP390" s="6"/>
      <c r="BQ390" s="6">
        <f>AG390+AI390+AL390+AN390+AP390+AR390+AT390+AV390+AX390+AZ390+BB390+BD390+BF390+BH390+BK390+BM390+BO390</f>
        <v>62976181.40603736</v>
      </c>
      <c r="BT390" s="6">
        <f>AJ390+AM390+AQ390+AS390+AU390+AW390+AY390+BA390+BC390+BG390+BL390+BN390+BP390</f>
        <v>45756061.551437035</v>
      </c>
      <c r="BW390" s="52"/>
      <c r="BX390" s="6">
        <f t="shared" si="21"/>
        <v>112091825.50719836</v>
      </c>
      <c r="BY390" s="6">
        <f t="shared" si="22"/>
        <v>95810221.14497691</v>
      </c>
    </row>
    <row r="391" spans="1:77" ht="12.75">
      <c r="A391" s="7" t="s">
        <v>1024</v>
      </c>
      <c r="B391" s="7" t="s">
        <v>390</v>
      </c>
      <c r="C391" s="7" t="s">
        <v>1345</v>
      </c>
      <c r="D391" s="7"/>
      <c r="E391" s="8"/>
      <c r="F391" s="8"/>
      <c r="G391" s="8"/>
      <c r="H391" s="8">
        <v>3194420.18959</v>
      </c>
      <c r="I391" s="8">
        <f>H391*RPI_inc</f>
        <v>3255460.0658242037</v>
      </c>
      <c r="J391" s="8">
        <v>96629.846431</v>
      </c>
      <c r="K391" s="8">
        <f>J391*RPI_inc</f>
        <v>98476.27661757961</v>
      </c>
      <c r="L391" s="7"/>
      <c r="M391" s="8"/>
      <c r="N391" s="8"/>
      <c r="O391" s="8"/>
      <c r="P391" s="8"/>
      <c r="Q391" s="8"/>
      <c r="R391" s="8"/>
      <c r="S391" s="8"/>
      <c r="T391" s="8"/>
      <c r="U391" s="8"/>
      <c r="V391" s="7"/>
      <c r="W391" s="8"/>
      <c r="X391" s="7"/>
      <c r="Y391" s="8"/>
      <c r="Z391" s="15">
        <f>D391+F391+H391+J391+L391+N391+P391+R391+T391+V391+X391</f>
        <v>3291050.0360210002</v>
      </c>
      <c r="AC391" s="15">
        <f>E391+G391+I391+K391+M391+O391+Q391+S391+U391+W391+Y391</f>
        <v>3353936.3424417833</v>
      </c>
      <c r="AF391" s="51"/>
      <c r="AG391" s="7"/>
      <c r="AH391" s="8"/>
      <c r="AI391" s="7"/>
      <c r="AJ391" s="8"/>
      <c r="AK391" s="8"/>
      <c r="AL391" s="8"/>
      <c r="AM391" s="8"/>
      <c r="AN391" s="8">
        <v>4035820.239374</v>
      </c>
      <c r="AO391" s="8">
        <f>AN391/$AN$680*$AO$680</f>
        <v>3327770.854120601</v>
      </c>
      <c r="AP391" s="8">
        <v>-14033</v>
      </c>
      <c r="AQ391" s="8">
        <f>AO391+AP391</f>
        <v>3313737.854120601</v>
      </c>
      <c r="AR391" s="8">
        <v>139565.934451</v>
      </c>
      <c r="AS391" s="8">
        <f>AR391/$AR$680*$AS$680</f>
        <v>136819.79649831253</v>
      </c>
      <c r="AT391" s="7"/>
      <c r="AU391" s="8"/>
      <c r="AV391" s="8"/>
      <c r="AW391" s="8"/>
      <c r="AX391" s="8"/>
      <c r="AY391" s="8"/>
      <c r="AZ391" s="7"/>
      <c r="BA391" s="8"/>
      <c r="BB391" s="7"/>
      <c r="BC391" s="8"/>
      <c r="BD391" s="8">
        <v>16468.44</v>
      </c>
      <c r="BE391" s="8">
        <f>BD391/BD$680*BE$680</f>
        <v>23402.52254927841</v>
      </c>
      <c r="BF391" s="8">
        <v>3467.0375526773137</v>
      </c>
      <c r="BG391" s="8">
        <f>BE391+BF391</f>
        <v>26869.56010195572</v>
      </c>
      <c r="BH391" s="8">
        <v>91456.100219</v>
      </c>
      <c r="BI391" s="8"/>
      <c r="BJ391" s="8">
        <v>7157880.165733</v>
      </c>
      <c r="BK391" s="8"/>
      <c r="BL391" s="8">
        <f>BH391+BK391</f>
        <v>91456.100219</v>
      </c>
      <c r="BM391" s="8"/>
      <c r="BN391" s="8"/>
      <c r="BO391" s="8">
        <v>9641.424455</v>
      </c>
      <c r="BP391" s="8"/>
      <c r="BQ391" s="8">
        <f>AG391+AI391+AL391+AN391+AP391+AR391+AT391+AV391+AX391+AZ391+BB391+BD391+BF391+BH391+BK391+BM391+BO391</f>
        <v>4282386.176051677</v>
      </c>
      <c r="BT391" s="8">
        <f>AJ391+AM391+AQ391+AS391+AU391+AW391+AY391+BA391+BC391+BG391+BL391+BN391+BP391</f>
        <v>3568883.3109398694</v>
      </c>
      <c r="BW391" s="52"/>
      <c r="BX391" s="8">
        <f t="shared" si="21"/>
        <v>7573436.212072678</v>
      </c>
      <c r="BY391" s="8">
        <f t="shared" si="22"/>
        <v>6922819.653381653</v>
      </c>
    </row>
    <row r="392" spans="1:77" ht="12.75">
      <c r="A392" t="s">
        <v>1025</v>
      </c>
      <c r="B392" t="s">
        <v>391</v>
      </c>
      <c r="K392"/>
      <c r="L392"/>
      <c r="V392"/>
      <c r="X392"/>
      <c r="Z392" s="12">
        <f>Z393+Z394</f>
        <v>45491767.977021</v>
      </c>
      <c r="AC392" s="12">
        <f>AC393+AC394</f>
        <v>46361037.42881121</v>
      </c>
      <c r="AF392" s="52"/>
      <c r="AG392"/>
      <c r="AI392"/>
      <c r="AT392"/>
      <c r="AV392"/>
      <c r="AW392"/>
      <c r="AZ392"/>
      <c r="BB392"/>
      <c r="BI392">
        <v>1307363</v>
      </c>
      <c r="BJ392" s="1">
        <v>93726366.619388</v>
      </c>
      <c r="BQ392" s="1">
        <f>BQ393+BQ394</f>
        <v>59087369.257812984</v>
      </c>
      <c r="BT392" s="1">
        <f>BT393+BT394</f>
        <v>43402047.55222808</v>
      </c>
      <c r="BW392" s="52"/>
      <c r="BX392" s="1">
        <f t="shared" si="21"/>
        <v>104579137.23483399</v>
      </c>
      <c r="BY392" s="1">
        <f t="shared" si="22"/>
        <v>89763084.98103929</v>
      </c>
    </row>
    <row r="393" spans="1:77" ht="12.75">
      <c r="A393" s="3" t="s">
        <v>1026</v>
      </c>
      <c r="B393" s="3" t="s">
        <v>392</v>
      </c>
      <c r="C393" s="3" t="s">
        <v>1346</v>
      </c>
      <c r="D393" s="3"/>
      <c r="E393" s="4"/>
      <c r="F393" s="4">
        <v>7395755.518137</v>
      </c>
      <c r="G393" s="4">
        <f>F393*RPI_inc</f>
        <v>7537075.687273376</v>
      </c>
      <c r="H393" s="4"/>
      <c r="I393" s="4"/>
      <c r="J393" s="4">
        <v>211410.645358</v>
      </c>
      <c r="K393" s="4">
        <f>J393*RPI_inc</f>
        <v>215450.33921834396</v>
      </c>
      <c r="L393" s="3"/>
      <c r="M393" s="4"/>
      <c r="N393" s="4"/>
      <c r="O393" s="4"/>
      <c r="P393" s="4"/>
      <c r="Q393" s="4"/>
      <c r="R393" s="4"/>
      <c r="S393" s="4"/>
      <c r="T393" s="4">
        <v>128164.547882</v>
      </c>
      <c r="U393" s="4">
        <f>T393*RPI_inc</f>
        <v>130613.55198165606</v>
      </c>
      <c r="V393" s="3"/>
      <c r="W393" s="4"/>
      <c r="X393" s="3"/>
      <c r="Y393" s="4"/>
      <c r="Z393" s="13">
        <f>D393+F393+H393+J393+L393+N393+P393+R393+T393+V393+X393</f>
        <v>7735330.7113769995</v>
      </c>
      <c r="AC393" s="13">
        <f>E393+G393+I393+K393+M393+O393+Q393+S393+U393+W393+Y393</f>
        <v>7883139.578473375</v>
      </c>
      <c r="AF393" s="51"/>
      <c r="AG393" s="3"/>
      <c r="AH393" s="4"/>
      <c r="AI393" s="3"/>
      <c r="AJ393" s="4"/>
      <c r="AK393" s="4"/>
      <c r="AL393" s="4">
        <v>8170673.995481</v>
      </c>
      <c r="AM393" s="4">
        <f>AL393/$AL$680*$AM$680</f>
        <v>5470607.451205894</v>
      </c>
      <c r="AN393" s="4"/>
      <c r="AO393" s="4"/>
      <c r="AP393" s="4"/>
      <c r="AQ393" s="4"/>
      <c r="AR393" s="4">
        <v>305347.937123</v>
      </c>
      <c r="AS393" s="4">
        <f>AR393/$AR$680*$AS$680</f>
        <v>299339.8266037192</v>
      </c>
      <c r="AT393" s="3"/>
      <c r="AU393" s="4"/>
      <c r="AV393" s="4"/>
      <c r="AW393" s="4"/>
      <c r="AX393" s="4">
        <v>181811.632649</v>
      </c>
      <c r="AY393" s="4">
        <f>AX393/$AX$680*$AY$680</f>
        <v>178169.30338748457</v>
      </c>
      <c r="AZ393" s="3"/>
      <c r="BA393" s="4"/>
      <c r="BB393" s="3"/>
      <c r="BC393" s="4"/>
      <c r="BD393" s="4">
        <v>165049.123905</v>
      </c>
      <c r="BE393" s="4">
        <f>BD393/BD$680*BE$680</f>
        <v>234543.51741424252</v>
      </c>
      <c r="BF393" s="4">
        <v>34747.159452572676</v>
      </c>
      <c r="BG393" s="4">
        <f>BE393+BF393</f>
        <v>269290.6768668152</v>
      </c>
      <c r="BH393" s="4">
        <v>236537.49531</v>
      </c>
      <c r="BI393" s="4"/>
      <c r="BJ393" s="4">
        <v>16891906.825238</v>
      </c>
      <c r="BK393" s="4">
        <f aca="true" t="shared" si="23" ref="BK393:BK399">BJ393/BJ392*BI392</f>
        <v>235620.50658000668</v>
      </c>
      <c r="BL393" s="4">
        <f>BH393+BK393</f>
        <v>472158.0018900067</v>
      </c>
      <c r="BM393" s="4"/>
      <c r="BN393" s="4"/>
      <c r="BO393" s="4">
        <v>22661.34087</v>
      </c>
      <c r="BP393" s="4"/>
      <c r="BQ393" s="4">
        <f aca="true" t="shared" si="24" ref="BQ393:BQ456">AG393+AI393+AL393+AN393+AP393+AR393+AT393+AV393+AX393+AZ393+BB393+BD393+BF393+BH393+BK393+BM393+BO393</f>
        <v>9352449.191370578</v>
      </c>
      <c r="BT393" s="4">
        <f aca="true" t="shared" si="25" ref="BT393:BT456">AJ393+AM393+AQ393+AS393+AU393+AW393+AY393+BA393+BC393+BG393+BL393+BN393+BP393</f>
        <v>6689565.25995392</v>
      </c>
      <c r="BW393" s="52"/>
      <c r="BX393" s="4">
        <f t="shared" si="21"/>
        <v>17087779.90274758</v>
      </c>
      <c r="BY393" s="4">
        <f t="shared" si="22"/>
        <v>14572704.838427294</v>
      </c>
    </row>
    <row r="394" spans="1:77" ht="12.75">
      <c r="A394" s="5" t="s">
        <v>1027</v>
      </c>
      <c r="B394" s="5" t="s">
        <v>393</v>
      </c>
      <c r="C394" s="5" t="s">
        <v>1346</v>
      </c>
      <c r="D394" s="6">
        <v>31395442.362618</v>
      </c>
      <c r="E394" s="6">
        <f>D394*RPI_inc</f>
        <v>31995355.274005603</v>
      </c>
      <c r="F394" s="6"/>
      <c r="G394" s="6"/>
      <c r="H394" s="6"/>
      <c r="I394" s="6"/>
      <c r="J394" s="6">
        <v>1101964.808399</v>
      </c>
      <c r="K394" s="6">
        <f>J394*RPI_inc</f>
        <v>1123021.4607887897</v>
      </c>
      <c r="L394" s="6">
        <v>3270660.689283</v>
      </c>
      <c r="M394" s="6">
        <f>L394*RPI_inc</f>
        <v>3333157.3903521015</v>
      </c>
      <c r="N394" s="6"/>
      <c r="O394" s="6"/>
      <c r="P394" s="6"/>
      <c r="Q394" s="6"/>
      <c r="R394" s="6"/>
      <c r="S394" s="6"/>
      <c r="T394" s="6"/>
      <c r="U394" s="6"/>
      <c r="V394" s="6">
        <v>55145.732809</v>
      </c>
      <c r="W394" s="6">
        <f>V394*RPI_inc</f>
        <v>56199.472926369424</v>
      </c>
      <c r="X394" s="6">
        <v>1933223.672535</v>
      </c>
      <c r="Y394" s="6">
        <f>X394*RPI_inc</f>
        <v>1970164.2522649681</v>
      </c>
      <c r="Z394" s="14">
        <f>D394+F394+H394+J394+L394+N394+P394+R394+T394+V394+X394</f>
        <v>37756437.265644</v>
      </c>
      <c r="AC394" s="14">
        <f>E394+G394+I394+K394+M394+O394+Q394+S394+U394+W394+Y394</f>
        <v>38477897.85033783</v>
      </c>
      <c r="AF394" s="51"/>
      <c r="AG394" s="6">
        <v>558636</v>
      </c>
      <c r="AH394" s="6">
        <f>AG394/$AG$680*$AH$680</f>
        <v>420614.0796538416</v>
      </c>
      <c r="AI394" s="6">
        <v>37513208.911443</v>
      </c>
      <c r="AJ394" s="6">
        <f>AI394/$AI$680*$AJ$680</f>
        <v>25713453.016434904</v>
      </c>
      <c r="AK394" s="6">
        <f>AJ394-AH394</f>
        <v>25292838.936781064</v>
      </c>
      <c r="AL394" s="6"/>
      <c r="AM394" s="6"/>
      <c r="AN394" s="6"/>
      <c r="AO394" s="6"/>
      <c r="AP394" s="6"/>
      <c r="AQ394" s="6"/>
      <c r="AR394" s="6">
        <v>1591607.085147</v>
      </c>
      <c r="AS394" s="6">
        <f>AR394/$AR$680*$AS$680</f>
        <v>1560290.183644628</v>
      </c>
      <c r="AT394" s="6">
        <v>4137116.984601</v>
      </c>
      <c r="AU394" s="6">
        <f>AT394/$AT$680*$AU$680</f>
        <v>3414377.3630537163</v>
      </c>
      <c r="AV394" s="6"/>
      <c r="AW394" s="6"/>
      <c r="AX394" s="6"/>
      <c r="AY394" s="6"/>
      <c r="AZ394" s="6">
        <v>78228.620181</v>
      </c>
      <c r="BA394" s="6">
        <f>AZ394/$AZ$680*$BA$680</f>
        <v>76661.42320955785</v>
      </c>
      <c r="BB394" s="6">
        <v>2858609.369845</v>
      </c>
      <c r="BC394" s="6">
        <f>BB394/$BB$680*$BC$680</f>
        <v>2803668.803414949</v>
      </c>
      <c r="BD394" s="6">
        <v>610681.758448</v>
      </c>
      <c r="BE394" s="6">
        <f>BD394/BD$680*BE$680</f>
        <v>867811.014431987</v>
      </c>
      <c r="BF394" s="6">
        <v>128564.48997441363</v>
      </c>
      <c r="BG394" s="6">
        <f>BE394+BF394</f>
        <v>996375.5044064006</v>
      </c>
      <c r="BH394" s="6">
        <v>1075913.50469</v>
      </c>
      <c r="BI394" s="6"/>
      <c r="BJ394" s="6">
        <v>76834459.79415</v>
      </c>
      <c r="BK394" s="6">
        <f aca="true" t="shared" si="26" ref="BK394:BK400">BJ394/BJ392*BI392</f>
        <v>1071742.4934199932</v>
      </c>
      <c r="BL394" s="6">
        <f>BH394+BK394</f>
        <v>2147655.9981099935</v>
      </c>
      <c r="BM394" s="6"/>
      <c r="BN394" s="6"/>
      <c r="BO394" s="6">
        <v>110610.848693</v>
      </c>
      <c r="BP394" s="6"/>
      <c r="BQ394" s="6">
        <f t="shared" si="24"/>
        <v>49734920.06644241</v>
      </c>
      <c r="BT394" s="6">
        <f t="shared" si="25"/>
        <v>36712482.292274155</v>
      </c>
      <c r="BW394" s="52"/>
      <c r="BX394" s="6">
        <f t="shared" si="21"/>
        <v>87491357.33208641</v>
      </c>
      <c r="BY394" s="6">
        <f t="shared" si="22"/>
        <v>75190380.14261198</v>
      </c>
    </row>
    <row r="395" spans="1:77" ht="12.75">
      <c r="A395" t="s">
        <v>1028</v>
      </c>
      <c r="B395" t="s">
        <v>394</v>
      </c>
      <c r="K395"/>
      <c r="L395"/>
      <c r="V395"/>
      <c r="X395"/>
      <c r="Z395" s="12">
        <f>Z396+Z397</f>
        <v>51556645.858859</v>
      </c>
      <c r="AC395" s="12">
        <f>AC396+AC397</f>
        <v>52541804.69692636</v>
      </c>
      <c r="AF395" s="52"/>
      <c r="AG395"/>
      <c r="AI395"/>
      <c r="AT395"/>
      <c r="AV395"/>
      <c r="AW395"/>
      <c r="AZ395"/>
      <c r="BB395"/>
      <c r="BI395">
        <v>2234002</v>
      </c>
      <c r="BJ395" s="1">
        <v>92510865.142212</v>
      </c>
      <c r="BQ395" s="1">
        <f>BQ396+BQ397</f>
        <v>68526399.5258355</v>
      </c>
      <c r="BT395" s="1">
        <f>BT396+BT397</f>
        <v>51349954.823132455</v>
      </c>
      <c r="BW395" s="52"/>
      <c r="BX395" s="1">
        <f t="shared" si="21"/>
        <v>120083045.3846945</v>
      </c>
      <c r="BY395" s="1">
        <f t="shared" si="22"/>
        <v>103891759.52005881</v>
      </c>
    </row>
    <row r="396" spans="1:77" ht="12.75">
      <c r="A396" s="3" t="s">
        <v>1029</v>
      </c>
      <c r="B396" s="3" t="s">
        <v>395</v>
      </c>
      <c r="C396" s="3" t="s">
        <v>1346</v>
      </c>
      <c r="D396" s="3"/>
      <c r="E396" s="4"/>
      <c r="F396" s="4">
        <v>9273787.851108</v>
      </c>
      <c r="G396" s="4">
        <f>F396*RPI_inc</f>
        <v>9450993.988390317</v>
      </c>
      <c r="H396" s="4"/>
      <c r="I396" s="4"/>
      <c r="J396" s="4">
        <v>460104.516046</v>
      </c>
      <c r="K396" s="4">
        <f>J396*RPI_inc</f>
        <v>468896.32208509557</v>
      </c>
      <c r="L396" s="3"/>
      <c r="M396" s="4"/>
      <c r="N396" s="4"/>
      <c r="O396" s="4"/>
      <c r="P396" s="4"/>
      <c r="Q396" s="4"/>
      <c r="R396" s="4"/>
      <c r="S396" s="4"/>
      <c r="T396" s="4">
        <v>159226.990644</v>
      </c>
      <c r="U396" s="4">
        <f>T396*RPI_inc</f>
        <v>162269.54460535033</v>
      </c>
      <c r="V396" s="3"/>
      <c r="W396" s="4"/>
      <c r="X396" s="3"/>
      <c r="Y396" s="4"/>
      <c r="Z396" s="13">
        <f>D396+F396+H396+J396+L396+N396+P396+R396+T396+V396+X396</f>
        <v>9893119.357798</v>
      </c>
      <c r="AC396" s="13">
        <f>E396+G396+I396+K396+M396+O396+Q396+S396+U396+W396+Y396</f>
        <v>10082159.855080763</v>
      </c>
      <c r="AF396" s="51"/>
      <c r="AG396" s="3"/>
      <c r="AH396" s="4"/>
      <c r="AI396" s="3"/>
      <c r="AJ396" s="4"/>
      <c r="AK396" s="4"/>
      <c r="AL396" s="4">
        <v>10245484.325276</v>
      </c>
      <c r="AM396" s="4">
        <f>AL396/$AL$680*$AM$680</f>
        <v>6859779.61206963</v>
      </c>
      <c r="AN396" s="4"/>
      <c r="AO396" s="4"/>
      <c r="AP396" s="4"/>
      <c r="AQ396" s="4"/>
      <c r="AR396" s="4">
        <v>664545.366663</v>
      </c>
      <c r="AS396" s="4">
        <f>AR396/$AR$680*$AS$680</f>
        <v>651469.5881081937</v>
      </c>
      <c r="AT396" s="3"/>
      <c r="AU396" s="4"/>
      <c r="AV396" s="4"/>
      <c r="AW396" s="4"/>
      <c r="AX396" s="4">
        <v>225876.185022</v>
      </c>
      <c r="AY396" s="4">
        <f>AX396/$AX$680*$AY$680</f>
        <v>221351.08711600731</v>
      </c>
      <c r="AZ396" s="3"/>
      <c r="BA396" s="4"/>
      <c r="BB396" s="3"/>
      <c r="BC396" s="4"/>
      <c r="BD396" s="4">
        <v>82749.637046</v>
      </c>
      <c r="BE396" s="4">
        <f>BD396/BD$680*BE$680</f>
        <v>117591.60229588347</v>
      </c>
      <c r="BF396" s="4">
        <v>17420.96392304917</v>
      </c>
      <c r="BG396" s="4">
        <f>BE396+BF396</f>
        <v>135012.56621893262</v>
      </c>
      <c r="BH396" s="4">
        <v>472615.058727</v>
      </c>
      <c r="BI396" s="4"/>
      <c r="BJ396" s="4">
        <v>19715006.004908</v>
      </c>
      <c r="BK396" s="4">
        <f t="shared" si="23"/>
        <v>476088.5413542612</v>
      </c>
      <c r="BL396" s="4">
        <f>BH396+BK396</f>
        <v>948703.6000812612</v>
      </c>
      <c r="BM396" s="4"/>
      <c r="BN396" s="4"/>
      <c r="BO396" s="4">
        <v>28982.775061</v>
      </c>
      <c r="BP396" s="4"/>
      <c r="BQ396" s="4">
        <f t="shared" si="24"/>
        <v>12213762.853072312</v>
      </c>
      <c r="BT396" s="4">
        <f t="shared" si="25"/>
        <v>8816316.453594025</v>
      </c>
      <c r="BW396" s="52"/>
      <c r="BX396" s="4">
        <f t="shared" si="21"/>
        <v>22106882.21087031</v>
      </c>
      <c r="BY396" s="4">
        <f t="shared" si="22"/>
        <v>18898476.30867479</v>
      </c>
    </row>
    <row r="397" spans="1:77" ht="12.75">
      <c r="A397" s="5" t="s">
        <v>1030</v>
      </c>
      <c r="B397" s="5" t="s">
        <v>396</v>
      </c>
      <c r="C397" s="5" t="s">
        <v>1346</v>
      </c>
      <c r="D397" s="6">
        <v>31461282.261884</v>
      </c>
      <c r="E397" s="6">
        <f>D397*RPI_inc</f>
        <v>32062453.260518726</v>
      </c>
      <c r="F397" s="6"/>
      <c r="G397" s="6"/>
      <c r="H397" s="6"/>
      <c r="I397" s="6"/>
      <c r="J397" s="6">
        <v>1771575.68223</v>
      </c>
      <c r="K397" s="6">
        <f>J397*RPI_inc</f>
        <v>1805427.4468585986</v>
      </c>
      <c r="L397" s="6">
        <v>4842481.529358</v>
      </c>
      <c r="M397" s="6">
        <f>L397*RPI_inc</f>
        <v>4935013.023549554</v>
      </c>
      <c r="N397" s="6"/>
      <c r="O397" s="6"/>
      <c r="P397" s="6"/>
      <c r="Q397" s="6"/>
      <c r="R397" s="6"/>
      <c r="S397" s="6"/>
      <c r="T397" s="6"/>
      <c r="U397" s="6"/>
      <c r="V397" s="6">
        <v>62313.863514</v>
      </c>
      <c r="W397" s="6">
        <f>V397*RPI_inc</f>
        <v>63504.57428178343</v>
      </c>
      <c r="X397" s="6">
        <v>3525873.164075</v>
      </c>
      <c r="Y397" s="6">
        <f>X397*RPI_inc</f>
        <v>3593246.536636943</v>
      </c>
      <c r="Z397" s="14">
        <f>D397+F397+H397+J397+L397+N397+P397+R397+T397+V397+X397</f>
        <v>41663526.501061</v>
      </c>
      <c r="AC397" s="14">
        <f>E397+G397+I397+K397+M397+O397+Q397+S397+U397+W397+Y397</f>
        <v>42459644.8418456</v>
      </c>
      <c r="AF397" s="51"/>
      <c r="AG397" s="6">
        <v>738960</v>
      </c>
      <c r="AH397" s="6">
        <f>AG397/$AG$680*$AH$680</f>
        <v>556385.5181209281</v>
      </c>
      <c r="AI397" s="6">
        <v>37591878.479698</v>
      </c>
      <c r="AJ397" s="6">
        <f>AI397/$AI$680*$AJ$680</f>
        <v>25767377.122259162</v>
      </c>
      <c r="AK397" s="6">
        <f>AJ397-AH397</f>
        <v>25210991.604138233</v>
      </c>
      <c r="AL397" s="6"/>
      <c r="AM397" s="6"/>
      <c r="AN397" s="6"/>
      <c r="AO397" s="6"/>
      <c r="AP397" s="6"/>
      <c r="AQ397" s="6"/>
      <c r="AR397" s="6">
        <v>2558749.958455</v>
      </c>
      <c r="AS397" s="6">
        <f>AR397/$AR$680*$AS$680</f>
        <v>2508403.286109838</v>
      </c>
      <c r="AT397" s="6">
        <v>6125341.172921</v>
      </c>
      <c r="AU397" s="6">
        <f>AT397/$AT$680*$AU$680</f>
        <v>5055265.857757565</v>
      </c>
      <c r="AV397" s="6"/>
      <c r="AW397" s="6"/>
      <c r="AX397" s="6"/>
      <c r="AY397" s="6"/>
      <c r="AZ397" s="6">
        <v>88397.185286</v>
      </c>
      <c r="BA397" s="6">
        <f>AZ397/$AZ$680*$BA$680</f>
        <v>86626.27585740857</v>
      </c>
      <c r="BB397" s="6">
        <v>5213620.238</v>
      </c>
      <c r="BC397" s="6">
        <f>BB397/$BB$680*$BC$680</f>
        <v>5113417.932624353</v>
      </c>
      <c r="BD397" s="6">
        <v>306173.657071</v>
      </c>
      <c r="BE397" s="6">
        <f>BD397/BD$680*BE$680</f>
        <v>435088.92849590565</v>
      </c>
      <c r="BF397" s="6">
        <v>64457.566515450344</v>
      </c>
      <c r="BG397" s="6">
        <f>BE397+BF397</f>
        <v>499546.495011356</v>
      </c>
      <c r="BH397" s="6">
        <v>1745087.941273</v>
      </c>
      <c r="BI397" s="6"/>
      <c r="BJ397" s="6">
        <v>72795859.137304</v>
      </c>
      <c r="BK397" s="6">
        <f t="shared" si="26"/>
        <v>1757913.4586457384</v>
      </c>
      <c r="BL397" s="6">
        <f>BH397+BK397</f>
        <v>3503001.3999187388</v>
      </c>
      <c r="BM397" s="6"/>
      <c r="BN397" s="6"/>
      <c r="BO397" s="6">
        <v>122057.014898</v>
      </c>
      <c r="BP397" s="6"/>
      <c r="BQ397" s="6">
        <f t="shared" si="24"/>
        <v>56312636.67276319</v>
      </c>
      <c r="BT397" s="6">
        <f t="shared" si="25"/>
        <v>42533638.36953843</v>
      </c>
      <c r="BW397" s="52"/>
      <c r="BX397" s="6">
        <f t="shared" si="21"/>
        <v>97976163.17382419</v>
      </c>
      <c r="BY397" s="6">
        <f t="shared" si="22"/>
        <v>84993283.21138403</v>
      </c>
    </row>
    <row r="398" spans="1:77" ht="12.75">
      <c r="A398" t="s">
        <v>1031</v>
      </c>
      <c r="B398" t="s">
        <v>397</v>
      </c>
      <c r="K398"/>
      <c r="L398"/>
      <c r="V398"/>
      <c r="X398"/>
      <c r="Z398" s="12">
        <f>Z399+Z400</f>
        <v>37882999.238816</v>
      </c>
      <c r="AC398" s="12">
        <f>AC399+AC400</f>
        <v>38606878.20516281</v>
      </c>
      <c r="AF398" s="52"/>
      <c r="AG398"/>
      <c r="AI398"/>
      <c r="AT398"/>
      <c r="AV398"/>
      <c r="AW398"/>
      <c r="AZ398"/>
      <c r="BB398"/>
      <c r="BI398">
        <v>1806892</v>
      </c>
      <c r="BJ398" s="1">
        <v>55954966.991792</v>
      </c>
      <c r="BQ398" s="1">
        <f>BQ399+BQ400</f>
        <v>51138189.481911995</v>
      </c>
      <c r="BT398" s="1">
        <f>BT399+BT400</f>
        <v>38940791.5506561</v>
      </c>
      <c r="BW398" s="52"/>
      <c r="BX398" s="1">
        <f t="shared" si="21"/>
        <v>89021188.720728</v>
      </c>
      <c r="BY398" s="1">
        <f t="shared" si="22"/>
        <v>77547669.7558189</v>
      </c>
    </row>
    <row r="399" spans="1:77" ht="12.75">
      <c r="A399" s="3" t="s">
        <v>1032</v>
      </c>
      <c r="B399" s="3" t="s">
        <v>398</v>
      </c>
      <c r="C399" s="3" t="s">
        <v>1346</v>
      </c>
      <c r="D399" s="3"/>
      <c r="E399" s="4"/>
      <c r="F399" s="4">
        <v>6517461.190626</v>
      </c>
      <c r="G399" s="4">
        <f>F399*RPI_inc</f>
        <v>6641998.665606115</v>
      </c>
      <c r="H399" s="4"/>
      <c r="I399" s="4"/>
      <c r="J399" s="4">
        <v>405993.737856</v>
      </c>
      <c r="K399" s="4">
        <f>J399*RPI_inc</f>
        <v>413751.57998063695</v>
      </c>
      <c r="L399" s="3"/>
      <c r="M399" s="4"/>
      <c r="N399" s="4"/>
      <c r="O399" s="4"/>
      <c r="P399" s="4"/>
      <c r="Q399" s="4"/>
      <c r="R399" s="4"/>
      <c r="S399" s="4"/>
      <c r="T399" s="4">
        <v>87666.645801</v>
      </c>
      <c r="U399" s="4">
        <f>T399*RPI_inc</f>
        <v>89341.80463796179</v>
      </c>
      <c r="V399" s="3"/>
      <c r="W399" s="4"/>
      <c r="X399" s="3"/>
      <c r="Y399" s="4"/>
      <c r="Z399" s="13">
        <f>D399+F399+H399+J399+L399+N399+P399+R399+T399+V399+X399</f>
        <v>7011121.574283</v>
      </c>
      <c r="AC399" s="13">
        <f>E399+G399+I399+K399+M399+O399+Q399+S399+U399+W399+Y399</f>
        <v>7145092.050224714</v>
      </c>
      <c r="AF399" s="51"/>
      <c r="AG399" s="3"/>
      <c r="AH399" s="4"/>
      <c r="AI399" s="3"/>
      <c r="AJ399" s="4"/>
      <c r="AK399" s="4"/>
      <c r="AL399" s="4">
        <v>7200353.03171</v>
      </c>
      <c r="AM399" s="4">
        <f>AL399/$AL$680*$AM$680</f>
        <v>4820937.044896356</v>
      </c>
      <c r="AN399" s="4"/>
      <c r="AO399" s="4"/>
      <c r="AP399" s="4"/>
      <c r="AQ399" s="4"/>
      <c r="AR399" s="4">
        <v>586391.239331</v>
      </c>
      <c r="AS399" s="4">
        <f>AR399/$AR$680*$AS$680</f>
        <v>574853.2430156049</v>
      </c>
      <c r="AT399" s="3"/>
      <c r="AU399" s="4"/>
      <c r="AV399" s="4"/>
      <c r="AW399" s="4"/>
      <c r="AX399" s="4">
        <v>124362.128726</v>
      </c>
      <c r="AY399" s="4">
        <f>AX399/$AX$680*$AY$680</f>
        <v>121870.71597158321</v>
      </c>
      <c r="AZ399" s="3"/>
      <c r="BA399" s="4"/>
      <c r="BB399" s="3"/>
      <c r="BC399" s="4"/>
      <c r="BD399" s="4"/>
      <c r="BE399" s="4"/>
      <c r="BF399" s="4"/>
      <c r="BG399" s="4"/>
      <c r="BH399" s="4">
        <v>398465.16458</v>
      </c>
      <c r="BI399" s="4"/>
      <c r="BJ399" s="4">
        <v>12351406.911164</v>
      </c>
      <c r="BK399" s="4">
        <f t="shared" si="23"/>
        <v>398850.35299548483</v>
      </c>
      <c r="BL399" s="4">
        <f aca="true" t="shared" si="27" ref="BL399:BL425">BH399+BK399</f>
        <v>797315.5175754848</v>
      </c>
      <c r="BM399" s="4"/>
      <c r="BN399" s="4"/>
      <c r="BO399" s="4">
        <v>20539.705645</v>
      </c>
      <c r="BP399" s="4"/>
      <c r="BQ399" s="4">
        <f t="shared" si="24"/>
        <v>8728961.622987485</v>
      </c>
      <c r="BT399" s="4">
        <f t="shared" si="25"/>
        <v>6314976.521459029</v>
      </c>
      <c r="BW399" s="52"/>
      <c r="BX399" s="4">
        <f t="shared" si="21"/>
        <v>15740083.197270485</v>
      </c>
      <c r="BY399" s="4">
        <f t="shared" si="22"/>
        <v>13460068.571683742</v>
      </c>
    </row>
    <row r="400" spans="1:77" ht="12.75">
      <c r="A400" s="5" t="s">
        <v>1033</v>
      </c>
      <c r="B400" s="5" t="s">
        <v>399</v>
      </c>
      <c r="C400" s="5" t="s">
        <v>1346</v>
      </c>
      <c r="D400" s="6">
        <v>21114925.959711</v>
      </c>
      <c r="E400" s="6">
        <f>D400*RPI_inc</f>
        <v>21518395.882508025</v>
      </c>
      <c r="F400" s="6"/>
      <c r="G400" s="6"/>
      <c r="H400" s="6"/>
      <c r="I400" s="6"/>
      <c r="J400" s="6">
        <v>1413320.192176</v>
      </c>
      <c r="K400" s="6">
        <f>J400*RPI_inc</f>
        <v>1440326.3104978343</v>
      </c>
      <c r="L400" s="6">
        <v>3890871.396653</v>
      </c>
      <c r="M400" s="6">
        <f>L400*RPI_inc</f>
        <v>3965219.257735541</v>
      </c>
      <c r="N400" s="6"/>
      <c r="O400" s="6"/>
      <c r="P400" s="6"/>
      <c r="Q400" s="6"/>
      <c r="R400" s="6"/>
      <c r="S400" s="6"/>
      <c r="T400" s="6"/>
      <c r="U400" s="6"/>
      <c r="V400" s="6">
        <v>50787.835165</v>
      </c>
      <c r="W400" s="6">
        <f>V400*RPI_inc</f>
        <v>51758.30335286624</v>
      </c>
      <c r="X400" s="6">
        <v>4401972.280828</v>
      </c>
      <c r="Y400" s="6">
        <f>X400*RPI_inc</f>
        <v>4486086.4008438215</v>
      </c>
      <c r="Z400" s="14">
        <f>D400+F400+H400+J400+L400+N400+P400+R400+T400+V400+X400</f>
        <v>30871877.664533</v>
      </c>
      <c r="AC400" s="14">
        <f>E400+G400+I400+K400+M400+O400+Q400+S400+U400+W400+Y400</f>
        <v>31461786.15493809</v>
      </c>
      <c r="AF400" s="51"/>
      <c r="AG400" s="6">
        <v>730574</v>
      </c>
      <c r="AH400" s="6">
        <f>AG400/$AG$680*$AH$680</f>
        <v>550071.4429951268</v>
      </c>
      <c r="AI400" s="6">
        <v>25229414.496781</v>
      </c>
      <c r="AJ400" s="6">
        <f>AI400/$AI$680*$AJ$680</f>
        <v>17293518.286494818</v>
      </c>
      <c r="AK400" s="6">
        <f>AJ400-AH400</f>
        <v>16743446.84349969</v>
      </c>
      <c r="AL400" s="6"/>
      <c r="AM400" s="6"/>
      <c r="AN400" s="6"/>
      <c r="AO400" s="6"/>
      <c r="AP400" s="6"/>
      <c r="AQ400" s="6"/>
      <c r="AR400" s="6">
        <v>2041308.773476</v>
      </c>
      <c r="AS400" s="6">
        <f>AR400/$AR$680*$AS$680</f>
        <v>2001143.4170941066</v>
      </c>
      <c r="AT400" s="6">
        <v>4921632.559664</v>
      </c>
      <c r="AU400" s="6">
        <f>AT400/$AT$680*$AU$680</f>
        <v>4061840.8576632394</v>
      </c>
      <c r="AV400" s="6"/>
      <c r="AW400" s="6"/>
      <c r="AX400" s="6"/>
      <c r="AY400" s="6"/>
      <c r="AZ400" s="6">
        <v>72046.594805</v>
      </c>
      <c r="BA400" s="6">
        <f>AZ400/$AZ$680*$BA$680</f>
        <v>70603.24574784075</v>
      </c>
      <c r="BB400" s="6">
        <v>6509086.034143</v>
      </c>
      <c r="BC400" s="6">
        <f>BB400/$BB$680*$BC$680</f>
        <v>6383985.739772546</v>
      </c>
      <c r="BD400" s="6"/>
      <c r="BE400" s="6"/>
      <c r="BF400" s="6"/>
      <c r="BG400" s="6"/>
      <c r="BH400" s="6">
        <v>1406681.83542</v>
      </c>
      <c r="BI400" s="6"/>
      <c r="BJ400" s="6">
        <v>43603560.080628</v>
      </c>
      <c r="BK400" s="6">
        <f t="shared" si="26"/>
        <v>1408041.6470045152</v>
      </c>
      <c r="BL400" s="6">
        <f t="shared" si="27"/>
        <v>2814723.4824245153</v>
      </c>
      <c r="BM400" s="6"/>
      <c r="BN400" s="6"/>
      <c r="BO400" s="6">
        <v>90441.917631</v>
      </c>
      <c r="BP400" s="6"/>
      <c r="BQ400" s="6">
        <f t="shared" si="24"/>
        <v>42409227.85892451</v>
      </c>
      <c r="BT400" s="6">
        <f t="shared" si="25"/>
        <v>32625815.02919707</v>
      </c>
      <c r="BW400" s="52"/>
      <c r="BX400" s="6">
        <f t="shared" si="21"/>
        <v>73281105.52345751</v>
      </c>
      <c r="BY400" s="6">
        <f t="shared" si="22"/>
        <v>64087601.18413516</v>
      </c>
    </row>
    <row r="401" spans="1:77" ht="12.75">
      <c r="A401" t="s">
        <v>1034</v>
      </c>
      <c r="B401" t="s">
        <v>400</v>
      </c>
      <c r="K401"/>
      <c r="L401"/>
      <c r="V401"/>
      <c r="X401"/>
      <c r="Z401" s="12">
        <f>Z402+Z403</f>
        <v>47159819.402627</v>
      </c>
      <c r="AC401" s="12">
        <f>AC402+AC403</f>
        <v>48060962.44853708</v>
      </c>
      <c r="AF401" s="52"/>
      <c r="AG401"/>
      <c r="AI401"/>
      <c r="AT401"/>
      <c r="AV401"/>
      <c r="AW401"/>
      <c r="AZ401"/>
      <c r="BB401"/>
      <c r="BI401">
        <v>1580571</v>
      </c>
      <c r="BJ401" s="1">
        <v>82507438.22488</v>
      </c>
      <c r="BQ401" s="1">
        <f>BQ402+BQ403</f>
        <v>60071354.756605</v>
      </c>
      <c r="BT401" s="1">
        <f>BT402+BT403</f>
        <v>43861311.74202592</v>
      </c>
      <c r="BW401" s="52"/>
      <c r="BX401" s="1">
        <f t="shared" si="21"/>
        <v>107231174.15923199</v>
      </c>
      <c r="BY401" s="1">
        <f t="shared" si="22"/>
        <v>91922274.190563</v>
      </c>
    </row>
    <row r="402" spans="1:77" ht="12.75">
      <c r="A402" s="3" t="s">
        <v>1035</v>
      </c>
      <c r="B402" s="3" t="s">
        <v>401</v>
      </c>
      <c r="C402" s="3" t="s">
        <v>1346</v>
      </c>
      <c r="D402" s="3"/>
      <c r="E402" s="4"/>
      <c r="F402" s="4">
        <v>7185686.480406</v>
      </c>
      <c r="G402" s="4">
        <f>F402*RPI_inc</f>
        <v>7322992.591496561</v>
      </c>
      <c r="H402" s="4"/>
      <c r="I402" s="4"/>
      <c r="J402" s="4">
        <v>285967.335608</v>
      </c>
      <c r="K402" s="4">
        <f>J402*RPI_inc</f>
        <v>291431.6796005095</v>
      </c>
      <c r="L402" s="3"/>
      <c r="M402" s="4"/>
      <c r="N402" s="4"/>
      <c r="O402" s="4"/>
      <c r="P402" s="4"/>
      <c r="Q402" s="4"/>
      <c r="R402" s="4"/>
      <c r="S402" s="4"/>
      <c r="T402" s="4">
        <v>208553.504617</v>
      </c>
      <c r="U402" s="4">
        <f>T402*RPI_inc</f>
        <v>212538.60343133757</v>
      </c>
      <c r="V402" s="3"/>
      <c r="W402" s="4"/>
      <c r="X402" s="3"/>
      <c r="Y402" s="4"/>
      <c r="Z402" s="13">
        <f>D402+F402+H402+J402+L402+N402+P402+R402+T402+V402+X402</f>
        <v>7680207.320631</v>
      </c>
      <c r="AC402" s="13">
        <f>E402+G402+I402+K402+M402+O402+Q402+S402+U402+W402+Y402</f>
        <v>7826962.874528408</v>
      </c>
      <c r="AF402" s="51"/>
      <c r="AG402" s="3"/>
      <c r="AH402" s="4"/>
      <c r="AI402" s="3"/>
      <c r="AJ402" s="4"/>
      <c r="AK402" s="4"/>
      <c r="AL402" s="4">
        <v>7938594.173529</v>
      </c>
      <c r="AM402" s="4">
        <f>AL402/$AL$680*$AM$680</f>
        <v>5315220.318645306</v>
      </c>
      <c r="AN402" s="4"/>
      <c r="AO402" s="4"/>
      <c r="AP402" s="4"/>
      <c r="AQ402" s="4"/>
      <c r="AR402" s="4">
        <v>413032.824647</v>
      </c>
      <c r="AS402" s="4">
        <f>AR402/$AR$680*$AS$680</f>
        <v>404905.87647780287</v>
      </c>
      <c r="AT402" s="3"/>
      <c r="AU402" s="4"/>
      <c r="AV402" s="4"/>
      <c r="AW402" s="4"/>
      <c r="AX402" s="4">
        <v>295849.779019</v>
      </c>
      <c r="AY402" s="4">
        <f>AX402/$AX$680*$AY$680</f>
        <v>289922.8628396919</v>
      </c>
      <c r="AZ402" s="3"/>
      <c r="BA402" s="4"/>
      <c r="BB402" s="3"/>
      <c r="BC402" s="4"/>
      <c r="BD402" s="4"/>
      <c r="BE402" s="4"/>
      <c r="BF402" s="4"/>
      <c r="BG402" s="4"/>
      <c r="BH402" s="4"/>
      <c r="BI402" s="4"/>
      <c r="BJ402" s="4">
        <v>14513062.149836</v>
      </c>
      <c r="BK402" s="4">
        <f>BJ402/BJ401*BI401</f>
        <v>278022.51104569185</v>
      </c>
      <c r="BL402" s="4">
        <f t="shared" si="27"/>
        <v>278022.51104569185</v>
      </c>
      <c r="BM402" s="4"/>
      <c r="BN402" s="4"/>
      <c r="BO402" s="4">
        <v>22499.851983</v>
      </c>
      <c r="BP402" s="4"/>
      <c r="BQ402" s="4">
        <f t="shared" si="24"/>
        <v>8947999.140223691</v>
      </c>
      <c r="BT402" s="4">
        <f t="shared" si="25"/>
        <v>6288071.569008493</v>
      </c>
      <c r="BW402" s="52"/>
      <c r="BX402" s="4">
        <f t="shared" si="21"/>
        <v>16628206.46085469</v>
      </c>
      <c r="BY402" s="4">
        <f t="shared" si="22"/>
        <v>14115034.4435369</v>
      </c>
    </row>
    <row r="403" spans="1:77" ht="12.75">
      <c r="A403" s="5" t="s">
        <v>1036</v>
      </c>
      <c r="B403" s="5" t="s">
        <v>402</v>
      </c>
      <c r="C403" s="5" t="s">
        <v>1346</v>
      </c>
      <c r="D403" s="6">
        <v>30832035.831416</v>
      </c>
      <c r="E403" s="6">
        <f>D403*RPI_inc</f>
        <v>31421183.012908027</v>
      </c>
      <c r="F403" s="6"/>
      <c r="G403" s="6"/>
      <c r="H403" s="6"/>
      <c r="I403" s="6"/>
      <c r="J403" s="6">
        <v>1266486.048444</v>
      </c>
      <c r="K403" s="6">
        <f>J403*RPI_inc</f>
        <v>1290686.4187964331</v>
      </c>
      <c r="L403" s="6">
        <v>3632365.149088</v>
      </c>
      <c r="M403" s="6">
        <f>L403*RPI_inc</f>
        <v>3701773.4003444584</v>
      </c>
      <c r="N403" s="6"/>
      <c r="O403" s="6"/>
      <c r="P403" s="6"/>
      <c r="Q403" s="6"/>
      <c r="R403" s="6"/>
      <c r="S403" s="6"/>
      <c r="T403" s="6"/>
      <c r="U403" s="6"/>
      <c r="V403" s="6">
        <v>52335.499749</v>
      </c>
      <c r="W403" s="6">
        <f>V403*RPI_inc</f>
        <v>53335.541145477706</v>
      </c>
      <c r="X403" s="6">
        <v>3696389.553299</v>
      </c>
      <c r="Y403" s="6">
        <f>X403*RPI_inc</f>
        <v>3767021.2008142676</v>
      </c>
      <c r="Z403" s="14">
        <f>D403+F403+H403+J403+L403+N403+P403+R403+T403+V403+X403</f>
        <v>39479612.081996</v>
      </c>
      <c r="AC403" s="14">
        <f>E403+G403+I403+K403+M403+O403+Q403+S403+U403+W403+Y403</f>
        <v>40233999.57400867</v>
      </c>
      <c r="AF403" s="51"/>
      <c r="AG403" s="6">
        <v>901257</v>
      </c>
      <c r="AH403" s="6">
        <f>AG403/$AG$680*$AH$680</f>
        <v>678583.8785659755</v>
      </c>
      <c r="AI403" s="6">
        <v>36840016.074631</v>
      </c>
      <c r="AJ403" s="6">
        <f>AI403/$AI$680*$AJ$680</f>
        <v>25252012.556323115</v>
      </c>
      <c r="AK403" s="6">
        <f>AJ403-AH403</f>
        <v>24573428.67775714</v>
      </c>
      <c r="AL403" s="6"/>
      <c r="AM403" s="6"/>
      <c r="AN403" s="6"/>
      <c r="AO403" s="6"/>
      <c r="AP403" s="6"/>
      <c r="AQ403" s="6"/>
      <c r="AR403" s="6">
        <v>1829230.981406</v>
      </c>
      <c r="AS403" s="6">
        <f>AR403/$AR$680*$AS$680</f>
        <v>1793238.526355771</v>
      </c>
      <c r="AT403" s="6">
        <v>4594643.400889</v>
      </c>
      <c r="AU403" s="6">
        <f>AT403/$AT$680*$AU$680</f>
        <v>3791975.5418307423</v>
      </c>
      <c r="AV403" s="6"/>
      <c r="AW403" s="6"/>
      <c r="AX403" s="6"/>
      <c r="AY403" s="6"/>
      <c r="AZ403" s="6">
        <v>74242.080452</v>
      </c>
      <c r="BA403" s="6">
        <f>AZ403/$AZ$680*$BA$680</f>
        <v>72754.74802342421</v>
      </c>
      <c r="BB403" s="6">
        <v>5465758.547122</v>
      </c>
      <c r="BC403" s="6">
        <f>BB403/$BB$680*$BC$680</f>
        <v>5360710.31153007</v>
      </c>
      <c r="BD403" s="6"/>
      <c r="BE403" s="6"/>
      <c r="BF403" s="6"/>
      <c r="BG403" s="6"/>
      <c r="BH403" s="6"/>
      <c r="BI403" s="6"/>
      <c r="BJ403" s="6">
        <v>67994376.075044</v>
      </c>
      <c r="BK403" s="6">
        <f>BJ403/BJ401*BI401</f>
        <v>1302548.4889543084</v>
      </c>
      <c r="BL403" s="6">
        <f t="shared" si="27"/>
        <v>1302548.4889543084</v>
      </c>
      <c r="BM403" s="6"/>
      <c r="BN403" s="6"/>
      <c r="BO403" s="6">
        <v>115659.042927</v>
      </c>
      <c r="BP403" s="6"/>
      <c r="BQ403" s="6">
        <f t="shared" si="24"/>
        <v>51123355.61638131</v>
      </c>
      <c r="BT403" s="6">
        <f t="shared" si="25"/>
        <v>37573240.17301743</v>
      </c>
      <c r="BW403" s="52"/>
      <c r="BX403" s="6">
        <f t="shared" si="21"/>
        <v>90602967.69837731</v>
      </c>
      <c r="BY403" s="6">
        <f t="shared" si="22"/>
        <v>77807239.7470261</v>
      </c>
    </row>
    <row r="404" spans="1:77" ht="12.75">
      <c r="A404" t="s">
        <v>1037</v>
      </c>
      <c r="B404" t="s">
        <v>403</v>
      </c>
      <c r="K404"/>
      <c r="L404"/>
      <c r="V404"/>
      <c r="X404"/>
      <c r="Z404" s="12">
        <f>Z405+Z406</f>
        <v>28623321.802437</v>
      </c>
      <c r="AC404" s="12">
        <f>AC405+AC406</f>
        <v>29170264.25726064</v>
      </c>
      <c r="AF404" s="52"/>
      <c r="AG404"/>
      <c r="AI404"/>
      <c r="AT404"/>
      <c r="AV404"/>
      <c r="AW404"/>
      <c r="AZ404"/>
      <c r="BB404"/>
      <c r="BI404">
        <v>772300</v>
      </c>
      <c r="BJ404" s="1">
        <v>44370970.209204</v>
      </c>
      <c r="BQ404" s="1">
        <f>BQ405+BQ406</f>
        <v>37418393.75464</v>
      </c>
      <c r="BT404" s="1">
        <f>BT405+BT406</f>
        <v>28273226.559526213</v>
      </c>
      <c r="BW404" s="52"/>
      <c r="BX404" s="1">
        <f t="shared" si="21"/>
        <v>66041715.557077</v>
      </c>
      <c r="BY404" s="1">
        <f t="shared" si="22"/>
        <v>57443490.816786855</v>
      </c>
    </row>
    <row r="405" spans="1:77" ht="12.75">
      <c r="A405" s="3" t="s">
        <v>1038</v>
      </c>
      <c r="B405" s="3" t="s">
        <v>404</v>
      </c>
      <c r="C405" s="3" t="s">
        <v>1346</v>
      </c>
      <c r="D405" s="3"/>
      <c r="E405" s="4"/>
      <c r="F405" s="4">
        <v>4937034.212647</v>
      </c>
      <c r="G405" s="4">
        <f>F405*RPI_inc</f>
        <v>5031372.446009682</v>
      </c>
      <c r="H405" s="4"/>
      <c r="I405" s="4"/>
      <c r="J405" s="4">
        <v>162656.436675</v>
      </c>
      <c r="K405" s="4">
        <f>J405*RPI_inc</f>
        <v>165764.5214522293</v>
      </c>
      <c r="L405" s="3"/>
      <c r="M405" s="4"/>
      <c r="N405" s="4"/>
      <c r="O405" s="4"/>
      <c r="P405" s="4"/>
      <c r="Q405" s="4"/>
      <c r="R405" s="4"/>
      <c r="S405" s="4"/>
      <c r="T405" s="4">
        <v>80984.400319</v>
      </c>
      <c r="U405" s="4">
        <f>T405*RPI_inc</f>
        <v>82531.8729365605</v>
      </c>
      <c r="V405" s="3"/>
      <c r="W405" s="4"/>
      <c r="X405" s="3"/>
      <c r="Y405" s="4"/>
      <c r="Z405" s="13">
        <f>D405+F405+H405+J405+L405+N405+P405+R405+T405+V405+X405</f>
        <v>5180675.049641</v>
      </c>
      <c r="AC405" s="13">
        <f>E405+G405+I405+K405+M405+O405+Q405+S405+U405+W405+Y405</f>
        <v>5279668.840398472</v>
      </c>
      <c r="AF405" s="51"/>
      <c r="AG405" s="3"/>
      <c r="AH405" s="4"/>
      <c r="AI405" s="3"/>
      <c r="AJ405" s="4"/>
      <c r="AK405" s="4"/>
      <c r="AL405" s="4">
        <v>5454330.792458</v>
      </c>
      <c r="AM405" s="4">
        <f>AL405/$AL$680*$AM$680</f>
        <v>3651902.2409981634</v>
      </c>
      <c r="AN405" s="4"/>
      <c r="AO405" s="4"/>
      <c r="AP405" s="4"/>
      <c r="AQ405" s="4"/>
      <c r="AR405" s="4">
        <v>234930.494225</v>
      </c>
      <c r="AS405" s="4">
        <f>AR405/$AR$680*$AS$680</f>
        <v>230307.9368009933</v>
      </c>
      <c r="AT405" s="3"/>
      <c r="AU405" s="4"/>
      <c r="AV405" s="4"/>
      <c r="AW405" s="4"/>
      <c r="AX405" s="4">
        <v>114882.830583</v>
      </c>
      <c r="AY405" s="4">
        <f>AX405/$AX$680*$AY$680</f>
        <v>112581.32165652768</v>
      </c>
      <c r="AZ405" s="3"/>
      <c r="BA405" s="4"/>
      <c r="BB405" s="3"/>
      <c r="BC405" s="4"/>
      <c r="BD405" s="4"/>
      <c r="BE405" s="4"/>
      <c r="BF405" s="4"/>
      <c r="BG405" s="4"/>
      <c r="BH405" s="4">
        <v>164803.052387</v>
      </c>
      <c r="BI405" s="4"/>
      <c r="BJ405" s="4">
        <v>9760841.855521</v>
      </c>
      <c r="BK405" s="4">
        <f>BJ405/BJ404*BI404</f>
        <v>169892.5700627384</v>
      </c>
      <c r="BL405" s="4">
        <f t="shared" si="27"/>
        <v>334695.62244973844</v>
      </c>
      <c r="BM405" s="4"/>
      <c r="BN405" s="4"/>
      <c r="BO405" s="4">
        <v>15177.249379</v>
      </c>
      <c r="BP405" s="4"/>
      <c r="BQ405" s="4">
        <f t="shared" si="24"/>
        <v>6154016.989094738</v>
      </c>
      <c r="BT405" s="4">
        <f t="shared" si="25"/>
        <v>4329487.121905423</v>
      </c>
      <c r="BW405" s="52"/>
      <c r="BX405" s="4">
        <f t="shared" si="21"/>
        <v>11334692.038735738</v>
      </c>
      <c r="BY405" s="4">
        <f t="shared" si="22"/>
        <v>9609155.962303896</v>
      </c>
    </row>
    <row r="406" spans="1:77" ht="12.75">
      <c r="A406" s="5" t="s">
        <v>1039</v>
      </c>
      <c r="B406" s="5" t="s">
        <v>405</v>
      </c>
      <c r="C406" s="5" t="s">
        <v>1346</v>
      </c>
      <c r="D406" s="6">
        <v>16411798.317164</v>
      </c>
      <c r="E406" s="6">
        <f>D406*RPI_inc</f>
        <v>16725399.558893248</v>
      </c>
      <c r="F406" s="6"/>
      <c r="G406" s="6"/>
      <c r="H406" s="6"/>
      <c r="I406" s="6"/>
      <c r="J406" s="6">
        <v>583864.055502</v>
      </c>
      <c r="K406" s="6">
        <f>J406*RPI_inc</f>
        <v>595020.6935052229</v>
      </c>
      <c r="L406" s="6">
        <v>2111683.453181</v>
      </c>
      <c r="M406" s="6">
        <f>L406*RPI_inc</f>
        <v>2152034.092413758</v>
      </c>
      <c r="N406" s="6"/>
      <c r="O406" s="6"/>
      <c r="P406" s="6"/>
      <c r="Q406" s="6"/>
      <c r="R406" s="6"/>
      <c r="S406" s="6"/>
      <c r="T406" s="6"/>
      <c r="U406" s="6"/>
      <c r="V406" s="6">
        <v>51072.931272</v>
      </c>
      <c r="W406" s="6">
        <f>V406*RPI_inc</f>
        <v>52048.847156178344</v>
      </c>
      <c r="X406" s="6">
        <v>4284227.995677</v>
      </c>
      <c r="Y406" s="6">
        <f>X406*RPI_inc</f>
        <v>4366092.224893758</v>
      </c>
      <c r="Z406" s="14">
        <f>D406+F406+H406+J406+L406+N406+P406+R406+T406+V406+X406</f>
        <v>23442646.752796</v>
      </c>
      <c r="AC406" s="14">
        <f>E406+G406+I406+K406+M406+O406+Q406+S406+U406+W406+Y406</f>
        <v>23890595.416862167</v>
      </c>
      <c r="AF406" s="51"/>
      <c r="AG406" s="6">
        <v>477270</v>
      </c>
      <c r="AH406" s="6">
        <f>AG406/$AG$680*$AH$680</f>
        <v>359351.137048792</v>
      </c>
      <c r="AI406" s="6">
        <v>19609827.814284</v>
      </c>
      <c r="AJ406" s="6">
        <f>AI406/$AI$680*$AJ$680</f>
        <v>13441569.004488926</v>
      </c>
      <c r="AK406" s="6">
        <f>AJ406-AH406</f>
        <v>13082217.867440134</v>
      </c>
      <c r="AL406" s="6"/>
      <c r="AM406" s="6"/>
      <c r="AN406" s="6"/>
      <c r="AO406" s="6"/>
      <c r="AP406" s="6"/>
      <c r="AQ406" s="6"/>
      <c r="AR406" s="6">
        <v>843295.684596</v>
      </c>
      <c r="AS406" s="6">
        <f>AR406/$AR$680*$AS$680</f>
        <v>826702.765314399</v>
      </c>
      <c r="AT406" s="6">
        <v>2671106.027256</v>
      </c>
      <c r="AU406" s="6">
        <f>AT406/$AT$680*$AU$680</f>
        <v>2204473.305378096</v>
      </c>
      <c r="AV406" s="6"/>
      <c r="AW406" s="6"/>
      <c r="AX406" s="6"/>
      <c r="AY406" s="6"/>
      <c r="AZ406" s="6">
        <v>72451.026371</v>
      </c>
      <c r="BA406" s="6">
        <f>AZ406/$AZ$680*$BA$680</f>
        <v>70999.57511385404</v>
      </c>
      <c r="BB406" s="6">
        <v>6334980.512077</v>
      </c>
      <c r="BC406" s="6">
        <f>BB406/$BB$680*$BC$680</f>
        <v>6213226.409775252</v>
      </c>
      <c r="BD406" s="6"/>
      <c r="BE406" s="6"/>
      <c r="BF406" s="6"/>
      <c r="BG406" s="6"/>
      <c r="BH406" s="6">
        <v>584360.947613</v>
      </c>
      <c r="BI406" s="6"/>
      <c r="BJ406" s="6">
        <v>34610128.353683</v>
      </c>
      <c r="BK406" s="6">
        <f>BJ406/BJ404*BI404</f>
        <v>602407.4299372616</v>
      </c>
      <c r="BL406" s="6">
        <f t="shared" si="27"/>
        <v>1186768.3775502616</v>
      </c>
      <c r="BM406" s="6"/>
      <c r="BN406" s="6"/>
      <c r="BO406" s="6">
        <v>68677.323411</v>
      </c>
      <c r="BP406" s="6"/>
      <c r="BQ406" s="6">
        <f t="shared" si="24"/>
        <v>31264376.76554526</v>
      </c>
      <c r="BT406" s="6">
        <f t="shared" si="25"/>
        <v>23943739.43762079</v>
      </c>
      <c r="BW406" s="52"/>
      <c r="BX406" s="6">
        <f t="shared" si="21"/>
        <v>54707023.51834126</v>
      </c>
      <c r="BY406" s="6">
        <f t="shared" si="22"/>
        <v>47834334.854482956</v>
      </c>
    </row>
    <row r="407" spans="1:77" ht="12.75">
      <c r="A407" t="s">
        <v>1040</v>
      </c>
      <c r="B407" t="s">
        <v>406</v>
      </c>
      <c r="K407"/>
      <c r="L407"/>
      <c r="V407"/>
      <c r="X407"/>
      <c r="Z407" s="12">
        <f>Z408+Z409</f>
        <v>28653409.997012</v>
      </c>
      <c r="AC407" s="12">
        <f>AC408+AC409</f>
        <v>29200927.385489937</v>
      </c>
      <c r="AF407" s="52"/>
      <c r="AG407"/>
      <c r="AI407"/>
      <c r="AT407"/>
      <c r="AV407"/>
      <c r="AW407"/>
      <c r="AZ407"/>
      <c r="BB407"/>
      <c r="BI407">
        <v>1297759</v>
      </c>
      <c r="BJ407" s="1">
        <v>40655427.465668</v>
      </c>
      <c r="BQ407" s="1">
        <f>BQ408+BQ409</f>
        <v>38617296.09397303</v>
      </c>
      <c r="BT407" s="1">
        <f>BT408+BT409</f>
        <v>29809259.468203552</v>
      </c>
      <c r="BW407" s="52"/>
      <c r="BX407" s="1">
        <f t="shared" si="21"/>
        <v>67270706.09098503</v>
      </c>
      <c r="BY407" s="1">
        <f t="shared" si="22"/>
        <v>59010186.853693485</v>
      </c>
    </row>
    <row r="408" spans="1:77" ht="12.75">
      <c r="A408" s="3" t="s">
        <v>1041</v>
      </c>
      <c r="B408" s="3" t="s">
        <v>407</v>
      </c>
      <c r="C408" s="3" t="s">
        <v>1346</v>
      </c>
      <c r="D408" s="3"/>
      <c r="E408" s="4"/>
      <c r="F408" s="4">
        <v>5422241.453477</v>
      </c>
      <c r="G408" s="4">
        <f>F408*RPI_inc</f>
        <v>5525851.162779108</v>
      </c>
      <c r="H408" s="4"/>
      <c r="I408" s="4"/>
      <c r="J408" s="4">
        <v>344453.448626</v>
      </c>
      <c r="K408" s="4">
        <f aca="true" t="shared" si="28" ref="K408:K425">J408*RPI_inc</f>
        <v>351035.3616570701</v>
      </c>
      <c r="L408" s="3"/>
      <c r="M408" s="4"/>
      <c r="N408" s="4"/>
      <c r="O408" s="4"/>
      <c r="P408" s="4"/>
      <c r="Q408" s="4"/>
      <c r="R408" s="4"/>
      <c r="S408" s="4"/>
      <c r="T408" s="4">
        <v>57292.913779</v>
      </c>
      <c r="U408" s="4">
        <f>T408*RPI_inc</f>
        <v>58387.68283210191</v>
      </c>
      <c r="V408" s="3"/>
      <c r="W408" s="4"/>
      <c r="X408" s="3"/>
      <c r="Y408" s="4"/>
      <c r="Z408" s="13">
        <f aca="true" t="shared" si="29" ref="Z408:Z425">D408+F408+H408+J408+L408+N408+P408+R408+T408+V408+X408</f>
        <v>5823987.815882</v>
      </c>
      <c r="AC408" s="13">
        <f aca="true" t="shared" si="30" ref="AC408:AC425">E408+G408+I408+K408+M408+O408+Q408+S408+U408+W408+Y408</f>
        <v>5935274.20726828</v>
      </c>
      <c r="AF408" s="51"/>
      <c r="AG408" s="3"/>
      <c r="AH408" s="4"/>
      <c r="AI408" s="3"/>
      <c r="AJ408" s="4"/>
      <c r="AK408" s="4"/>
      <c r="AL408" s="4">
        <v>5990377.471577</v>
      </c>
      <c r="AM408" s="4">
        <f>AL408/$AL$680*$AM$680</f>
        <v>4010807.8782325545</v>
      </c>
      <c r="AN408" s="4"/>
      <c r="AO408" s="4"/>
      <c r="AP408" s="4"/>
      <c r="AQ408" s="4"/>
      <c r="AR408" s="4">
        <v>497506.404159</v>
      </c>
      <c r="AS408" s="4">
        <f aca="true" t="shared" si="31" ref="AS408:AS471">AR408/$AR$680*$AS$680</f>
        <v>487717.33046031906</v>
      </c>
      <c r="AT408" s="3"/>
      <c r="AU408" s="4"/>
      <c r="AV408" s="4"/>
      <c r="AW408" s="4"/>
      <c r="AX408" s="4">
        <v>81274.567465</v>
      </c>
      <c r="AY408" s="4">
        <f>AX408/$AX$680*$AY$680</f>
        <v>79646.35077181249</v>
      </c>
      <c r="AZ408" s="3"/>
      <c r="BA408" s="4"/>
      <c r="BB408" s="3"/>
      <c r="BC408" s="4"/>
      <c r="BD408" s="4"/>
      <c r="BE408" s="4"/>
      <c r="BF408" s="4"/>
      <c r="BG408" s="4"/>
      <c r="BH408" s="4">
        <v>336679.1816</v>
      </c>
      <c r="BI408" s="4"/>
      <c r="BJ408" s="4">
        <v>10446991.299714</v>
      </c>
      <c r="BK408" s="4">
        <f>BJ408/BJ407*BI407</f>
        <v>333477.6640480412</v>
      </c>
      <c r="BL408" s="4">
        <f t="shared" si="27"/>
        <v>670156.8456480412</v>
      </c>
      <c r="BM408" s="4"/>
      <c r="BN408" s="4"/>
      <c r="BO408" s="4">
        <v>17061.891475</v>
      </c>
      <c r="BP408" s="4"/>
      <c r="BQ408" s="4">
        <f t="shared" si="24"/>
        <v>7256377.180324041</v>
      </c>
      <c r="BT408" s="4">
        <f t="shared" si="25"/>
        <v>5248328.405112728</v>
      </c>
      <c r="BW408" s="52"/>
      <c r="BX408" s="4">
        <f t="shared" si="21"/>
        <v>13080364.996206041</v>
      </c>
      <c r="BY408" s="4">
        <f t="shared" si="22"/>
        <v>11183602.612381008</v>
      </c>
    </row>
    <row r="409" spans="1:77" ht="12.75">
      <c r="A409" s="5" t="s">
        <v>1042</v>
      </c>
      <c r="B409" s="5" t="s">
        <v>408</v>
      </c>
      <c r="C409" s="5" t="s">
        <v>1346</v>
      </c>
      <c r="D409" s="6">
        <v>14654800.718165</v>
      </c>
      <c r="E409" s="6">
        <f aca="true" t="shared" si="32" ref="E409:E425">D409*RPI_inc</f>
        <v>14934828.757365607</v>
      </c>
      <c r="F409" s="6"/>
      <c r="G409" s="6"/>
      <c r="H409" s="6"/>
      <c r="I409" s="6"/>
      <c r="J409" s="6">
        <v>959413.642663</v>
      </c>
      <c r="K409" s="6">
        <f t="shared" si="28"/>
        <v>977746.3874272612</v>
      </c>
      <c r="L409" s="6">
        <v>2950031.168374</v>
      </c>
      <c r="M409" s="6">
        <f aca="true" t="shared" si="33" ref="M409:M425">L409*RPI_inc</f>
        <v>3006401.190699618</v>
      </c>
      <c r="N409" s="6"/>
      <c r="O409" s="6"/>
      <c r="P409" s="6"/>
      <c r="Q409" s="6"/>
      <c r="R409" s="6"/>
      <c r="S409" s="6"/>
      <c r="T409" s="6"/>
      <c r="U409" s="6"/>
      <c r="V409" s="6">
        <v>52416.955779</v>
      </c>
      <c r="W409" s="6">
        <f aca="true" t="shared" si="34" ref="W409:W425">V409*RPI_inc</f>
        <v>53418.55366012739</v>
      </c>
      <c r="X409" s="6">
        <v>4212759.696149</v>
      </c>
      <c r="Y409" s="6">
        <f aca="true" t="shared" si="35" ref="Y409:Y425">X409*RPI_inc</f>
        <v>4293258.289069044</v>
      </c>
      <c r="Z409" s="14">
        <f t="shared" si="29"/>
        <v>22829422.18113</v>
      </c>
      <c r="AC409" s="14">
        <f t="shared" si="30"/>
        <v>23265653.178221658</v>
      </c>
      <c r="AF409" s="51"/>
      <c r="AG409" s="6">
        <v>424837</v>
      </c>
      <c r="AH409" s="6">
        <f aca="true" t="shared" si="36" ref="AH409:AH425">AG409/$AG$680*$AH$680</f>
        <v>319872.7324373995</v>
      </c>
      <c r="AI409" s="6">
        <v>17510458.828593</v>
      </c>
      <c r="AJ409" s="6">
        <f aca="true" t="shared" si="37" ref="AJ409:AJ425">AI409/$AI$680*$AJ$680</f>
        <v>12002555.19190998</v>
      </c>
      <c r="AK409" s="6">
        <f aca="true" t="shared" si="38" ref="AK409:AK425">AJ409-AH409</f>
        <v>11682682.45947258</v>
      </c>
      <c r="AL409" s="6"/>
      <c r="AM409" s="6"/>
      <c r="AN409" s="6"/>
      <c r="AO409" s="6"/>
      <c r="AP409" s="6"/>
      <c r="AQ409" s="6"/>
      <c r="AR409" s="6">
        <v>1385715.35099</v>
      </c>
      <c r="AS409" s="6">
        <f t="shared" si="31"/>
        <v>1358449.6322317359</v>
      </c>
      <c r="AT409" s="6">
        <v>3731546.99042</v>
      </c>
      <c r="AU409" s="6">
        <f aca="true" t="shared" si="39" ref="AU409:AU426">AT409/$AT$680*$AU$680</f>
        <v>3079659.004249805</v>
      </c>
      <c r="AV409" s="6"/>
      <c r="AW409" s="6"/>
      <c r="AX409" s="6"/>
      <c r="AY409" s="6"/>
      <c r="AZ409" s="6">
        <v>74357.632329</v>
      </c>
      <c r="BA409" s="6">
        <f aca="true" t="shared" si="40" ref="BA409:BA426">AZ409/$AZ$680*$BA$680</f>
        <v>72867.98498612228</v>
      </c>
      <c r="BB409" s="6">
        <v>6229302.129601</v>
      </c>
      <c r="BC409" s="6">
        <f aca="true" t="shared" si="41" ref="BC409:BC426">BB409/$BB$680*$BC$680</f>
        <v>6109579.095361188</v>
      </c>
      <c r="BD409" s="6"/>
      <c r="BE409" s="6"/>
      <c r="BF409" s="6"/>
      <c r="BG409" s="6"/>
      <c r="BH409" s="6">
        <v>973538.8184</v>
      </c>
      <c r="BI409" s="6"/>
      <c r="BJ409" s="6">
        <v>30208436.165955</v>
      </c>
      <c r="BK409" s="6">
        <f>BJ409/BJ407*BI407</f>
        <v>964281.3359519907</v>
      </c>
      <c r="BL409" s="6">
        <f t="shared" si="27"/>
        <v>1937820.1543519907</v>
      </c>
      <c r="BM409" s="6"/>
      <c r="BN409" s="6"/>
      <c r="BO409" s="6">
        <v>66880.827364</v>
      </c>
      <c r="BP409" s="6"/>
      <c r="BQ409" s="6">
        <f t="shared" si="24"/>
        <v>31360918.913648993</v>
      </c>
      <c r="BT409" s="6">
        <f t="shared" si="25"/>
        <v>24560931.063090824</v>
      </c>
      <c r="BW409" s="52"/>
      <c r="BX409" s="6">
        <f t="shared" si="21"/>
        <v>54190341.09477899</v>
      </c>
      <c r="BY409" s="6">
        <f t="shared" si="22"/>
        <v>47826584.24131248</v>
      </c>
    </row>
    <row r="410" spans="1:77" ht="12.75">
      <c r="A410" s="5" t="s">
        <v>1043</v>
      </c>
      <c r="B410" s="5" t="s">
        <v>409</v>
      </c>
      <c r="C410" s="5" t="s">
        <v>1347</v>
      </c>
      <c r="D410" s="6">
        <v>52752466.699488</v>
      </c>
      <c r="E410" s="6">
        <f t="shared" si="32"/>
        <v>53760475.61731261</v>
      </c>
      <c r="F410" s="6"/>
      <c r="G410" s="6"/>
      <c r="H410" s="6"/>
      <c r="I410" s="6"/>
      <c r="J410" s="6">
        <v>2050885.687094</v>
      </c>
      <c r="K410" s="6">
        <f t="shared" si="28"/>
        <v>2090074.585573503</v>
      </c>
      <c r="L410" s="6">
        <v>5901961.637039</v>
      </c>
      <c r="M410" s="6">
        <f t="shared" si="33"/>
        <v>6014737.974052484</v>
      </c>
      <c r="N410" s="6"/>
      <c r="O410" s="6"/>
      <c r="P410" s="6"/>
      <c r="Q410" s="6"/>
      <c r="R410" s="6"/>
      <c r="S410" s="6"/>
      <c r="T410" s="6"/>
      <c r="U410" s="6"/>
      <c r="V410" s="6">
        <v>76487.212862</v>
      </c>
      <c r="W410" s="6">
        <f t="shared" si="34"/>
        <v>77948.75196127388</v>
      </c>
      <c r="X410" s="6">
        <v>48355.558087</v>
      </c>
      <c r="Y410" s="6">
        <f t="shared" si="35"/>
        <v>49279.54964280254</v>
      </c>
      <c r="Z410" s="14">
        <f t="shared" si="29"/>
        <v>60830156.79457</v>
      </c>
      <c r="AC410" s="14">
        <f t="shared" si="30"/>
        <v>61992516.47854267</v>
      </c>
      <c r="AF410" s="51"/>
      <c r="AG410" s="6">
        <v>1088858</v>
      </c>
      <c r="AH410" s="6">
        <f t="shared" si="36"/>
        <v>819834.3922406051</v>
      </c>
      <c r="AI410" s="6">
        <v>63031897.465732</v>
      </c>
      <c r="AJ410" s="6">
        <f t="shared" si="37"/>
        <v>43205254.390472695</v>
      </c>
      <c r="AK410" s="6">
        <f t="shared" si="38"/>
        <v>42385419.99823209</v>
      </c>
      <c r="AL410" s="6"/>
      <c r="AM410" s="6"/>
      <c r="AN410" s="6"/>
      <c r="AO410" s="6"/>
      <c r="AP410" s="6"/>
      <c r="AQ410" s="6"/>
      <c r="AR410" s="6">
        <v>2962167.362809</v>
      </c>
      <c r="AS410" s="6">
        <f t="shared" si="31"/>
        <v>2903882.937965501</v>
      </c>
      <c r="AT410" s="6">
        <v>7465496.439622</v>
      </c>
      <c r="AU410" s="6">
        <f t="shared" si="39"/>
        <v>6161300.766277904</v>
      </c>
      <c r="AV410" s="6"/>
      <c r="AW410" s="6"/>
      <c r="AX410" s="6"/>
      <c r="AY410" s="6"/>
      <c r="AZ410" s="6">
        <v>108503.211743</v>
      </c>
      <c r="BA410" s="6">
        <f t="shared" si="40"/>
        <v>106329.50722869391</v>
      </c>
      <c r="BB410" s="6">
        <v>71502.151249</v>
      </c>
      <c r="BC410" s="6">
        <f t="shared" si="41"/>
        <v>70127.92756806377</v>
      </c>
      <c r="BD410" s="6">
        <v>281791.235294</v>
      </c>
      <c r="BE410" s="6">
        <f>BD410/BD$680*BE$680</f>
        <v>400440.2200910865</v>
      </c>
      <c r="BF410" s="6">
        <v>59324.42871210794</v>
      </c>
      <c r="BG410" s="6">
        <f>BE410+BF410</f>
        <v>459764.64880319446</v>
      </c>
      <c r="BH410" s="6">
        <v>2041552</v>
      </c>
      <c r="BI410" s="6">
        <v>2090131</v>
      </c>
      <c r="BJ410" s="6"/>
      <c r="BK410" s="6">
        <f>BI410</f>
        <v>2090131</v>
      </c>
      <c r="BL410" s="6">
        <f t="shared" si="27"/>
        <v>4131683</v>
      </c>
      <c r="BM410" s="6"/>
      <c r="BN410" s="6"/>
      <c r="BO410" s="6">
        <v>178207.366915</v>
      </c>
      <c r="BP410" s="6">
        <v>-86986</v>
      </c>
      <c r="BQ410" s="6">
        <f t="shared" si="24"/>
        <v>79379430.66207612</v>
      </c>
      <c r="BT410" s="6">
        <f t="shared" si="25"/>
        <v>56951357.17831605</v>
      </c>
      <c r="BW410" s="52"/>
      <c r="BX410" s="6">
        <f t="shared" si="21"/>
        <v>140209587.4566461</v>
      </c>
      <c r="BY410" s="6">
        <f t="shared" si="22"/>
        <v>118943873.65685871</v>
      </c>
    </row>
    <row r="411" spans="1:77" ht="12.75">
      <c r="A411" s="5" t="s">
        <v>1044</v>
      </c>
      <c r="B411" s="5" t="s">
        <v>410</v>
      </c>
      <c r="C411" s="5" t="s">
        <v>1347</v>
      </c>
      <c r="D411" s="6">
        <v>47741041.565546</v>
      </c>
      <c r="E411" s="6">
        <f t="shared" si="32"/>
        <v>48653290.76743541</v>
      </c>
      <c r="F411" s="6"/>
      <c r="G411" s="6"/>
      <c r="H411" s="6"/>
      <c r="I411" s="6"/>
      <c r="J411" s="6">
        <v>2504302.943869</v>
      </c>
      <c r="K411" s="6">
        <f t="shared" si="28"/>
        <v>2552155.866363312</v>
      </c>
      <c r="L411" s="6">
        <v>6173037.487226</v>
      </c>
      <c r="M411" s="6">
        <f t="shared" si="33"/>
        <v>6290993.617555159</v>
      </c>
      <c r="N411" s="6"/>
      <c r="O411" s="6"/>
      <c r="P411" s="6"/>
      <c r="Q411" s="6"/>
      <c r="R411" s="6"/>
      <c r="S411" s="6"/>
      <c r="T411" s="6"/>
      <c r="U411" s="6"/>
      <c r="V411" s="6">
        <v>68463.793835</v>
      </c>
      <c r="W411" s="6">
        <f t="shared" si="34"/>
        <v>69772.01919490447</v>
      </c>
      <c r="X411" s="6">
        <v>3821531.26788</v>
      </c>
      <c r="Y411" s="6">
        <f t="shared" si="35"/>
        <v>3894554.1583490446</v>
      </c>
      <c r="Z411" s="14">
        <f t="shared" si="29"/>
        <v>60308377.058356</v>
      </c>
      <c r="AC411" s="14">
        <f t="shared" si="30"/>
        <v>61460766.42889782</v>
      </c>
      <c r="AF411" s="51"/>
      <c r="AG411" s="6">
        <v>947006</v>
      </c>
      <c r="AH411" s="6">
        <f t="shared" si="36"/>
        <v>713029.6957529875</v>
      </c>
      <c r="AI411" s="6">
        <v>57043937.945293</v>
      </c>
      <c r="AJ411" s="6">
        <f t="shared" si="37"/>
        <v>39100803.71133724</v>
      </c>
      <c r="AK411" s="6">
        <f t="shared" si="38"/>
        <v>38387774.01558425</v>
      </c>
      <c r="AL411" s="6"/>
      <c r="AM411" s="6"/>
      <c r="AN411" s="6"/>
      <c r="AO411" s="6"/>
      <c r="AP411" s="6"/>
      <c r="AQ411" s="6"/>
      <c r="AR411" s="6">
        <v>3617054.08234</v>
      </c>
      <c r="AS411" s="6">
        <f t="shared" si="31"/>
        <v>3545883.9251558026</v>
      </c>
      <c r="AT411" s="6">
        <v>7808385.112727</v>
      </c>
      <c r="AU411" s="6">
        <f t="shared" si="39"/>
        <v>6444288.0078412825</v>
      </c>
      <c r="AV411" s="6"/>
      <c r="AW411" s="6"/>
      <c r="AX411" s="6"/>
      <c r="AY411" s="6"/>
      <c r="AZ411" s="6">
        <v>97121.351938</v>
      </c>
      <c r="BA411" s="6">
        <f t="shared" si="40"/>
        <v>95175.66648084339</v>
      </c>
      <c r="BB411" s="6">
        <v>5650802.462601</v>
      </c>
      <c r="BC411" s="6">
        <f t="shared" si="41"/>
        <v>5542197.806310918</v>
      </c>
      <c r="BD411" s="6">
        <v>971663.352941</v>
      </c>
      <c r="BE411" s="6">
        <f>BD411/BD$680*BE$680</f>
        <v>1380784.9151169886</v>
      </c>
      <c r="BF411" s="6">
        <v>204560.56148650375</v>
      </c>
      <c r="BG411" s="6">
        <f>BE411+BF411</f>
        <v>1585345.4766034924</v>
      </c>
      <c r="BH411" s="6">
        <v>2495488</v>
      </c>
      <c r="BI411" s="6"/>
      <c r="BJ411" s="6"/>
      <c r="BK411" s="6"/>
      <c r="BL411" s="6">
        <f t="shared" si="27"/>
        <v>2495488</v>
      </c>
      <c r="BM411" s="6"/>
      <c r="BN411" s="6"/>
      <c r="BO411" s="6">
        <v>176678.766664</v>
      </c>
      <c r="BP411" s="6">
        <v>-136016</v>
      </c>
      <c r="BQ411" s="6">
        <f t="shared" si="24"/>
        <v>79012697.6359905</v>
      </c>
      <c r="BT411" s="6">
        <f t="shared" si="25"/>
        <v>58673166.593729585</v>
      </c>
      <c r="BW411" s="52"/>
      <c r="BX411" s="6">
        <f t="shared" si="21"/>
        <v>139321074.6943465</v>
      </c>
      <c r="BY411" s="6">
        <f t="shared" si="22"/>
        <v>120133933.02262741</v>
      </c>
    </row>
    <row r="412" spans="1:77" ht="12.75">
      <c r="A412" s="5" t="s">
        <v>1045</v>
      </c>
      <c r="B412" s="5" t="s">
        <v>411</v>
      </c>
      <c r="C412" s="5" t="s">
        <v>1347</v>
      </c>
      <c r="D412" s="6">
        <v>25202180.568794</v>
      </c>
      <c r="E412" s="6">
        <f t="shared" si="32"/>
        <v>25683750.89813401</v>
      </c>
      <c r="F412" s="6"/>
      <c r="G412" s="6"/>
      <c r="H412" s="6"/>
      <c r="I412" s="6"/>
      <c r="J412" s="6">
        <v>2347160.820332</v>
      </c>
      <c r="K412" s="6">
        <f t="shared" si="28"/>
        <v>2392011.027089936</v>
      </c>
      <c r="L412" s="6">
        <v>5330339.658521</v>
      </c>
      <c r="M412" s="6">
        <f t="shared" si="33"/>
        <v>5432193.282569172</v>
      </c>
      <c r="N412" s="6"/>
      <c r="O412" s="6"/>
      <c r="P412" s="6"/>
      <c r="Q412" s="6"/>
      <c r="R412" s="6"/>
      <c r="S412" s="6"/>
      <c r="T412" s="6"/>
      <c r="U412" s="6"/>
      <c r="V412" s="6">
        <v>65735.016805</v>
      </c>
      <c r="W412" s="6">
        <f t="shared" si="34"/>
        <v>66991.09992866243</v>
      </c>
      <c r="X412" s="6">
        <v>6692799.739423</v>
      </c>
      <c r="Y412" s="6">
        <f t="shared" si="35"/>
        <v>6820687.632532994</v>
      </c>
      <c r="Z412" s="14">
        <f t="shared" si="29"/>
        <v>39638215.80387501</v>
      </c>
      <c r="AC412" s="14">
        <f t="shared" si="30"/>
        <v>40395633.94025477</v>
      </c>
      <c r="AF412" s="51"/>
      <c r="AG412" s="6">
        <v>572384</v>
      </c>
      <c r="AH412" s="6">
        <f t="shared" si="36"/>
        <v>430965.36809046404</v>
      </c>
      <c r="AI412" s="6">
        <v>30113118.132928</v>
      </c>
      <c r="AJ412" s="6">
        <f t="shared" si="37"/>
        <v>20641056.064206824</v>
      </c>
      <c r="AK412" s="6">
        <f t="shared" si="38"/>
        <v>20210090.696116358</v>
      </c>
      <c r="AL412" s="6"/>
      <c r="AM412" s="6"/>
      <c r="AN412" s="6"/>
      <c r="AO412" s="6"/>
      <c r="AP412" s="6"/>
      <c r="AQ412" s="6"/>
      <c r="AR412" s="6">
        <v>3390088.107302</v>
      </c>
      <c r="AS412" s="6">
        <f t="shared" si="31"/>
        <v>3323383.795458016</v>
      </c>
      <c r="AT412" s="6">
        <v>6742441.613469</v>
      </c>
      <c r="AU412" s="6">
        <f t="shared" si="39"/>
        <v>5564561.046358758</v>
      </c>
      <c r="AV412" s="6"/>
      <c r="AW412" s="6"/>
      <c r="AX412" s="6"/>
      <c r="AY412" s="6"/>
      <c r="AZ412" s="6">
        <v>93250.364086</v>
      </c>
      <c r="BA412" s="6">
        <f t="shared" si="40"/>
        <v>91382.2282574078</v>
      </c>
      <c r="BB412" s="6">
        <v>9896475.155677</v>
      </c>
      <c r="BC412" s="6">
        <f t="shared" si="41"/>
        <v>9706271.500553844</v>
      </c>
      <c r="BD412" s="6"/>
      <c r="BE412" s="6"/>
      <c r="BF412" s="6"/>
      <c r="BG412" s="6"/>
      <c r="BH412" s="6">
        <v>2321985</v>
      </c>
      <c r="BI412" s="6"/>
      <c r="BJ412" s="6"/>
      <c r="BK412" s="6"/>
      <c r="BL412" s="6">
        <f t="shared" si="27"/>
        <v>2321985</v>
      </c>
      <c r="BM412" s="6"/>
      <c r="BN412" s="6"/>
      <c r="BO412" s="6">
        <v>116123.686668</v>
      </c>
      <c r="BP412" s="6">
        <v>-113053</v>
      </c>
      <c r="BQ412" s="6">
        <f t="shared" si="24"/>
        <v>53245866.06013</v>
      </c>
      <c r="BT412" s="6">
        <f t="shared" si="25"/>
        <v>41535586.63483485</v>
      </c>
      <c r="BW412" s="52"/>
      <c r="BX412" s="6">
        <f t="shared" si="21"/>
        <v>92884081.864005</v>
      </c>
      <c r="BY412" s="6">
        <f t="shared" si="22"/>
        <v>81931220.57508962</v>
      </c>
    </row>
    <row r="413" spans="1:77" ht="12.75">
      <c r="A413" s="5" t="s">
        <v>1046</v>
      </c>
      <c r="B413" s="5" t="s">
        <v>412</v>
      </c>
      <c r="C413" s="5" t="s">
        <v>1347</v>
      </c>
      <c r="D413" s="6">
        <v>83069513.08031</v>
      </c>
      <c r="E413" s="6">
        <f t="shared" si="32"/>
        <v>84656828.61687644</v>
      </c>
      <c r="F413" s="6"/>
      <c r="G413" s="6"/>
      <c r="H413" s="6"/>
      <c r="I413" s="6"/>
      <c r="J413" s="6">
        <v>2835204.628494</v>
      </c>
      <c r="K413" s="6">
        <f t="shared" si="28"/>
        <v>2889380.5131149045</v>
      </c>
      <c r="L413" s="6">
        <v>8651754.031271</v>
      </c>
      <c r="M413" s="6">
        <f t="shared" si="33"/>
        <v>8817074.171995923</v>
      </c>
      <c r="N413" s="6"/>
      <c r="O413" s="6"/>
      <c r="P413" s="6"/>
      <c r="Q413" s="6"/>
      <c r="R413" s="6"/>
      <c r="S413" s="6"/>
      <c r="T413" s="6"/>
      <c r="U413" s="6"/>
      <c r="V413" s="6">
        <v>68911.802004</v>
      </c>
      <c r="W413" s="6">
        <f t="shared" si="34"/>
        <v>70228.58802955414</v>
      </c>
      <c r="X413" s="6">
        <v>5900928.602133</v>
      </c>
      <c r="Y413" s="6">
        <f t="shared" si="35"/>
        <v>6013685.199625988</v>
      </c>
      <c r="Z413" s="14">
        <f t="shared" si="29"/>
        <v>100526312.144212</v>
      </c>
      <c r="AC413" s="14">
        <f t="shared" si="30"/>
        <v>102447197.0896428</v>
      </c>
      <c r="AF413" s="51"/>
      <c r="AG413" s="6">
        <v>1827582</v>
      </c>
      <c r="AH413" s="6">
        <f t="shared" si="36"/>
        <v>1376042.2187648616</v>
      </c>
      <c r="AI413" s="6">
        <v>99256572.414597</v>
      </c>
      <c r="AJ413" s="6">
        <f t="shared" si="37"/>
        <v>68035480.97898334</v>
      </c>
      <c r="AK413" s="6">
        <f t="shared" si="38"/>
        <v>66659438.76021848</v>
      </c>
      <c r="AL413" s="6"/>
      <c r="AM413" s="6"/>
      <c r="AN413" s="6"/>
      <c r="AO413" s="6"/>
      <c r="AP413" s="6"/>
      <c r="AQ413" s="6"/>
      <c r="AR413" s="6">
        <v>4094987.190295</v>
      </c>
      <c r="AS413" s="6">
        <f t="shared" si="31"/>
        <v>4014413.08900536</v>
      </c>
      <c r="AT413" s="6">
        <v>10943757.836648</v>
      </c>
      <c r="AU413" s="6">
        <f t="shared" si="39"/>
        <v>9031922.269366618</v>
      </c>
      <c r="AV413" s="6"/>
      <c r="AW413" s="6"/>
      <c r="AX413" s="6"/>
      <c r="AY413" s="6"/>
      <c r="AZ413" s="6">
        <v>97756.887257</v>
      </c>
      <c r="BA413" s="6">
        <f t="shared" si="40"/>
        <v>95798.4697712728</v>
      </c>
      <c r="BB413" s="6">
        <v>8725555.160788</v>
      </c>
      <c r="BC413" s="6">
        <f t="shared" si="41"/>
        <v>8557855.807386545</v>
      </c>
      <c r="BD413" s="6"/>
      <c r="BE413" s="6"/>
      <c r="BF413" s="6"/>
      <c r="BG413" s="6"/>
      <c r="BH413" s="6">
        <v>2812039</v>
      </c>
      <c r="BI413" s="6"/>
      <c r="BJ413" s="6"/>
      <c r="BK413" s="6"/>
      <c r="BL413" s="6">
        <f t="shared" si="27"/>
        <v>2812039</v>
      </c>
      <c r="BM413" s="6"/>
      <c r="BN413" s="6"/>
      <c r="BO413" s="6">
        <v>294500.792647</v>
      </c>
      <c r="BP413" s="6">
        <v>-254062</v>
      </c>
      <c r="BQ413" s="6">
        <f t="shared" si="24"/>
        <v>128052751.282232</v>
      </c>
      <c r="BT413" s="6">
        <f t="shared" si="25"/>
        <v>92293447.61451314</v>
      </c>
      <c r="BW413" s="52"/>
      <c r="BX413" s="6">
        <f t="shared" si="21"/>
        <v>228579063.426444</v>
      </c>
      <c r="BY413" s="6">
        <f t="shared" si="22"/>
        <v>194740644.70415592</v>
      </c>
    </row>
    <row r="414" spans="1:77" ht="12.75">
      <c r="A414" s="5" t="s">
        <v>1047</v>
      </c>
      <c r="B414" s="5" t="s">
        <v>413</v>
      </c>
      <c r="C414" s="5" t="s">
        <v>1347</v>
      </c>
      <c r="D414" s="6">
        <v>29140586.932327</v>
      </c>
      <c r="E414" s="6">
        <f t="shared" si="32"/>
        <v>29697413.434218597</v>
      </c>
      <c r="F414" s="6"/>
      <c r="G414" s="6"/>
      <c r="H414" s="6"/>
      <c r="I414" s="6"/>
      <c r="J414" s="6">
        <v>2055674.079861</v>
      </c>
      <c r="K414" s="6">
        <f t="shared" si="28"/>
        <v>2094954.4762914649</v>
      </c>
      <c r="L414" s="6">
        <v>3737746.455067</v>
      </c>
      <c r="M414" s="6">
        <f t="shared" si="33"/>
        <v>3809168.3618517197</v>
      </c>
      <c r="N414" s="6"/>
      <c r="O414" s="6"/>
      <c r="P414" s="6"/>
      <c r="Q414" s="6"/>
      <c r="R414" s="6"/>
      <c r="S414" s="6"/>
      <c r="T414" s="6"/>
      <c r="U414" s="6"/>
      <c r="V414" s="6">
        <v>62558.231606</v>
      </c>
      <c r="W414" s="6">
        <f t="shared" si="34"/>
        <v>63753.6118277707</v>
      </c>
      <c r="X414" s="6">
        <v>714714.763135</v>
      </c>
      <c r="Y414" s="6">
        <f t="shared" si="35"/>
        <v>728371.7331312102</v>
      </c>
      <c r="Z414" s="14">
        <f t="shared" si="29"/>
        <v>35711280.461996</v>
      </c>
      <c r="AC414" s="14">
        <f t="shared" si="30"/>
        <v>36393661.61732076</v>
      </c>
      <c r="AF414" s="51"/>
      <c r="AG414" s="6">
        <v>596158</v>
      </c>
      <c r="AH414" s="6">
        <f t="shared" si="36"/>
        <v>448865.53766365733</v>
      </c>
      <c r="AI414" s="6">
        <v>34818968.714263</v>
      </c>
      <c r="AJ414" s="6">
        <f t="shared" si="37"/>
        <v>23866684.351863377</v>
      </c>
      <c r="AK414" s="6">
        <f t="shared" si="38"/>
        <v>23417818.81419972</v>
      </c>
      <c r="AL414" s="6"/>
      <c r="AM414" s="6"/>
      <c r="AN414" s="6"/>
      <c r="AO414" s="6"/>
      <c r="AP414" s="6"/>
      <c r="AQ414" s="6"/>
      <c r="AR414" s="6">
        <v>2969083.409307</v>
      </c>
      <c r="AS414" s="6">
        <f t="shared" si="31"/>
        <v>2910662.902418514</v>
      </c>
      <c r="AT414" s="6">
        <v>4727942.092574</v>
      </c>
      <c r="AU414" s="6">
        <f t="shared" si="39"/>
        <v>3901987.426219802</v>
      </c>
      <c r="AV414" s="6"/>
      <c r="AW414" s="6"/>
      <c r="AX414" s="6"/>
      <c r="AY414" s="6"/>
      <c r="AZ414" s="6">
        <v>88743.840914</v>
      </c>
      <c r="BA414" s="6">
        <f t="shared" si="40"/>
        <v>86965.98674256282</v>
      </c>
      <c r="BB414" s="6">
        <v>1056830.79909</v>
      </c>
      <c r="BC414" s="6">
        <f t="shared" si="41"/>
        <v>1036519.2156553331</v>
      </c>
      <c r="BD414" s="6">
        <v>178326.176471</v>
      </c>
      <c r="BE414" s="6">
        <f>BD414/BD$680*BE$680</f>
        <v>253410.90995802754</v>
      </c>
      <c r="BF414" s="6">
        <v>37542.32644077513</v>
      </c>
      <c r="BG414" s="6">
        <f>BE414+BF414</f>
        <v>290953.23639880266</v>
      </c>
      <c r="BH414" s="6">
        <v>2038469</v>
      </c>
      <c r="BI414" s="6"/>
      <c r="BJ414" s="6"/>
      <c r="BK414" s="6"/>
      <c r="BL414" s="6">
        <f t="shared" si="27"/>
        <v>2038469</v>
      </c>
      <c r="BM414" s="6"/>
      <c r="BN414" s="6"/>
      <c r="BO414" s="6">
        <v>104619.379525</v>
      </c>
      <c r="BP414" s="6">
        <v>-126391</v>
      </c>
      <c r="BQ414" s="6">
        <f t="shared" si="24"/>
        <v>46616683.73858478</v>
      </c>
      <c r="BT414" s="6">
        <f t="shared" si="25"/>
        <v>34005851.11929839</v>
      </c>
      <c r="BW414" s="52"/>
      <c r="BX414" s="6">
        <f t="shared" si="21"/>
        <v>82327964.20058078</v>
      </c>
      <c r="BY414" s="6">
        <f t="shared" si="22"/>
        <v>70399512.73661914</v>
      </c>
    </row>
    <row r="415" spans="1:77" ht="12.75">
      <c r="A415" s="5" t="s">
        <v>1048</v>
      </c>
      <c r="B415" s="5" t="s">
        <v>414</v>
      </c>
      <c r="C415" s="5" t="s">
        <v>1347</v>
      </c>
      <c r="D415" s="6">
        <v>51232298.037989</v>
      </c>
      <c r="E415" s="6">
        <f t="shared" si="32"/>
        <v>52211259.14699516</v>
      </c>
      <c r="F415" s="6"/>
      <c r="G415" s="6"/>
      <c r="H415" s="6"/>
      <c r="I415" s="6"/>
      <c r="J415" s="6">
        <v>2435691.714619</v>
      </c>
      <c r="K415" s="6">
        <f t="shared" si="28"/>
        <v>2482233.594516178</v>
      </c>
      <c r="L415" s="6">
        <v>5666566.227097</v>
      </c>
      <c r="M415" s="6">
        <f t="shared" si="33"/>
        <v>5774844.562646625</v>
      </c>
      <c r="N415" s="6"/>
      <c r="O415" s="6"/>
      <c r="P415" s="6"/>
      <c r="Q415" s="6"/>
      <c r="R415" s="6"/>
      <c r="S415" s="6"/>
      <c r="T415" s="6"/>
      <c r="U415" s="6"/>
      <c r="V415" s="6">
        <v>64309.536267</v>
      </c>
      <c r="W415" s="6">
        <f t="shared" si="34"/>
        <v>65538.38090904459</v>
      </c>
      <c r="X415" s="6">
        <v>7453641.830924</v>
      </c>
      <c r="Y415" s="6">
        <f t="shared" si="35"/>
        <v>7596068.107948025</v>
      </c>
      <c r="Z415" s="14">
        <f t="shared" si="29"/>
        <v>66852507.34689599</v>
      </c>
      <c r="AC415" s="14">
        <f t="shared" si="30"/>
        <v>68129943.79301503</v>
      </c>
      <c r="AF415" s="51"/>
      <c r="AG415" s="6">
        <v>1184695</v>
      </c>
      <c r="AH415" s="6">
        <f t="shared" si="36"/>
        <v>891992.9920297079</v>
      </c>
      <c r="AI415" s="6">
        <v>61215506.286376</v>
      </c>
      <c r="AJ415" s="6">
        <f t="shared" si="37"/>
        <v>41960207.896047354</v>
      </c>
      <c r="AK415" s="6">
        <f t="shared" si="38"/>
        <v>41068214.90401764</v>
      </c>
      <c r="AL415" s="6"/>
      <c r="AM415" s="6"/>
      <c r="AN415" s="6"/>
      <c r="AO415" s="6"/>
      <c r="AP415" s="6"/>
      <c r="AQ415" s="6"/>
      <c r="AR415" s="6">
        <v>3517956.436242</v>
      </c>
      <c r="AS415" s="6">
        <f t="shared" si="31"/>
        <v>3448736.1517688064</v>
      </c>
      <c r="AT415" s="6">
        <v>7167740.59116</v>
      </c>
      <c r="AU415" s="6">
        <f t="shared" si="39"/>
        <v>5915561.805429168</v>
      </c>
      <c r="AV415" s="6"/>
      <c r="AW415" s="6"/>
      <c r="AX415" s="6"/>
      <c r="AY415" s="6"/>
      <c r="AZ415" s="6">
        <v>91228.206252</v>
      </c>
      <c r="BA415" s="6">
        <f t="shared" si="40"/>
        <v>89400.58142342148</v>
      </c>
      <c r="BB415" s="6">
        <v>11021513.278599</v>
      </c>
      <c r="BC415" s="6">
        <f t="shared" si="41"/>
        <v>10809687.140746739</v>
      </c>
      <c r="BD415" s="6"/>
      <c r="BE415" s="6"/>
      <c r="BF415" s="6"/>
      <c r="BG415" s="6"/>
      <c r="BH415" s="6">
        <v>2435074</v>
      </c>
      <c r="BI415" s="6"/>
      <c r="BJ415" s="6"/>
      <c r="BK415" s="6"/>
      <c r="BL415" s="6">
        <f t="shared" si="27"/>
        <v>2435074</v>
      </c>
      <c r="BM415" s="6"/>
      <c r="BN415" s="6"/>
      <c r="BO415" s="6">
        <v>195850.379708</v>
      </c>
      <c r="BP415" s="6">
        <v>-149838</v>
      </c>
      <c r="BQ415" s="6">
        <f t="shared" si="24"/>
        <v>86829564.178337</v>
      </c>
      <c r="BT415" s="6">
        <f t="shared" si="25"/>
        <v>64508829.57541549</v>
      </c>
      <c r="BW415" s="52"/>
      <c r="BX415" s="6">
        <f t="shared" si="21"/>
        <v>153682071.52523297</v>
      </c>
      <c r="BY415" s="6">
        <f t="shared" si="22"/>
        <v>132638773.36843053</v>
      </c>
    </row>
    <row r="416" spans="1:77" ht="12.75">
      <c r="A416" s="5" t="s">
        <v>1049</v>
      </c>
      <c r="B416" s="5" t="s">
        <v>415</v>
      </c>
      <c r="C416" s="5" t="s">
        <v>1347</v>
      </c>
      <c r="D416" s="6">
        <v>71075570.374831</v>
      </c>
      <c r="E416" s="6">
        <f t="shared" si="32"/>
        <v>72433702.2928214</v>
      </c>
      <c r="F416" s="6"/>
      <c r="G416" s="6"/>
      <c r="H416" s="6"/>
      <c r="I416" s="6"/>
      <c r="J416" s="6">
        <v>5360082.143887</v>
      </c>
      <c r="K416" s="6">
        <f t="shared" si="28"/>
        <v>5462504.095681019</v>
      </c>
      <c r="L416" s="6">
        <v>12652493.903252</v>
      </c>
      <c r="M416" s="6">
        <f t="shared" si="33"/>
        <v>12894261.302677197</v>
      </c>
      <c r="N416" s="6"/>
      <c r="O416" s="6"/>
      <c r="P416" s="6"/>
      <c r="Q416" s="6"/>
      <c r="R416" s="6"/>
      <c r="S416" s="6"/>
      <c r="T416" s="6"/>
      <c r="U416" s="6"/>
      <c r="V416" s="6">
        <v>84795.727997</v>
      </c>
      <c r="W416" s="6">
        <f t="shared" si="34"/>
        <v>86416.02853197452</v>
      </c>
      <c r="X416" s="6">
        <v>17925272.365074</v>
      </c>
      <c r="Y416" s="6">
        <f t="shared" si="35"/>
        <v>18267793.493069045</v>
      </c>
      <c r="Z416" s="14">
        <f t="shared" si="29"/>
        <v>107098214.51504102</v>
      </c>
      <c r="AC416" s="14">
        <f t="shared" si="30"/>
        <v>109144677.21278062</v>
      </c>
      <c r="AF416" s="51"/>
      <c r="AG416" s="6">
        <v>1573074</v>
      </c>
      <c r="AH416" s="6">
        <f t="shared" si="36"/>
        <v>1184415.384503303</v>
      </c>
      <c r="AI416" s="6">
        <v>84925470.683785</v>
      </c>
      <c r="AJ416" s="6">
        <f t="shared" si="37"/>
        <v>58212218.14111464</v>
      </c>
      <c r="AK416" s="6">
        <f t="shared" si="38"/>
        <v>57027802.75661133</v>
      </c>
      <c r="AL416" s="6"/>
      <c r="AM416" s="6"/>
      <c r="AN416" s="6"/>
      <c r="AO416" s="6"/>
      <c r="AP416" s="6"/>
      <c r="AQ416" s="6"/>
      <c r="AR416" s="6">
        <v>7741757.860281</v>
      </c>
      <c r="AS416" s="6">
        <f t="shared" si="31"/>
        <v>7589428.890004242</v>
      </c>
      <c r="AT416" s="6">
        <v>16004364.988462</v>
      </c>
      <c r="AU416" s="6">
        <f t="shared" si="39"/>
        <v>13208459.352261774</v>
      </c>
      <c r="AV416" s="6"/>
      <c r="AW416" s="6"/>
      <c r="AX416" s="6"/>
      <c r="AY416" s="6"/>
      <c r="AZ416" s="6">
        <v>120289.503114</v>
      </c>
      <c r="BA416" s="6">
        <f t="shared" si="40"/>
        <v>117879.67734255774</v>
      </c>
      <c r="BB416" s="6">
        <v>26505650.777922</v>
      </c>
      <c r="BC416" s="6">
        <f t="shared" si="41"/>
        <v>25996229.839651197</v>
      </c>
      <c r="BD416" s="6"/>
      <c r="BE416" s="6"/>
      <c r="BF416" s="6"/>
      <c r="BG416" s="6"/>
      <c r="BH416" s="6">
        <v>5358117</v>
      </c>
      <c r="BI416" s="6">
        <v>5427667</v>
      </c>
      <c r="BJ416" s="6"/>
      <c r="BK416" s="6">
        <f aca="true" t="shared" si="42" ref="BK416:BK433">BI416</f>
        <v>5427667</v>
      </c>
      <c r="BL416" s="6">
        <f t="shared" si="27"/>
        <v>10785784</v>
      </c>
      <c r="BM416" s="6"/>
      <c r="BN416" s="6"/>
      <c r="BO416" s="6">
        <v>313753.766482</v>
      </c>
      <c r="BP416" s="6"/>
      <c r="BQ416" s="6">
        <f t="shared" si="24"/>
        <v>147970145.580046</v>
      </c>
      <c r="BT416" s="6">
        <f t="shared" si="25"/>
        <v>115909999.90037441</v>
      </c>
      <c r="BW416" s="52"/>
      <c r="BX416" s="6">
        <f t="shared" si="21"/>
        <v>255068360.09508702</v>
      </c>
      <c r="BY416" s="6">
        <f t="shared" si="22"/>
        <v>225054677.11315504</v>
      </c>
    </row>
    <row r="417" spans="1:77" ht="12.75">
      <c r="A417" s="5" t="s">
        <v>1050</v>
      </c>
      <c r="B417" s="5" t="s">
        <v>416</v>
      </c>
      <c r="C417" s="5" t="s">
        <v>1347</v>
      </c>
      <c r="D417" s="6">
        <v>41992395.713882</v>
      </c>
      <c r="E417" s="6">
        <f t="shared" si="32"/>
        <v>42794798.17975236</v>
      </c>
      <c r="F417" s="6"/>
      <c r="G417" s="6"/>
      <c r="H417" s="6"/>
      <c r="I417" s="6"/>
      <c r="J417" s="6">
        <v>2431676.746864</v>
      </c>
      <c r="K417" s="6">
        <f t="shared" si="28"/>
        <v>2478141.907632102</v>
      </c>
      <c r="L417" s="6">
        <v>6026494.399844</v>
      </c>
      <c r="M417" s="6">
        <f t="shared" si="33"/>
        <v>6141650.343790064</v>
      </c>
      <c r="N417" s="6"/>
      <c r="O417" s="6"/>
      <c r="P417" s="6"/>
      <c r="Q417" s="6"/>
      <c r="R417" s="6"/>
      <c r="S417" s="6"/>
      <c r="T417" s="6"/>
      <c r="U417" s="6"/>
      <c r="V417" s="6">
        <v>62354.591529</v>
      </c>
      <c r="W417" s="6">
        <f t="shared" si="34"/>
        <v>63546.080539108276</v>
      </c>
      <c r="X417" s="6">
        <v>4592740.268413</v>
      </c>
      <c r="Y417" s="6">
        <f t="shared" si="35"/>
        <v>4680499.636599235</v>
      </c>
      <c r="Z417" s="14">
        <f t="shared" si="29"/>
        <v>55105661.72053199</v>
      </c>
      <c r="AC417" s="14">
        <f t="shared" si="30"/>
        <v>56158636.14831287</v>
      </c>
      <c r="AF417" s="51"/>
      <c r="AG417" s="6">
        <v>1058625</v>
      </c>
      <c r="AH417" s="6">
        <f t="shared" si="36"/>
        <v>797071.0446042648</v>
      </c>
      <c r="AI417" s="6">
        <v>50175101.688724</v>
      </c>
      <c r="AJ417" s="6">
        <f t="shared" si="37"/>
        <v>34392555.51060826</v>
      </c>
      <c r="AK417" s="6">
        <f t="shared" si="38"/>
        <v>33595484.466004</v>
      </c>
      <c r="AL417" s="6"/>
      <c r="AM417" s="6"/>
      <c r="AN417" s="6"/>
      <c r="AO417" s="6"/>
      <c r="AP417" s="6"/>
      <c r="AQ417" s="6"/>
      <c r="AR417" s="6">
        <v>3512157.475081</v>
      </c>
      <c r="AS417" s="6">
        <f t="shared" si="31"/>
        <v>3443051.292572537</v>
      </c>
      <c r="AT417" s="6">
        <v>7623020.150299</v>
      </c>
      <c r="AU417" s="6">
        <f t="shared" si="39"/>
        <v>6291305.645009087</v>
      </c>
      <c r="AV417" s="6"/>
      <c r="AW417" s="6"/>
      <c r="AX417" s="6"/>
      <c r="AY417" s="6"/>
      <c r="AZ417" s="6">
        <v>88454.961224</v>
      </c>
      <c r="BA417" s="6">
        <f t="shared" si="40"/>
        <v>86682.89433826762</v>
      </c>
      <c r="BB417" s="6">
        <v>6791169.873962</v>
      </c>
      <c r="BC417" s="6">
        <f t="shared" si="41"/>
        <v>6660648.116238104</v>
      </c>
      <c r="BD417" s="6"/>
      <c r="BE417" s="6"/>
      <c r="BF417" s="6"/>
      <c r="BG417" s="6"/>
      <c r="BH417" s="6">
        <v>2427360</v>
      </c>
      <c r="BI417" s="6">
        <v>2452865</v>
      </c>
      <c r="BJ417" s="6"/>
      <c r="BK417" s="6">
        <f t="shared" si="42"/>
        <v>2452865</v>
      </c>
      <c r="BL417" s="6">
        <f t="shared" si="27"/>
        <v>4880225</v>
      </c>
      <c r="BM417" s="6"/>
      <c r="BN417" s="6"/>
      <c r="BO417" s="6">
        <v>161436.948296</v>
      </c>
      <c r="BP417" s="6"/>
      <c r="BQ417" s="6">
        <f t="shared" si="24"/>
        <v>74290191.09758599</v>
      </c>
      <c r="BT417" s="6">
        <f t="shared" si="25"/>
        <v>55754468.45876625</v>
      </c>
      <c r="BW417" s="52"/>
      <c r="BX417" s="6">
        <f t="shared" si="21"/>
        <v>129395852.81811798</v>
      </c>
      <c r="BY417" s="6">
        <f t="shared" si="22"/>
        <v>111913104.60707912</v>
      </c>
    </row>
    <row r="418" spans="1:77" ht="12.75">
      <c r="A418" s="5" t="s">
        <v>1051</v>
      </c>
      <c r="B418" s="5" t="s">
        <v>417</v>
      </c>
      <c r="C418" s="5" t="s">
        <v>1347</v>
      </c>
      <c r="D418" s="6">
        <v>69535577.018043</v>
      </c>
      <c r="E418" s="6">
        <f t="shared" si="32"/>
        <v>70864282.3113814</v>
      </c>
      <c r="F418" s="6"/>
      <c r="G418" s="6"/>
      <c r="H418" s="6"/>
      <c r="I418" s="6"/>
      <c r="J418" s="6">
        <v>3015594.710483</v>
      </c>
      <c r="K418" s="6">
        <f t="shared" si="28"/>
        <v>3073217.5393457324</v>
      </c>
      <c r="L418" s="6">
        <v>9079136.670824</v>
      </c>
      <c r="M418" s="6">
        <f t="shared" si="33"/>
        <v>9252623.358801529</v>
      </c>
      <c r="N418" s="6"/>
      <c r="O418" s="6"/>
      <c r="P418" s="6"/>
      <c r="Q418" s="6"/>
      <c r="R418" s="6"/>
      <c r="S418" s="6"/>
      <c r="T418" s="6"/>
      <c r="U418" s="6"/>
      <c r="V418" s="6">
        <v>66916.129251</v>
      </c>
      <c r="W418" s="6">
        <f t="shared" si="34"/>
        <v>68194.781402293</v>
      </c>
      <c r="X418" s="6">
        <v>8424594.866349</v>
      </c>
      <c r="Y418" s="6">
        <f t="shared" si="35"/>
        <v>8585574.386088153</v>
      </c>
      <c r="Z418" s="14">
        <f t="shared" si="29"/>
        <v>90121819.39495</v>
      </c>
      <c r="AC418" s="14">
        <f t="shared" si="30"/>
        <v>91843892.37701909</v>
      </c>
      <c r="AF418" s="51"/>
      <c r="AG418" s="6">
        <v>1761388</v>
      </c>
      <c r="AH418" s="6">
        <f t="shared" si="36"/>
        <v>1326202.7376204196</v>
      </c>
      <c r="AI418" s="6">
        <v>83085391.737033</v>
      </c>
      <c r="AJ418" s="6">
        <f t="shared" si="37"/>
        <v>56950934.85139302</v>
      </c>
      <c r="AK418" s="6">
        <f t="shared" si="38"/>
        <v>55624732.1137726</v>
      </c>
      <c r="AL418" s="6"/>
      <c r="AM418" s="6"/>
      <c r="AN418" s="6"/>
      <c r="AO418" s="6"/>
      <c r="AP418" s="6"/>
      <c r="AQ418" s="6"/>
      <c r="AR418" s="6">
        <v>4355531.021093</v>
      </c>
      <c r="AS418" s="6">
        <f t="shared" si="31"/>
        <v>4269830.387280166</v>
      </c>
      <c r="AT418" s="6">
        <v>11484361.752796</v>
      </c>
      <c r="AU418" s="6">
        <f t="shared" si="39"/>
        <v>9478084.604283512</v>
      </c>
      <c r="AV418" s="6"/>
      <c r="AW418" s="6"/>
      <c r="AX418" s="6"/>
      <c r="AY418" s="6"/>
      <c r="AZ418" s="6">
        <v>94925.86629</v>
      </c>
      <c r="BA418" s="6">
        <f t="shared" si="40"/>
        <v>93024.16420427994</v>
      </c>
      <c r="BB418" s="6">
        <v>12457237.185863</v>
      </c>
      <c r="BC418" s="6">
        <f t="shared" si="41"/>
        <v>12217817.391621608</v>
      </c>
      <c r="BD418" s="6"/>
      <c r="BE418" s="6"/>
      <c r="BF418" s="6"/>
      <c r="BG418" s="6"/>
      <c r="BH418" s="6">
        <v>2986168</v>
      </c>
      <c r="BI418" s="6">
        <v>3006980</v>
      </c>
      <c r="BJ418" s="6"/>
      <c r="BK418" s="6">
        <f t="shared" si="42"/>
        <v>3006980</v>
      </c>
      <c r="BL418" s="6">
        <f t="shared" si="27"/>
        <v>5993148</v>
      </c>
      <c r="BM418" s="6"/>
      <c r="BN418" s="6"/>
      <c r="BO418" s="6">
        <v>264019.90365</v>
      </c>
      <c r="BP418" s="6"/>
      <c r="BQ418" s="6">
        <f t="shared" si="24"/>
        <v>119496003.46672499</v>
      </c>
      <c r="BT418" s="6">
        <f t="shared" si="25"/>
        <v>89002839.39878258</v>
      </c>
      <c r="BW418" s="52"/>
      <c r="BX418" s="6">
        <f t="shared" si="21"/>
        <v>209617822.861675</v>
      </c>
      <c r="BY418" s="6">
        <f t="shared" si="22"/>
        <v>180846731.77580166</v>
      </c>
    </row>
    <row r="419" spans="1:77" ht="12.75">
      <c r="A419" s="5" t="s">
        <v>1052</v>
      </c>
      <c r="B419" s="5" t="s">
        <v>418</v>
      </c>
      <c r="C419" s="5" t="s">
        <v>1347</v>
      </c>
      <c r="D419" s="6">
        <v>45188771.927545</v>
      </c>
      <c r="E419" s="6">
        <f t="shared" si="32"/>
        <v>46052251.64590573</v>
      </c>
      <c r="F419" s="6"/>
      <c r="G419" s="6"/>
      <c r="H419" s="6"/>
      <c r="I419" s="6"/>
      <c r="J419" s="6">
        <v>2353771.791787</v>
      </c>
      <c r="K419" s="6">
        <f t="shared" si="28"/>
        <v>2398748.3228402548</v>
      </c>
      <c r="L419" s="6">
        <v>6362327.128794</v>
      </c>
      <c r="M419" s="6">
        <f t="shared" si="33"/>
        <v>6483900.258643567</v>
      </c>
      <c r="N419" s="6"/>
      <c r="O419" s="6"/>
      <c r="P419" s="6"/>
      <c r="Q419" s="6"/>
      <c r="R419" s="6"/>
      <c r="S419" s="6"/>
      <c r="T419" s="6"/>
      <c r="U419" s="6"/>
      <c r="V419" s="6">
        <v>66223.752989</v>
      </c>
      <c r="W419" s="6">
        <f t="shared" si="34"/>
        <v>67489.17502063695</v>
      </c>
      <c r="X419" s="6">
        <v>4267731.520332</v>
      </c>
      <c r="Y419" s="6">
        <f t="shared" si="35"/>
        <v>4349280.53027465</v>
      </c>
      <c r="Z419" s="14">
        <f t="shared" si="29"/>
        <v>58238826.121447004</v>
      </c>
      <c r="AC419" s="14">
        <f t="shared" si="30"/>
        <v>59351669.932684846</v>
      </c>
      <c r="AF419" s="51"/>
      <c r="AG419" s="6">
        <v>1027375</v>
      </c>
      <c r="AH419" s="6">
        <f t="shared" si="36"/>
        <v>773541.9666551485</v>
      </c>
      <c r="AI419" s="6">
        <v>53994328.928072</v>
      </c>
      <c r="AJ419" s="6">
        <f t="shared" si="37"/>
        <v>37010447.26201498</v>
      </c>
      <c r="AK419" s="6">
        <f t="shared" si="38"/>
        <v>36236905.29535983</v>
      </c>
      <c r="AL419" s="6"/>
      <c r="AM419" s="6"/>
      <c r="AN419" s="6"/>
      <c r="AO419" s="6"/>
      <c r="AP419" s="6"/>
      <c r="AQ419" s="6"/>
      <c r="AR419" s="6">
        <v>3399636.569219</v>
      </c>
      <c r="AS419" s="6">
        <f t="shared" si="31"/>
        <v>3332744.3791956943</v>
      </c>
      <c r="AT419" s="6">
        <v>8047820.95323</v>
      </c>
      <c r="AU419" s="6">
        <f t="shared" si="39"/>
        <v>6641895.258678069</v>
      </c>
      <c r="AV419" s="6"/>
      <c r="AW419" s="6"/>
      <c r="AX419" s="6"/>
      <c r="AY419" s="6"/>
      <c r="AZ419" s="6">
        <v>93943.675343</v>
      </c>
      <c r="BA419" s="6">
        <f t="shared" si="40"/>
        <v>92061.65002869625</v>
      </c>
      <c r="BB419" s="6">
        <v>6310587.587627</v>
      </c>
      <c r="BC419" s="6">
        <f t="shared" si="41"/>
        <v>6189302.301071925</v>
      </c>
      <c r="BD419" s="6"/>
      <c r="BE419" s="6"/>
      <c r="BF419" s="6"/>
      <c r="BG419" s="6"/>
      <c r="BH419" s="6"/>
      <c r="BI419" s="6"/>
      <c r="BJ419" s="6"/>
      <c r="BK419" s="6"/>
      <c r="BL419" s="6"/>
      <c r="BM419" s="6"/>
      <c r="BN419" s="6"/>
      <c r="BO419" s="6">
        <v>170615.832709</v>
      </c>
      <c r="BP419" s="6">
        <v>-112492</v>
      </c>
      <c r="BQ419" s="6">
        <f t="shared" si="24"/>
        <v>73044308.54619999</v>
      </c>
      <c r="BT419" s="6">
        <f t="shared" si="25"/>
        <v>53153958.85098937</v>
      </c>
      <c r="BW419" s="52"/>
      <c r="BX419" s="6">
        <f t="shared" si="21"/>
        <v>131283134.667647</v>
      </c>
      <c r="BY419" s="6">
        <f t="shared" si="22"/>
        <v>112505628.78367421</v>
      </c>
    </row>
    <row r="420" spans="1:77" ht="12.75">
      <c r="A420" s="5" t="s">
        <v>1053</v>
      </c>
      <c r="B420" s="5" t="s">
        <v>419</v>
      </c>
      <c r="C420" s="5" t="s">
        <v>1347</v>
      </c>
      <c r="D420" s="6">
        <v>76353093.663883</v>
      </c>
      <c r="E420" s="6">
        <f t="shared" si="32"/>
        <v>77812069.97593172</v>
      </c>
      <c r="F420" s="6"/>
      <c r="G420" s="6"/>
      <c r="H420" s="6"/>
      <c r="I420" s="6"/>
      <c r="J420" s="6">
        <v>3299981.743316</v>
      </c>
      <c r="K420" s="6">
        <f t="shared" si="28"/>
        <v>3363038.71930293</v>
      </c>
      <c r="L420" s="6">
        <v>7637225.237881</v>
      </c>
      <c r="M420" s="6">
        <f t="shared" si="33"/>
        <v>7783159.4780952865</v>
      </c>
      <c r="N420" s="6"/>
      <c r="O420" s="6"/>
      <c r="P420" s="6"/>
      <c r="Q420" s="6"/>
      <c r="R420" s="6"/>
      <c r="S420" s="6"/>
      <c r="T420" s="6"/>
      <c r="U420" s="6"/>
      <c r="V420" s="6">
        <v>84388.447844</v>
      </c>
      <c r="W420" s="6">
        <f t="shared" si="34"/>
        <v>86000.96595566878</v>
      </c>
      <c r="X420" s="6">
        <v>4046296.559015</v>
      </c>
      <c r="Y420" s="6">
        <f t="shared" si="35"/>
        <v>4123614.3276585983</v>
      </c>
      <c r="Z420" s="14">
        <f t="shared" si="29"/>
        <v>91420985.651939</v>
      </c>
      <c r="AC420" s="14">
        <f t="shared" si="30"/>
        <v>93167883.46694422</v>
      </c>
      <c r="AF420" s="51"/>
      <c r="AG420" s="6">
        <v>1345492</v>
      </c>
      <c r="AH420" s="6">
        <f t="shared" si="36"/>
        <v>1013061.9567331977</v>
      </c>
      <c r="AI420" s="6">
        <v>91231380.675134</v>
      </c>
      <c r="AJ420" s="6">
        <f t="shared" si="37"/>
        <v>62534608.173681505</v>
      </c>
      <c r="AK420" s="6">
        <f t="shared" si="38"/>
        <v>61521546.21694831</v>
      </c>
      <c r="AL420" s="6"/>
      <c r="AM420" s="6"/>
      <c r="AN420" s="6"/>
      <c r="AO420" s="6"/>
      <c r="AP420" s="6"/>
      <c r="AQ420" s="6"/>
      <c r="AR420" s="6">
        <v>4766281.358064</v>
      </c>
      <c r="AS420" s="6">
        <f t="shared" si="31"/>
        <v>4672498.686941185</v>
      </c>
      <c r="AT420" s="6">
        <v>9660462.288365</v>
      </c>
      <c r="AU420" s="6">
        <f t="shared" si="39"/>
        <v>7972813.888705812</v>
      </c>
      <c r="AV420" s="6"/>
      <c r="AW420" s="6"/>
      <c r="AX420" s="6"/>
      <c r="AY420" s="6"/>
      <c r="AZ420" s="6">
        <v>119711.743733</v>
      </c>
      <c r="BA420" s="6">
        <f t="shared" si="40"/>
        <v>117313.49253298735</v>
      </c>
      <c r="BB420" s="6">
        <v>5983157.26271</v>
      </c>
      <c r="BC420" s="6">
        <f t="shared" si="41"/>
        <v>5868164.968722248</v>
      </c>
      <c r="BD420" s="6">
        <v>874388.941176</v>
      </c>
      <c r="BE420" s="6">
        <f>BD420/BD$680*BE$680</f>
        <v>1242552.8412351755</v>
      </c>
      <c r="BF420" s="6">
        <v>184081.75241267218</v>
      </c>
      <c r="BG420" s="6">
        <f>BE420+BF420</f>
        <v>1426634.5936478477</v>
      </c>
      <c r="BH420" s="6">
        <v>3301491</v>
      </c>
      <c r="BI420" s="6"/>
      <c r="BJ420" s="6"/>
      <c r="BK420" s="6"/>
      <c r="BL420" s="6">
        <f t="shared" si="27"/>
        <v>3301491</v>
      </c>
      <c r="BM420" s="6"/>
      <c r="BN420" s="6"/>
      <c r="BO420" s="6">
        <v>267825.927012</v>
      </c>
      <c r="BP420" s="6">
        <v>-143598</v>
      </c>
      <c r="BQ420" s="6">
        <f t="shared" si="24"/>
        <v>117734272.94860668</v>
      </c>
      <c r="BT420" s="6">
        <f t="shared" si="25"/>
        <v>85749926.80423158</v>
      </c>
      <c r="BW420" s="52"/>
      <c r="BX420" s="6">
        <f t="shared" si="21"/>
        <v>209155258.6005457</v>
      </c>
      <c r="BY420" s="6">
        <f t="shared" si="22"/>
        <v>178917810.2711758</v>
      </c>
    </row>
    <row r="421" spans="1:77" ht="12.75">
      <c r="A421" s="5" t="s">
        <v>1054</v>
      </c>
      <c r="B421" s="5" t="s">
        <v>420</v>
      </c>
      <c r="C421" s="5" t="s">
        <v>1347</v>
      </c>
      <c r="D421" s="6">
        <v>117603025.036032</v>
      </c>
      <c r="E421" s="6">
        <f t="shared" si="32"/>
        <v>119850216.59723008</v>
      </c>
      <c r="F421" s="6"/>
      <c r="G421" s="6"/>
      <c r="H421" s="6"/>
      <c r="I421" s="6"/>
      <c r="J421" s="6">
        <v>5892176.558911</v>
      </c>
      <c r="K421" s="6">
        <f t="shared" si="28"/>
        <v>6004765.919909299</v>
      </c>
      <c r="L421" s="6">
        <v>14771431.648875</v>
      </c>
      <c r="M421" s="6">
        <f t="shared" si="33"/>
        <v>15053688.304585988</v>
      </c>
      <c r="N421" s="6"/>
      <c r="O421" s="6"/>
      <c r="P421" s="6"/>
      <c r="Q421" s="6"/>
      <c r="R421" s="6"/>
      <c r="S421" s="6"/>
      <c r="T421" s="6"/>
      <c r="U421" s="6"/>
      <c r="V421" s="6">
        <v>88990.71358</v>
      </c>
      <c r="W421" s="6">
        <f t="shared" si="34"/>
        <v>90691.17307515923</v>
      </c>
      <c r="X421" s="6">
        <v>18956968.791741</v>
      </c>
      <c r="Y421" s="6">
        <f t="shared" si="35"/>
        <v>19319203.864194646</v>
      </c>
      <c r="Z421" s="14">
        <f t="shared" si="29"/>
        <v>157312592.749139</v>
      </c>
      <c r="AC421" s="14">
        <f t="shared" si="30"/>
        <v>160318565.8589952</v>
      </c>
      <c r="AF421" s="51"/>
      <c r="AG421" s="6">
        <v>2938048</v>
      </c>
      <c r="AH421" s="6">
        <f t="shared" si="36"/>
        <v>2212145.9331278508</v>
      </c>
      <c r="AI421" s="6">
        <v>140519340.222681</v>
      </c>
      <c r="AJ421" s="6">
        <f t="shared" si="37"/>
        <v>96319071.53680365</v>
      </c>
      <c r="AK421" s="6">
        <f t="shared" si="38"/>
        <v>94106925.6036758</v>
      </c>
      <c r="AL421" s="6"/>
      <c r="AM421" s="6"/>
      <c r="AN421" s="6"/>
      <c r="AO421" s="6"/>
      <c r="AP421" s="6"/>
      <c r="AQ421" s="6"/>
      <c r="AR421" s="6">
        <v>8510280.806263</v>
      </c>
      <c r="AS421" s="6">
        <f t="shared" si="31"/>
        <v>8342830.165803799</v>
      </c>
      <c r="AT421" s="6">
        <v>18684647.09949</v>
      </c>
      <c r="AU421" s="6">
        <f t="shared" si="39"/>
        <v>15420505.712216094</v>
      </c>
      <c r="AV421" s="6"/>
      <c r="AW421" s="6"/>
      <c r="AX421" s="6"/>
      <c r="AY421" s="6"/>
      <c r="AZ421" s="6">
        <v>126240.424738</v>
      </c>
      <c r="BA421" s="6">
        <f t="shared" si="40"/>
        <v>123711.38088083867</v>
      </c>
      <c r="BB421" s="6">
        <v>28031194.4147</v>
      </c>
      <c r="BC421" s="6">
        <f t="shared" si="41"/>
        <v>27492453.54471608</v>
      </c>
      <c r="BD421" s="6"/>
      <c r="BE421" s="6"/>
      <c r="BF421" s="6"/>
      <c r="BG421" s="6"/>
      <c r="BH421" s="6">
        <v>5822753</v>
      </c>
      <c r="BI421" s="6">
        <v>5911098</v>
      </c>
      <c r="BJ421" s="6"/>
      <c r="BK421" s="6">
        <f t="shared" si="42"/>
        <v>5911098</v>
      </c>
      <c r="BL421" s="6">
        <f t="shared" si="27"/>
        <v>11733851</v>
      </c>
      <c r="BM421" s="6"/>
      <c r="BN421" s="6"/>
      <c r="BO421" s="6">
        <v>460861.263781</v>
      </c>
      <c r="BP421" s="6"/>
      <c r="BQ421" s="6">
        <f t="shared" si="24"/>
        <v>211004463.231653</v>
      </c>
      <c r="BT421" s="6">
        <f t="shared" si="25"/>
        <v>159432423.34042045</v>
      </c>
      <c r="BW421" s="52"/>
      <c r="BX421" s="6">
        <f t="shared" si="21"/>
        <v>368317055.98079205</v>
      </c>
      <c r="BY421" s="6">
        <f t="shared" si="22"/>
        <v>319750989.1994157</v>
      </c>
    </row>
    <row r="422" spans="1:77" ht="12.75">
      <c r="A422" s="5" t="s">
        <v>1055</v>
      </c>
      <c r="B422" s="5" t="s">
        <v>421</v>
      </c>
      <c r="C422" s="5" t="s">
        <v>1347</v>
      </c>
      <c r="D422" s="6">
        <v>129883535.124848</v>
      </c>
      <c r="E422" s="6">
        <f t="shared" si="32"/>
        <v>132365386.11449477</v>
      </c>
      <c r="F422" s="6"/>
      <c r="G422" s="6"/>
      <c r="H422" s="6"/>
      <c r="I422" s="6"/>
      <c r="J422" s="6">
        <v>5841302.380353</v>
      </c>
      <c r="K422" s="6">
        <f t="shared" si="28"/>
        <v>5952919.623289682</v>
      </c>
      <c r="L422" s="6">
        <v>16605695.708076</v>
      </c>
      <c r="M422" s="6">
        <f t="shared" si="33"/>
        <v>16923001.995491464</v>
      </c>
      <c r="N422" s="6"/>
      <c r="O422" s="6"/>
      <c r="P422" s="6"/>
      <c r="Q422" s="6"/>
      <c r="R422" s="6"/>
      <c r="S422" s="6"/>
      <c r="T422" s="6"/>
      <c r="U422" s="6"/>
      <c r="V422" s="6">
        <v>105933.567974</v>
      </c>
      <c r="W422" s="6">
        <f t="shared" si="34"/>
        <v>107957.77627923568</v>
      </c>
      <c r="X422" s="6">
        <v>14905822.747936</v>
      </c>
      <c r="Y422" s="6">
        <f t="shared" si="35"/>
        <v>15190647.386431592</v>
      </c>
      <c r="Z422" s="14">
        <f t="shared" si="29"/>
        <v>167342289.529187</v>
      </c>
      <c r="AC422" s="14">
        <f t="shared" si="30"/>
        <v>170539912.89598677</v>
      </c>
      <c r="AF422" s="51"/>
      <c r="AG422" s="6">
        <v>3418476</v>
      </c>
      <c r="AH422" s="6">
        <f t="shared" si="36"/>
        <v>2573874.8246778687</v>
      </c>
      <c r="AI422" s="6">
        <v>155192850.319465</v>
      </c>
      <c r="AJ422" s="6">
        <f t="shared" si="37"/>
        <v>106377038.40790078</v>
      </c>
      <c r="AK422" s="6">
        <f t="shared" si="38"/>
        <v>103803163.58322291</v>
      </c>
      <c r="AL422" s="6"/>
      <c r="AM422" s="6"/>
      <c r="AN422" s="6"/>
      <c r="AO422" s="6"/>
      <c r="AP422" s="6"/>
      <c r="AQ422" s="6"/>
      <c r="AR422" s="6">
        <v>8436801.415246</v>
      </c>
      <c r="AS422" s="6">
        <f t="shared" si="31"/>
        <v>8270796.575620691</v>
      </c>
      <c r="AT422" s="6">
        <v>21004840.392064</v>
      </c>
      <c r="AU422" s="6">
        <f t="shared" si="39"/>
        <v>17335369.48946985</v>
      </c>
      <c r="AV422" s="6"/>
      <c r="AW422" s="6"/>
      <c r="AX422" s="6"/>
      <c r="AY422" s="6"/>
      <c r="AZ422" s="6">
        <v>150275.214986</v>
      </c>
      <c r="BA422" s="6">
        <f t="shared" si="40"/>
        <v>147264.6689573986</v>
      </c>
      <c r="BB422" s="6">
        <v>22040866.34043</v>
      </c>
      <c r="BC422" s="6">
        <f t="shared" si="41"/>
        <v>21617255.582651675</v>
      </c>
      <c r="BD422" s="6"/>
      <c r="BE422" s="6"/>
      <c r="BF422" s="6"/>
      <c r="BG422" s="6"/>
      <c r="BH422" s="6">
        <v>5775872</v>
      </c>
      <c r="BI422" s="6"/>
      <c r="BJ422" s="6"/>
      <c r="BK422" s="6"/>
      <c r="BL422" s="6">
        <f t="shared" si="27"/>
        <v>5775872</v>
      </c>
      <c r="BM422" s="6"/>
      <c r="BN422" s="6"/>
      <c r="BO422" s="6">
        <v>490244.154576</v>
      </c>
      <c r="BP422" s="6"/>
      <c r="BQ422" s="6">
        <f t="shared" si="24"/>
        <v>216510225.83676702</v>
      </c>
      <c r="BT422" s="6">
        <f t="shared" si="25"/>
        <v>159523596.72460037</v>
      </c>
      <c r="BW422" s="52"/>
      <c r="BX422" s="6">
        <f t="shared" si="21"/>
        <v>383852515.36595404</v>
      </c>
      <c r="BY422" s="6">
        <f t="shared" si="22"/>
        <v>330063509.6205871</v>
      </c>
    </row>
    <row r="423" spans="1:77" ht="12.75">
      <c r="A423" s="5" t="s">
        <v>1056</v>
      </c>
      <c r="B423" s="5" t="s">
        <v>422</v>
      </c>
      <c r="C423" s="5" t="s">
        <v>1347</v>
      </c>
      <c r="D423" s="6">
        <v>135729344.719831</v>
      </c>
      <c r="E423" s="6">
        <f t="shared" si="32"/>
        <v>138322899.07753477</v>
      </c>
      <c r="F423" s="6"/>
      <c r="G423" s="6"/>
      <c r="H423" s="6"/>
      <c r="I423" s="6"/>
      <c r="J423" s="6">
        <v>4324606.157394</v>
      </c>
      <c r="K423" s="6">
        <f t="shared" si="28"/>
        <v>4407241.94384102</v>
      </c>
      <c r="L423" s="6">
        <v>14190715.062853</v>
      </c>
      <c r="M423" s="6">
        <f t="shared" si="33"/>
        <v>14461875.22328968</v>
      </c>
      <c r="N423" s="6"/>
      <c r="O423" s="6"/>
      <c r="P423" s="6"/>
      <c r="Q423" s="6"/>
      <c r="R423" s="6"/>
      <c r="S423" s="6"/>
      <c r="T423" s="6"/>
      <c r="U423" s="6"/>
      <c r="V423" s="6">
        <v>81496.758752</v>
      </c>
      <c r="W423" s="6">
        <f t="shared" si="34"/>
        <v>83054.02165808917</v>
      </c>
      <c r="X423" s="6">
        <v>14424056.756063</v>
      </c>
      <c r="Y423" s="6">
        <f t="shared" si="35"/>
        <v>14699675.674968662</v>
      </c>
      <c r="Z423" s="14">
        <f t="shared" si="29"/>
        <v>168750219.454893</v>
      </c>
      <c r="AC423" s="14">
        <f t="shared" si="30"/>
        <v>171974745.9412922</v>
      </c>
      <c r="AF423" s="51"/>
      <c r="AG423" s="6">
        <v>3505618</v>
      </c>
      <c r="AH423" s="6">
        <f t="shared" si="36"/>
        <v>2639486.6938184095</v>
      </c>
      <c r="AI423" s="6">
        <v>162177783.803129</v>
      </c>
      <c r="AJ423" s="6">
        <f t="shared" si="37"/>
        <v>111164865.52711931</v>
      </c>
      <c r="AK423" s="6">
        <f t="shared" si="38"/>
        <v>108525378.8333009</v>
      </c>
      <c r="AL423" s="6"/>
      <c r="AM423" s="6"/>
      <c r="AN423" s="6"/>
      <c r="AO423" s="6"/>
      <c r="AP423" s="6"/>
      <c r="AQ423" s="6"/>
      <c r="AR423" s="6">
        <v>6246182.952589</v>
      </c>
      <c r="AS423" s="6">
        <f t="shared" si="31"/>
        <v>6123281.3281130325</v>
      </c>
      <c r="AT423" s="6">
        <v>17950088.34225</v>
      </c>
      <c r="AU423" s="6">
        <f t="shared" si="39"/>
        <v>14814271.757051537</v>
      </c>
      <c r="AV423" s="6"/>
      <c r="AW423" s="6"/>
      <c r="AX423" s="6"/>
      <c r="AY423" s="6"/>
      <c r="AZ423" s="6">
        <v>115609.652129</v>
      </c>
      <c r="BA423" s="6">
        <f t="shared" si="40"/>
        <v>113293.58038611562</v>
      </c>
      <c r="BB423" s="6">
        <v>21328491.048318</v>
      </c>
      <c r="BC423" s="6">
        <f t="shared" si="41"/>
        <v>20918571.668757442</v>
      </c>
      <c r="BD423" s="6"/>
      <c r="BE423" s="6"/>
      <c r="BF423" s="6"/>
      <c r="BG423" s="6"/>
      <c r="BH423" s="6">
        <v>4280969</v>
      </c>
      <c r="BI423" s="6"/>
      <c r="BJ423" s="6"/>
      <c r="BK423" s="6"/>
      <c r="BL423" s="6">
        <f t="shared" si="27"/>
        <v>4280969</v>
      </c>
      <c r="BM423" s="6"/>
      <c r="BN423" s="6"/>
      <c r="BO423" s="6">
        <v>494368.8108</v>
      </c>
      <c r="BP423" s="6"/>
      <c r="BQ423" s="6">
        <f t="shared" si="24"/>
        <v>216099111.60921496</v>
      </c>
      <c r="BT423" s="6">
        <f t="shared" si="25"/>
        <v>157415252.86142746</v>
      </c>
      <c r="BW423" s="52"/>
      <c r="BX423" s="6">
        <f t="shared" si="21"/>
        <v>384849331.06410795</v>
      </c>
      <c r="BY423" s="6">
        <f t="shared" si="22"/>
        <v>329389998.80271965</v>
      </c>
    </row>
    <row r="424" spans="1:77" ht="12.75">
      <c r="A424" s="5" t="s">
        <v>1057</v>
      </c>
      <c r="B424" s="5" t="s">
        <v>423</v>
      </c>
      <c r="C424" s="5" t="s">
        <v>1347</v>
      </c>
      <c r="D424" s="6">
        <v>80157102.793851</v>
      </c>
      <c r="E424" s="6">
        <f t="shared" si="32"/>
        <v>81688767.17844689</v>
      </c>
      <c r="F424" s="6"/>
      <c r="G424" s="6"/>
      <c r="H424" s="6"/>
      <c r="I424" s="6"/>
      <c r="J424" s="6">
        <v>3127338.94441</v>
      </c>
      <c r="K424" s="6">
        <f t="shared" si="28"/>
        <v>3187097.013411465</v>
      </c>
      <c r="L424" s="6">
        <v>8984828.360822</v>
      </c>
      <c r="M424" s="6">
        <f t="shared" si="33"/>
        <v>9156512.979181655</v>
      </c>
      <c r="N424" s="6"/>
      <c r="O424" s="6"/>
      <c r="P424" s="6"/>
      <c r="Q424" s="6"/>
      <c r="R424" s="6"/>
      <c r="S424" s="6"/>
      <c r="T424" s="6"/>
      <c r="U424" s="6"/>
      <c r="V424" s="6">
        <v>71314.75491</v>
      </c>
      <c r="W424" s="6">
        <f t="shared" si="34"/>
        <v>72677.45723312102</v>
      </c>
      <c r="X424" s="6">
        <v>4644713.288825</v>
      </c>
      <c r="Y424" s="6">
        <f t="shared" si="35"/>
        <v>4733465.772050955</v>
      </c>
      <c r="Z424" s="14">
        <f t="shared" si="29"/>
        <v>96985298.14281802</v>
      </c>
      <c r="AC424" s="14">
        <f t="shared" si="30"/>
        <v>98838520.40032408</v>
      </c>
      <c r="AF424" s="51"/>
      <c r="AG424" s="6">
        <v>2130629</v>
      </c>
      <c r="AH424" s="6">
        <f t="shared" si="36"/>
        <v>1604215.5462927287</v>
      </c>
      <c r="AI424" s="6">
        <v>95776645.161148</v>
      </c>
      <c r="AJ424" s="6">
        <f t="shared" si="37"/>
        <v>65650162.61969797</v>
      </c>
      <c r="AK424" s="6">
        <f t="shared" si="38"/>
        <v>64045947.07340524</v>
      </c>
      <c r="AL424" s="6"/>
      <c r="AM424" s="6"/>
      <c r="AN424" s="6"/>
      <c r="AO424" s="6"/>
      <c r="AP424" s="6"/>
      <c r="AQ424" s="6"/>
      <c r="AR424" s="6">
        <v>4516927.204606</v>
      </c>
      <c r="AS424" s="6">
        <f t="shared" si="31"/>
        <v>4428050.89481817</v>
      </c>
      <c r="AT424" s="6">
        <v>11365069.491029</v>
      </c>
      <c r="AU424" s="6">
        <f t="shared" si="39"/>
        <v>9379632.276326437</v>
      </c>
      <c r="AV424" s="6"/>
      <c r="AW424" s="6"/>
      <c r="AX424" s="6"/>
      <c r="AY424" s="6"/>
      <c r="AZ424" s="6">
        <v>101165.667605</v>
      </c>
      <c r="BA424" s="6">
        <f t="shared" si="40"/>
        <v>99138.96014783603</v>
      </c>
      <c r="BB424" s="6">
        <v>6868021.076045</v>
      </c>
      <c r="BC424" s="6">
        <f t="shared" si="41"/>
        <v>6736022.28944902</v>
      </c>
      <c r="BD424" s="6"/>
      <c r="BE424" s="6"/>
      <c r="BF424" s="6"/>
      <c r="BG424" s="6"/>
      <c r="BH424" s="6">
        <v>3123928</v>
      </c>
      <c r="BI424" s="6"/>
      <c r="BJ424" s="6"/>
      <c r="BK424" s="6"/>
      <c r="BL424" s="6">
        <f t="shared" si="27"/>
        <v>3123928</v>
      </c>
      <c r="BM424" s="6"/>
      <c r="BN424" s="6"/>
      <c r="BO424" s="6">
        <v>284127.076473</v>
      </c>
      <c r="BP424" s="6"/>
      <c r="BQ424" s="6">
        <f t="shared" si="24"/>
        <v>124166512.67690599</v>
      </c>
      <c r="BT424" s="6">
        <f t="shared" si="25"/>
        <v>89416935.04043944</v>
      </c>
      <c r="BW424" s="52"/>
      <c r="BX424" s="6">
        <f t="shared" si="21"/>
        <v>221151810.81972402</v>
      </c>
      <c r="BY424" s="6">
        <f t="shared" si="22"/>
        <v>188255455.44076353</v>
      </c>
    </row>
    <row r="425" spans="1:77" ht="12.75">
      <c r="A425" s="5" t="s">
        <v>1058</v>
      </c>
      <c r="B425" s="5" t="s">
        <v>424</v>
      </c>
      <c r="C425" s="5" t="s">
        <v>1347</v>
      </c>
      <c r="D425" s="6">
        <v>43987469.300491</v>
      </c>
      <c r="E425" s="6">
        <f t="shared" si="32"/>
        <v>44827994.19158318</v>
      </c>
      <c r="F425" s="6"/>
      <c r="G425" s="6"/>
      <c r="H425" s="6"/>
      <c r="I425" s="6"/>
      <c r="J425" s="6">
        <v>2225919.627782</v>
      </c>
      <c r="K425" s="6">
        <f t="shared" si="28"/>
        <v>2268453.123854268</v>
      </c>
      <c r="L425" s="6">
        <v>6159975.144948</v>
      </c>
      <c r="M425" s="6">
        <f t="shared" si="33"/>
        <v>6277681.676380128</v>
      </c>
      <c r="N425" s="6"/>
      <c r="O425" s="6"/>
      <c r="P425" s="6"/>
      <c r="Q425" s="6"/>
      <c r="R425" s="6"/>
      <c r="S425" s="6"/>
      <c r="T425" s="6"/>
      <c r="U425" s="6"/>
      <c r="V425" s="6">
        <v>58363.246023</v>
      </c>
      <c r="W425" s="6">
        <f t="shared" si="34"/>
        <v>59478.46728458599</v>
      </c>
      <c r="X425" s="6">
        <v>4111253.670726</v>
      </c>
      <c r="Y425" s="6">
        <f t="shared" si="35"/>
        <v>4189812.6580647132</v>
      </c>
      <c r="Z425" s="14">
        <f t="shared" si="29"/>
        <v>56542980.98997</v>
      </c>
      <c r="AC425" s="14">
        <f t="shared" si="30"/>
        <v>57623420.11716687</v>
      </c>
      <c r="AF425" s="51"/>
      <c r="AG425" s="6">
        <v>1130865</v>
      </c>
      <c r="AH425" s="6">
        <f t="shared" si="36"/>
        <v>851462.7435176781</v>
      </c>
      <c r="AI425" s="6">
        <v>52558938.533058</v>
      </c>
      <c r="AJ425" s="6">
        <f t="shared" si="37"/>
        <v>36026557.99864738</v>
      </c>
      <c r="AK425" s="6">
        <f t="shared" si="38"/>
        <v>35175095.2551297</v>
      </c>
      <c r="AL425" s="6"/>
      <c r="AM425" s="6"/>
      <c r="AN425" s="6"/>
      <c r="AO425" s="6"/>
      <c r="AP425" s="6"/>
      <c r="AQ425" s="6"/>
      <c r="AR425" s="6">
        <v>3214975.127647</v>
      </c>
      <c r="AS425" s="6">
        <f t="shared" si="31"/>
        <v>3151716.3872551788</v>
      </c>
      <c r="AT425" s="6">
        <v>7791862.323226</v>
      </c>
      <c r="AU425" s="6">
        <f t="shared" si="39"/>
        <v>6430651.690894795</v>
      </c>
      <c r="AV425" s="6"/>
      <c r="AW425" s="6"/>
      <c r="AX425" s="6"/>
      <c r="AY425" s="6"/>
      <c r="AZ425" s="6">
        <v>82792.91929</v>
      </c>
      <c r="BA425" s="6">
        <f t="shared" si="40"/>
        <v>81134.28320428189</v>
      </c>
      <c r="BB425" s="6">
        <v>6079207.715027</v>
      </c>
      <c r="BC425" s="6">
        <f t="shared" si="41"/>
        <v>5962369.395376622</v>
      </c>
      <c r="BD425" s="6"/>
      <c r="BE425" s="6"/>
      <c r="BF425" s="6"/>
      <c r="BG425" s="6"/>
      <c r="BH425" s="6">
        <v>2204309</v>
      </c>
      <c r="BI425" s="6"/>
      <c r="BJ425" s="6"/>
      <c r="BK425" s="6"/>
      <c r="BL425" s="6">
        <f t="shared" si="27"/>
        <v>2204309</v>
      </c>
      <c r="BM425" s="6"/>
      <c r="BN425" s="6"/>
      <c r="BO425" s="6">
        <v>165647.703223</v>
      </c>
      <c r="BP425" s="6"/>
      <c r="BQ425" s="6">
        <f t="shared" si="24"/>
        <v>73228598.321471</v>
      </c>
      <c r="BT425" s="6">
        <f t="shared" si="25"/>
        <v>53856738.755378254</v>
      </c>
      <c r="BW425" s="52"/>
      <c r="BX425" s="6">
        <f t="shared" si="21"/>
        <v>129771579.311441</v>
      </c>
      <c r="BY425" s="6">
        <f t="shared" si="22"/>
        <v>111480158.87254512</v>
      </c>
    </row>
    <row r="426" spans="1:77" ht="12.75">
      <c r="A426" t="s">
        <v>1059</v>
      </c>
      <c r="B426" t="s">
        <v>425</v>
      </c>
      <c r="C426" s="18" t="s">
        <v>1348</v>
      </c>
      <c r="Z426" s="12">
        <f>IoS_BL_1415</f>
        <v>1357641.305456</v>
      </c>
      <c r="AC426" s="12">
        <f>IoS_BL_1415*RPI_inc</f>
        <v>1383583.4960061146</v>
      </c>
      <c r="AF426" s="51"/>
      <c r="AG426" s="9"/>
      <c r="AI426" s="9"/>
      <c r="AR426" s="9">
        <v>17992.779981</v>
      </c>
      <c r="AS426" s="9">
        <f t="shared" si="31"/>
        <v>17638.749062391224</v>
      </c>
      <c r="AT426" s="9">
        <v>243961.297575</v>
      </c>
      <c r="AU426" s="9">
        <f t="shared" si="39"/>
        <v>201342.12665529133</v>
      </c>
      <c r="AX426" s="9">
        <v>28887.968986</v>
      </c>
      <c r="AY426" s="1">
        <f aca="true" t="shared" si="43" ref="AY426:AY489">AX426/$AX$680*$AY$680</f>
        <v>28309.240918876858</v>
      </c>
      <c r="AZ426" s="9">
        <v>64362.395038</v>
      </c>
      <c r="BA426" s="1">
        <f t="shared" si="40"/>
        <v>63072.98778084867</v>
      </c>
      <c r="BB426" s="9">
        <v>7506.858663</v>
      </c>
      <c r="BC426" s="1">
        <f t="shared" si="41"/>
        <v>7362.581843856322</v>
      </c>
      <c r="BD426" s="9"/>
      <c r="BE426" s="9"/>
      <c r="BF426" s="9"/>
      <c r="BG426" s="9"/>
      <c r="BH426" s="9">
        <v>13914</v>
      </c>
      <c r="BI426" s="9"/>
      <c r="BL426" s="9"/>
      <c r="BM426" s="9"/>
      <c r="BN426" s="9"/>
      <c r="BO426" s="9">
        <v>3977.331229</v>
      </c>
      <c r="BP426" s="9"/>
      <c r="BQ426" s="1">
        <v>1946661.697689</v>
      </c>
      <c r="BT426" s="1">
        <f>IoS_RSG</f>
        <v>1901063.244677</v>
      </c>
      <c r="BW426" s="52"/>
      <c r="BX426" s="1">
        <f t="shared" si="21"/>
        <v>3304303.003145</v>
      </c>
      <c r="BY426" s="1">
        <f t="shared" si="22"/>
        <v>3284646.7406831146</v>
      </c>
    </row>
    <row r="427" spans="1:77" ht="12.75">
      <c r="A427" s="3" t="s">
        <v>1060</v>
      </c>
      <c r="B427" s="3" t="s">
        <v>426</v>
      </c>
      <c r="C427" s="3" t="s">
        <v>1349</v>
      </c>
      <c r="D427" s="3"/>
      <c r="E427" s="4"/>
      <c r="F427" s="4">
        <v>3425761.740743</v>
      </c>
      <c r="G427" s="4">
        <f aca="true" t="shared" si="44" ref="G427:G490">F427*RPI_inc</f>
        <v>3491222.15617121</v>
      </c>
      <c r="H427" s="4"/>
      <c r="I427" s="4"/>
      <c r="J427" s="4">
        <v>99457.81353</v>
      </c>
      <c r="K427" s="4">
        <f aca="true" t="shared" si="45" ref="K427:K471">J427*RPI_inc</f>
        <v>101358.2813044586</v>
      </c>
      <c r="L427" s="4"/>
      <c r="M427" s="4"/>
      <c r="N427" s="4"/>
      <c r="O427" s="4"/>
      <c r="P427" s="4"/>
      <c r="Q427" s="4"/>
      <c r="R427" s="4"/>
      <c r="S427" s="4"/>
      <c r="T427" s="4">
        <v>22018.786949</v>
      </c>
      <c r="U427" s="4">
        <f aca="true" t="shared" si="46" ref="U427:U489">T427*RPI_inc</f>
        <v>22439.52810089172</v>
      </c>
      <c r="V427" s="4"/>
      <c r="W427" s="4"/>
      <c r="X427" s="4"/>
      <c r="Y427" s="4"/>
      <c r="Z427" s="13">
        <f aca="true" t="shared" si="47" ref="Z427:Z490">D427+F427+H427+J427+L427+N427+P427+R427+T427+V427+X427</f>
        <v>3547238.341222</v>
      </c>
      <c r="AC427" s="13">
        <f aca="true" t="shared" si="48" ref="AC427:AC490">E427+G427+I427+K427+M427+O427+Q427+S427+U427+W427+Y427</f>
        <v>3615019.9655765602</v>
      </c>
      <c r="AF427" s="51"/>
      <c r="AG427" s="4"/>
      <c r="AH427" s="4"/>
      <c r="AI427" s="4"/>
      <c r="AJ427" s="4"/>
      <c r="AK427" s="4"/>
      <c r="AL427" s="4">
        <v>3784708.986277</v>
      </c>
      <c r="AM427" s="4">
        <f aca="true" t="shared" si="49" ref="AM427:AM490">AL427/$AL$680*$AM$680</f>
        <v>2534020.7175594205</v>
      </c>
      <c r="AN427" s="4"/>
      <c r="AO427" s="4"/>
      <c r="AP427" s="4"/>
      <c r="AQ427" s="4"/>
      <c r="AR427" s="4">
        <v>143650.468219</v>
      </c>
      <c r="AS427" s="4">
        <f t="shared" si="31"/>
        <v>140823.96184945304</v>
      </c>
      <c r="AT427" s="4"/>
      <c r="AU427" s="4"/>
      <c r="AV427" s="4"/>
      <c r="AW427" s="4"/>
      <c r="AX427" s="4">
        <v>31235.405346</v>
      </c>
      <c r="AY427" s="4">
        <f t="shared" si="43"/>
        <v>30609.649836138477</v>
      </c>
      <c r="AZ427" s="4"/>
      <c r="BA427" s="4"/>
      <c r="BB427" s="4"/>
      <c r="BC427" s="4"/>
      <c r="BD427" s="4"/>
      <c r="BE427" s="4"/>
      <c r="BF427" s="4"/>
      <c r="BG427" s="4"/>
      <c r="BH427" s="4"/>
      <c r="BI427" s="4"/>
      <c r="BJ427" s="4"/>
      <c r="BK427" s="4"/>
      <c r="BL427" s="4"/>
      <c r="BM427" s="4"/>
      <c r="BN427" s="4"/>
      <c r="BO427" s="4">
        <v>10391.950932</v>
      </c>
      <c r="BP427" s="4"/>
      <c r="BQ427" s="4">
        <f t="shared" si="24"/>
        <v>3969986.810774</v>
      </c>
      <c r="BT427" s="4">
        <f t="shared" si="25"/>
        <v>2705454.329245012</v>
      </c>
      <c r="BW427" s="52"/>
      <c r="BX427" s="4">
        <f t="shared" si="21"/>
        <v>7517225.151996</v>
      </c>
      <c r="BY427" s="4">
        <f t="shared" si="22"/>
        <v>6320474.294821572</v>
      </c>
    </row>
    <row r="428" spans="1:77" ht="12.75">
      <c r="A428" s="3" t="s">
        <v>1061</v>
      </c>
      <c r="B428" s="3" t="s">
        <v>427</v>
      </c>
      <c r="C428" s="3" t="s">
        <v>1349</v>
      </c>
      <c r="D428" s="3"/>
      <c r="E428" s="4"/>
      <c r="F428" s="4">
        <v>913663.992563</v>
      </c>
      <c r="G428" s="4">
        <f t="shared" si="44"/>
        <v>931122.5401915923</v>
      </c>
      <c r="H428" s="4"/>
      <c r="I428" s="4"/>
      <c r="J428" s="4">
        <v>47786.994992</v>
      </c>
      <c r="K428" s="4">
        <f t="shared" si="45"/>
        <v>48700.12228484076</v>
      </c>
      <c r="L428" s="4"/>
      <c r="M428" s="4"/>
      <c r="N428" s="4"/>
      <c r="O428" s="4"/>
      <c r="P428" s="4"/>
      <c r="Q428" s="4"/>
      <c r="R428" s="4"/>
      <c r="S428" s="4"/>
      <c r="T428" s="4">
        <v>23274.431663</v>
      </c>
      <c r="U428" s="4">
        <f t="shared" si="46"/>
        <v>23719.16602598726</v>
      </c>
      <c r="V428" s="4"/>
      <c r="W428" s="4"/>
      <c r="X428" s="4"/>
      <c r="Y428" s="4"/>
      <c r="Z428" s="13">
        <f t="shared" si="47"/>
        <v>984725.419218</v>
      </c>
      <c r="AC428" s="13">
        <f t="shared" si="48"/>
        <v>1003541.8285024203</v>
      </c>
      <c r="AF428" s="51"/>
      <c r="AG428" s="4"/>
      <c r="AH428" s="4"/>
      <c r="AI428" s="4"/>
      <c r="AJ428" s="4"/>
      <c r="AK428" s="4"/>
      <c r="AL428" s="4">
        <v>1009396.620309</v>
      </c>
      <c r="AM428" s="4">
        <f t="shared" si="49"/>
        <v>675833.1901797272</v>
      </c>
      <c r="AN428" s="4"/>
      <c r="AO428" s="4"/>
      <c r="AP428" s="4"/>
      <c r="AQ428" s="4"/>
      <c r="AR428" s="4">
        <v>69020.461659</v>
      </c>
      <c r="AS428" s="4">
        <f t="shared" si="31"/>
        <v>67662.39595321463</v>
      </c>
      <c r="AT428" s="4"/>
      <c r="AU428" s="4"/>
      <c r="AV428" s="4"/>
      <c r="AW428" s="4"/>
      <c r="AX428" s="4">
        <v>33016.637514</v>
      </c>
      <c r="AY428" s="4">
        <f t="shared" si="43"/>
        <v>32355.197631513187</v>
      </c>
      <c r="AZ428" s="4"/>
      <c r="BA428" s="4"/>
      <c r="BB428" s="4"/>
      <c r="BC428" s="4"/>
      <c r="BD428" s="4"/>
      <c r="BE428" s="4"/>
      <c r="BF428" s="4"/>
      <c r="BG428" s="4"/>
      <c r="BH428" s="4">
        <v>47260</v>
      </c>
      <c r="BI428" s="4">
        <v>47933</v>
      </c>
      <c r="BJ428" s="4"/>
      <c r="BK428" s="4">
        <f t="shared" si="42"/>
        <v>47933</v>
      </c>
      <c r="BL428" s="4">
        <f>BH428+BK428</f>
        <v>95193</v>
      </c>
      <c r="BM428" s="4"/>
      <c r="BN428" s="4"/>
      <c r="BO428" s="4">
        <v>2884.840897</v>
      </c>
      <c r="BP428" s="4"/>
      <c r="BQ428" s="4">
        <f t="shared" si="24"/>
        <v>1209511.560379</v>
      </c>
      <c r="BT428" s="4">
        <f t="shared" si="25"/>
        <v>871043.783764455</v>
      </c>
      <c r="BW428" s="52"/>
      <c r="BX428" s="4">
        <f t="shared" si="21"/>
        <v>2194236.979597</v>
      </c>
      <c r="BY428" s="4">
        <f t="shared" si="22"/>
        <v>1874585.6122668753</v>
      </c>
    </row>
    <row r="429" spans="1:77" ht="12.75">
      <c r="A429" s="3" t="s">
        <v>1062</v>
      </c>
      <c r="B429" s="3" t="s">
        <v>428</v>
      </c>
      <c r="C429" s="3" t="s">
        <v>1349</v>
      </c>
      <c r="D429" s="3"/>
      <c r="E429" s="4"/>
      <c r="F429" s="4">
        <v>1228865.139473</v>
      </c>
      <c r="G429" s="4">
        <f t="shared" si="44"/>
        <v>1252346.6389533759</v>
      </c>
      <c r="H429" s="4"/>
      <c r="I429" s="4"/>
      <c r="J429" s="4">
        <v>72040.935424</v>
      </c>
      <c r="K429" s="4">
        <f t="shared" si="45"/>
        <v>73417.51380789808</v>
      </c>
      <c r="L429" s="4"/>
      <c r="M429" s="4"/>
      <c r="N429" s="4"/>
      <c r="O429" s="4"/>
      <c r="P429" s="4"/>
      <c r="Q429" s="4"/>
      <c r="R429" s="4"/>
      <c r="S429" s="4"/>
      <c r="T429" s="4">
        <v>28944.178682</v>
      </c>
      <c r="U429" s="4">
        <f t="shared" si="46"/>
        <v>29497.25216</v>
      </c>
      <c r="V429" s="4"/>
      <c r="W429" s="4"/>
      <c r="X429" s="4"/>
      <c r="Y429" s="4"/>
      <c r="Z429" s="13">
        <f t="shared" si="47"/>
        <v>1329850.253579</v>
      </c>
      <c r="AC429" s="13">
        <f t="shared" si="48"/>
        <v>1355261.404921274</v>
      </c>
      <c r="AF429" s="51"/>
      <c r="AG429" s="4"/>
      <c r="AH429" s="4"/>
      <c r="AI429" s="4"/>
      <c r="AJ429" s="4"/>
      <c r="AK429" s="4"/>
      <c r="AL429" s="4">
        <v>1357624.168946</v>
      </c>
      <c r="AM429" s="4">
        <f t="shared" si="49"/>
        <v>908986.0761402186</v>
      </c>
      <c r="AN429" s="4"/>
      <c r="AO429" s="4"/>
      <c r="AP429" s="4"/>
      <c r="AQ429" s="4"/>
      <c r="AR429" s="4">
        <v>104051.293079</v>
      </c>
      <c r="AS429" s="4">
        <f t="shared" si="31"/>
        <v>102003.95103902124</v>
      </c>
      <c r="AT429" s="4"/>
      <c r="AU429" s="4"/>
      <c r="AV429" s="4"/>
      <c r="AW429" s="4"/>
      <c r="AX429" s="4">
        <v>41059.625839</v>
      </c>
      <c r="AY429" s="4">
        <f t="shared" si="43"/>
        <v>40237.05648806641</v>
      </c>
      <c r="AZ429" s="4"/>
      <c r="BA429" s="4"/>
      <c r="BB429" s="4"/>
      <c r="BC429" s="4"/>
      <c r="BD429" s="4"/>
      <c r="BE429" s="4"/>
      <c r="BF429" s="4"/>
      <c r="BG429" s="4"/>
      <c r="BH429" s="4"/>
      <c r="BI429" s="4">
        <v>74244</v>
      </c>
      <c r="BJ429" s="4"/>
      <c r="BK429" s="4">
        <f t="shared" si="42"/>
        <v>74244</v>
      </c>
      <c r="BL429" s="4">
        <f>BH429+BK429</f>
        <v>74244</v>
      </c>
      <c r="BM429" s="4"/>
      <c r="BN429" s="4"/>
      <c r="BO429" s="4">
        <v>3895.914865</v>
      </c>
      <c r="BP429" s="4"/>
      <c r="BQ429" s="4">
        <f t="shared" si="24"/>
        <v>1580875.002729</v>
      </c>
      <c r="BT429" s="4">
        <f t="shared" si="25"/>
        <v>1125471.0836673062</v>
      </c>
      <c r="BW429" s="52"/>
      <c r="BX429" s="4">
        <f t="shared" si="21"/>
        <v>2910725.256308</v>
      </c>
      <c r="BY429" s="4">
        <f t="shared" si="22"/>
        <v>2480732.48858858</v>
      </c>
    </row>
    <row r="430" spans="1:77" ht="12.75">
      <c r="A430" s="3" t="s">
        <v>1063</v>
      </c>
      <c r="B430" s="3" t="s">
        <v>429</v>
      </c>
      <c r="C430" s="3" t="s">
        <v>1349</v>
      </c>
      <c r="D430" s="3"/>
      <c r="E430" s="4"/>
      <c r="F430" s="4">
        <v>2853777.838789</v>
      </c>
      <c r="G430" s="4">
        <f t="shared" si="44"/>
        <v>2908308.6255174526</v>
      </c>
      <c r="H430" s="4"/>
      <c r="I430" s="4"/>
      <c r="J430" s="4">
        <v>93581.575473</v>
      </c>
      <c r="K430" s="4">
        <f t="shared" si="45"/>
        <v>95369.75844382166</v>
      </c>
      <c r="L430" s="4"/>
      <c r="M430" s="4"/>
      <c r="N430" s="4"/>
      <c r="O430" s="4"/>
      <c r="P430" s="4"/>
      <c r="Q430" s="4"/>
      <c r="R430" s="4"/>
      <c r="S430" s="4"/>
      <c r="T430" s="4">
        <v>32791.347014</v>
      </c>
      <c r="U430" s="4">
        <f t="shared" si="46"/>
        <v>33417.93326267516</v>
      </c>
      <c r="V430" s="4"/>
      <c r="W430" s="4"/>
      <c r="X430" s="4"/>
      <c r="Y430" s="4"/>
      <c r="Z430" s="13">
        <f t="shared" si="47"/>
        <v>2980150.761276</v>
      </c>
      <c r="AC430" s="13">
        <f t="shared" si="48"/>
        <v>3037096.3172239494</v>
      </c>
      <c r="AF430" s="51"/>
      <c r="AG430" s="4"/>
      <c r="AH430" s="4"/>
      <c r="AI430" s="4"/>
      <c r="AJ430" s="4"/>
      <c r="AK430" s="4"/>
      <c r="AL430" s="4">
        <v>3152793.290569</v>
      </c>
      <c r="AM430" s="4">
        <f t="shared" si="49"/>
        <v>2110926.7701829737</v>
      </c>
      <c r="AN430" s="4"/>
      <c r="AO430" s="4"/>
      <c r="AP430" s="4"/>
      <c r="AQ430" s="4"/>
      <c r="AR430" s="4">
        <v>135163.207959</v>
      </c>
      <c r="AS430" s="4">
        <f t="shared" si="31"/>
        <v>132503.69927127278</v>
      </c>
      <c r="AT430" s="4"/>
      <c r="AU430" s="4"/>
      <c r="AV430" s="4"/>
      <c r="AW430" s="4"/>
      <c r="AX430" s="4">
        <v>46517.14094</v>
      </c>
      <c r="AY430" s="4">
        <f t="shared" si="43"/>
        <v>45585.2382826222</v>
      </c>
      <c r="AZ430" s="4"/>
      <c r="BA430" s="4"/>
      <c r="BB430" s="4"/>
      <c r="BC430" s="4"/>
      <c r="BD430" s="4"/>
      <c r="BE430" s="4"/>
      <c r="BF430" s="4"/>
      <c r="BG430" s="4"/>
      <c r="BH430" s="4">
        <v>92712</v>
      </c>
      <c r="BI430" s="4">
        <v>93204</v>
      </c>
      <c r="BJ430" s="4"/>
      <c r="BK430" s="4">
        <f t="shared" si="42"/>
        <v>93204</v>
      </c>
      <c r="BL430" s="4">
        <f>BH430+BK430</f>
        <v>185916</v>
      </c>
      <c r="BM430" s="4"/>
      <c r="BN430" s="4"/>
      <c r="BO430" s="4">
        <v>8730.617315</v>
      </c>
      <c r="BP430" s="4"/>
      <c r="BQ430" s="4">
        <f t="shared" si="24"/>
        <v>3529120.2567829997</v>
      </c>
      <c r="BT430" s="4">
        <f t="shared" si="25"/>
        <v>2474931.707736869</v>
      </c>
      <c r="BW430" s="52"/>
      <c r="BX430" s="4">
        <f t="shared" si="21"/>
        <v>6509271.018059</v>
      </c>
      <c r="BY430" s="4">
        <f t="shared" si="22"/>
        <v>5512028.024960818</v>
      </c>
    </row>
    <row r="431" spans="1:77" ht="12.75">
      <c r="A431" s="3" t="s">
        <v>1064</v>
      </c>
      <c r="B431" s="3" t="s">
        <v>430</v>
      </c>
      <c r="C431" s="3" t="s">
        <v>1349</v>
      </c>
      <c r="D431" s="3"/>
      <c r="E431" s="4"/>
      <c r="F431" s="4">
        <v>3502307.088659</v>
      </c>
      <c r="G431" s="4">
        <f t="shared" si="44"/>
        <v>3569230.1540473886</v>
      </c>
      <c r="H431" s="4"/>
      <c r="I431" s="4"/>
      <c r="J431" s="4">
        <v>69093.856232</v>
      </c>
      <c r="K431" s="4">
        <f t="shared" si="45"/>
        <v>70414.12100076434</v>
      </c>
      <c r="L431" s="4"/>
      <c r="M431" s="4"/>
      <c r="N431" s="4"/>
      <c r="O431" s="4"/>
      <c r="P431" s="4"/>
      <c r="Q431" s="4"/>
      <c r="R431" s="4"/>
      <c r="S431" s="4"/>
      <c r="T431" s="4">
        <v>233055.071382</v>
      </c>
      <c r="U431" s="4">
        <f t="shared" si="46"/>
        <v>237508.35300076433</v>
      </c>
      <c r="V431" s="4"/>
      <c r="W431" s="4"/>
      <c r="X431" s="4"/>
      <c r="Y431" s="4"/>
      <c r="Z431" s="13">
        <f t="shared" si="47"/>
        <v>3804456.0162730003</v>
      </c>
      <c r="AC431" s="13">
        <f t="shared" si="48"/>
        <v>3877152.6280489173</v>
      </c>
      <c r="AF431" s="51"/>
      <c r="AG431" s="4"/>
      <c r="AH431" s="4"/>
      <c r="AI431" s="4"/>
      <c r="AJ431" s="4"/>
      <c r="AK431" s="4"/>
      <c r="AL431" s="4">
        <v>3869274.664814</v>
      </c>
      <c r="AM431" s="4">
        <f t="shared" si="49"/>
        <v>2590640.97084289</v>
      </c>
      <c r="AN431" s="4"/>
      <c r="AO431" s="4"/>
      <c r="AP431" s="4"/>
      <c r="AQ431" s="4"/>
      <c r="AR431" s="4">
        <v>99794.721466</v>
      </c>
      <c r="AS431" s="4">
        <f t="shared" si="31"/>
        <v>97831.13290713233</v>
      </c>
      <c r="AT431" s="4"/>
      <c r="AU431" s="4"/>
      <c r="AV431" s="4"/>
      <c r="AW431" s="4"/>
      <c r="AX431" s="4">
        <v>330607.205544</v>
      </c>
      <c r="AY431" s="4">
        <f t="shared" si="43"/>
        <v>323983.9753288822</v>
      </c>
      <c r="AZ431" s="4"/>
      <c r="BA431" s="4"/>
      <c r="BB431" s="4"/>
      <c r="BC431" s="4"/>
      <c r="BD431" s="4"/>
      <c r="BE431" s="4"/>
      <c r="BF431" s="4"/>
      <c r="BG431" s="4"/>
      <c r="BH431" s="4"/>
      <c r="BI431" s="4"/>
      <c r="BJ431" s="4"/>
      <c r="BK431" s="4"/>
      <c r="BL431" s="4"/>
      <c r="BM431" s="4"/>
      <c r="BN431" s="4"/>
      <c r="BO431" s="4">
        <v>11145.49304</v>
      </c>
      <c r="BP431" s="4"/>
      <c r="BQ431" s="4">
        <f t="shared" si="24"/>
        <v>4310822.084864001</v>
      </c>
      <c r="BT431" s="4">
        <f t="shared" si="25"/>
        <v>3012456.0790789044</v>
      </c>
      <c r="BW431" s="52"/>
      <c r="BX431" s="4">
        <f t="shared" si="21"/>
        <v>8115278.101137001</v>
      </c>
      <c r="BY431" s="4">
        <f t="shared" si="22"/>
        <v>6889608.707127822</v>
      </c>
    </row>
    <row r="432" spans="1:77" ht="12.75">
      <c r="A432" s="3" t="s">
        <v>1065</v>
      </c>
      <c r="B432" s="3" t="s">
        <v>431</v>
      </c>
      <c r="C432" s="3" t="s">
        <v>1349</v>
      </c>
      <c r="D432" s="3"/>
      <c r="E432" s="4"/>
      <c r="F432" s="4">
        <v>2128275.965467</v>
      </c>
      <c r="G432" s="4">
        <f t="shared" si="44"/>
        <v>2168943.6590746497</v>
      </c>
      <c r="H432" s="4"/>
      <c r="I432" s="4"/>
      <c r="J432" s="4">
        <v>40795.623874</v>
      </c>
      <c r="K432" s="4">
        <f t="shared" si="45"/>
        <v>41575.158088152864</v>
      </c>
      <c r="L432" s="4"/>
      <c r="M432" s="4"/>
      <c r="N432" s="4"/>
      <c r="O432" s="4"/>
      <c r="P432" s="4"/>
      <c r="Q432" s="4"/>
      <c r="R432" s="4"/>
      <c r="S432" s="4"/>
      <c r="T432" s="4">
        <v>27242.96948</v>
      </c>
      <c r="U432" s="4">
        <f t="shared" si="46"/>
        <v>27763.53577579618</v>
      </c>
      <c r="V432" s="4"/>
      <c r="W432" s="4"/>
      <c r="X432" s="4"/>
      <c r="Y432" s="4"/>
      <c r="Z432" s="13">
        <f t="shared" si="47"/>
        <v>2196314.5588209997</v>
      </c>
      <c r="AC432" s="13">
        <f t="shared" si="48"/>
        <v>2238282.3529385985</v>
      </c>
      <c r="AF432" s="51"/>
      <c r="AG432" s="4"/>
      <c r="AH432" s="4"/>
      <c r="AI432" s="4"/>
      <c r="AJ432" s="4"/>
      <c r="AK432" s="4"/>
      <c r="AL432" s="4">
        <v>2351274.192827</v>
      </c>
      <c r="AM432" s="4">
        <f t="shared" si="49"/>
        <v>1574276.262426045</v>
      </c>
      <c r="AN432" s="4"/>
      <c r="AO432" s="4"/>
      <c r="AP432" s="4"/>
      <c r="AQ432" s="4"/>
      <c r="AR432" s="4">
        <v>58922.574937</v>
      </c>
      <c r="AS432" s="4">
        <f t="shared" si="31"/>
        <v>57763.19804505952</v>
      </c>
      <c r="AT432" s="4"/>
      <c r="AU432" s="4"/>
      <c r="AV432" s="4"/>
      <c r="AW432" s="4"/>
      <c r="AX432" s="4">
        <v>38646.32491</v>
      </c>
      <c r="AY432" s="4">
        <f t="shared" si="43"/>
        <v>37872.10250179206</v>
      </c>
      <c r="AZ432" s="4"/>
      <c r="BA432" s="4"/>
      <c r="BB432" s="4"/>
      <c r="BC432" s="4"/>
      <c r="BD432" s="4">
        <v>18954.176471</v>
      </c>
      <c r="BE432" s="4">
        <f>BD432/BD$680*BE$680</f>
        <v>26934.88528759128</v>
      </c>
      <c r="BF432" s="4">
        <v>3990.350124543051</v>
      </c>
      <c r="BG432" s="4">
        <f>BE432+BF432</f>
        <v>30925.235412134334</v>
      </c>
      <c r="BH432" s="4"/>
      <c r="BI432" s="4">
        <v>42925</v>
      </c>
      <c r="BJ432" s="4"/>
      <c r="BK432" s="4">
        <f t="shared" si="42"/>
        <v>42925</v>
      </c>
      <c r="BL432" s="4">
        <f>BH432+BK432</f>
        <v>42925</v>
      </c>
      <c r="BM432" s="4"/>
      <c r="BN432" s="4"/>
      <c r="BO432" s="4">
        <v>6434.299286</v>
      </c>
      <c r="BP432" s="4"/>
      <c r="BQ432" s="4">
        <f t="shared" si="24"/>
        <v>2521146.918555543</v>
      </c>
      <c r="BT432" s="4">
        <f t="shared" si="25"/>
        <v>1743761.798385031</v>
      </c>
      <c r="BW432" s="52"/>
      <c r="BX432" s="4">
        <f t="shared" si="21"/>
        <v>4717461.477376543</v>
      </c>
      <c r="BY432" s="4">
        <f t="shared" si="22"/>
        <v>3982044.1513236295</v>
      </c>
    </row>
    <row r="433" spans="1:77" ht="12.75">
      <c r="A433" s="3" t="s">
        <v>1066</v>
      </c>
      <c r="B433" s="3" t="s">
        <v>432</v>
      </c>
      <c r="C433" s="3" t="s">
        <v>1349</v>
      </c>
      <c r="D433" s="3"/>
      <c r="E433" s="4"/>
      <c r="F433" s="4">
        <v>3192269.887363</v>
      </c>
      <c r="G433" s="4">
        <f t="shared" si="44"/>
        <v>3253268.6750196177</v>
      </c>
      <c r="H433" s="4"/>
      <c r="I433" s="4"/>
      <c r="J433" s="4">
        <v>75685.68552</v>
      </c>
      <c r="K433" s="4">
        <f t="shared" si="45"/>
        <v>77131.90881019107</v>
      </c>
      <c r="L433" s="4"/>
      <c r="M433" s="4"/>
      <c r="N433" s="4"/>
      <c r="O433" s="4"/>
      <c r="P433" s="4"/>
      <c r="Q433" s="4"/>
      <c r="R433" s="4"/>
      <c r="S433" s="4"/>
      <c r="T433" s="4">
        <v>28944.178682</v>
      </c>
      <c r="U433" s="4">
        <f t="shared" si="46"/>
        <v>29497.25216</v>
      </c>
      <c r="V433" s="4"/>
      <c r="W433" s="4"/>
      <c r="X433" s="4"/>
      <c r="Y433" s="4"/>
      <c r="Z433" s="13">
        <f t="shared" si="47"/>
        <v>3296899.7515649996</v>
      </c>
      <c r="AC433" s="13">
        <f t="shared" si="48"/>
        <v>3359897.8359898087</v>
      </c>
      <c r="AF433" s="51"/>
      <c r="AG433" s="4"/>
      <c r="AH433" s="4"/>
      <c r="AI433" s="4"/>
      <c r="AJ433" s="4"/>
      <c r="AK433" s="4"/>
      <c r="AL433" s="4">
        <v>3526752.133878</v>
      </c>
      <c r="AM433" s="4">
        <f t="shared" si="49"/>
        <v>2361307.8324774704</v>
      </c>
      <c r="AN433" s="4"/>
      <c r="AO433" s="4"/>
      <c r="AP433" s="4"/>
      <c r="AQ433" s="4"/>
      <c r="AR433" s="4">
        <v>109315.535668</v>
      </c>
      <c r="AS433" s="4">
        <f t="shared" si="31"/>
        <v>107164.61293390222</v>
      </c>
      <c r="AT433" s="4"/>
      <c r="AU433" s="4"/>
      <c r="AV433" s="4"/>
      <c r="AW433" s="4"/>
      <c r="AX433" s="4">
        <v>41059.625839</v>
      </c>
      <c r="AY433" s="4">
        <f t="shared" si="43"/>
        <v>40237.05648806641</v>
      </c>
      <c r="AZ433" s="4"/>
      <c r="BA433" s="4"/>
      <c r="BB433" s="4"/>
      <c r="BC433" s="4"/>
      <c r="BD433" s="4"/>
      <c r="BE433" s="4"/>
      <c r="BF433" s="4"/>
      <c r="BG433" s="4"/>
      <c r="BH433" s="4"/>
      <c r="BI433" s="4">
        <v>76748</v>
      </c>
      <c r="BJ433" s="4"/>
      <c r="BK433" s="4">
        <f t="shared" si="42"/>
        <v>76748</v>
      </c>
      <c r="BL433" s="4">
        <f>BH433+BK433</f>
        <v>76748</v>
      </c>
      <c r="BM433" s="4"/>
      <c r="BN433" s="4"/>
      <c r="BO433" s="4">
        <v>9658.561718</v>
      </c>
      <c r="BP433" s="4"/>
      <c r="BQ433" s="4">
        <f t="shared" si="24"/>
        <v>3763533.8571030004</v>
      </c>
      <c r="BT433" s="4">
        <f t="shared" si="25"/>
        <v>2585457.501899439</v>
      </c>
      <c r="BW433" s="52"/>
      <c r="BX433" s="4">
        <f t="shared" si="21"/>
        <v>7060433.6086679995</v>
      </c>
      <c r="BY433" s="4">
        <f t="shared" si="22"/>
        <v>5945355.337889248</v>
      </c>
    </row>
    <row r="434" spans="1:77" ht="12.75">
      <c r="A434" s="3" t="s">
        <v>1067</v>
      </c>
      <c r="B434" s="3" t="s">
        <v>433</v>
      </c>
      <c r="C434" s="3" t="s">
        <v>1349</v>
      </c>
      <c r="D434" s="3"/>
      <c r="E434" s="4"/>
      <c r="F434" s="4">
        <v>2266521.371639</v>
      </c>
      <c r="G434" s="4">
        <f t="shared" si="44"/>
        <v>2309830.6972117196</v>
      </c>
      <c r="H434" s="4"/>
      <c r="I434" s="4"/>
      <c r="J434" s="4">
        <v>70604.051042</v>
      </c>
      <c r="K434" s="4">
        <f t="shared" si="45"/>
        <v>71953.17303643313</v>
      </c>
      <c r="L434" s="4"/>
      <c r="M434" s="4"/>
      <c r="N434" s="4"/>
      <c r="O434" s="4"/>
      <c r="P434" s="4"/>
      <c r="Q434" s="4"/>
      <c r="R434" s="4"/>
      <c r="S434" s="4"/>
      <c r="T434" s="4">
        <v>20439.354513</v>
      </c>
      <c r="U434" s="4">
        <f t="shared" si="46"/>
        <v>20829.915427261145</v>
      </c>
      <c r="V434" s="4"/>
      <c r="W434" s="4"/>
      <c r="X434" s="4"/>
      <c r="Y434" s="4"/>
      <c r="Z434" s="13">
        <f t="shared" si="47"/>
        <v>2357564.777194</v>
      </c>
      <c r="AC434" s="13">
        <f t="shared" si="48"/>
        <v>2402613.785675414</v>
      </c>
      <c r="AF434" s="51"/>
      <c r="AG434" s="4"/>
      <c r="AH434" s="4"/>
      <c r="AI434" s="4"/>
      <c r="AJ434" s="4"/>
      <c r="AK434" s="4"/>
      <c r="AL434" s="4">
        <v>2504004.788427</v>
      </c>
      <c r="AM434" s="4">
        <f t="shared" si="49"/>
        <v>1676535.7742825435</v>
      </c>
      <c r="AN434" s="4"/>
      <c r="AO434" s="4"/>
      <c r="AP434" s="4"/>
      <c r="AQ434" s="4"/>
      <c r="AR434" s="4">
        <v>101975.949706</v>
      </c>
      <c r="AS434" s="4">
        <f t="shared" si="31"/>
        <v>99969.44269660284</v>
      </c>
      <c r="AT434" s="4"/>
      <c r="AU434" s="4"/>
      <c r="AV434" s="4"/>
      <c r="AW434" s="4"/>
      <c r="AX434" s="4">
        <v>28994.854471</v>
      </c>
      <c r="AY434" s="4">
        <f t="shared" si="43"/>
        <v>28413.985110033478</v>
      </c>
      <c r="AZ434" s="4"/>
      <c r="BA434" s="4"/>
      <c r="BB434" s="4"/>
      <c r="BC434" s="4"/>
      <c r="BD434" s="4">
        <v>15324.058824</v>
      </c>
      <c r="BE434" s="4">
        <f>BD434/BD$680*BE$680</f>
        <v>21776.2964904465</v>
      </c>
      <c r="BF434" s="4">
        <v>3226.1153698980693</v>
      </c>
      <c r="BG434" s="4">
        <f>BE434+BF434</f>
        <v>25002.41186034457</v>
      </c>
      <c r="BH434" s="4"/>
      <c r="BI434" s="4"/>
      <c r="BJ434" s="4"/>
      <c r="BK434" s="4"/>
      <c r="BL434" s="4"/>
      <c r="BM434" s="4"/>
      <c r="BN434" s="4"/>
      <c r="BO434" s="4">
        <v>6906.696175</v>
      </c>
      <c r="BP434" s="4"/>
      <c r="BQ434" s="4">
        <f t="shared" si="24"/>
        <v>2660432.462972898</v>
      </c>
      <c r="BT434" s="4">
        <f t="shared" si="25"/>
        <v>1829921.6139495242</v>
      </c>
      <c r="BW434" s="52"/>
      <c r="BX434" s="4">
        <f t="shared" si="21"/>
        <v>5017997.240166898</v>
      </c>
      <c r="BY434" s="4">
        <f t="shared" si="22"/>
        <v>4232535.399624938</v>
      </c>
    </row>
    <row r="435" spans="1:77" ht="12.75">
      <c r="A435" s="3" t="s">
        <v>1068</v>
      </c>
      <c r="B435" s="3" t="s">
        <v>434</v>
      </c>
      <c r="C435" s="3" t="s">
        <v>1349</v>
      </c>
      <c r="D435" s="3"/>
      <c r="E435" s="4"/>
      <c r="F435" s="4">
        <v>3177412.954022</v>
      </c>
      <c r="G435" s="4">
        <f t="shared" si="44"/>
        <v>3238127.8512326116</v>
      </c>
      <c r="H435" s="4"/>
      <c r="I435" s="4"/>
      <c r="J435" s="4">
        <v>46495.509625</v>
      </c>
      <c r="K435" s="4">
        <f t="shared" si="45"/>
        <v>47383.95885350318</v>
      </c>
      <c r="L435" s="4"/>
      <c r="M435" s="4"/>
      <c r="N435" s="4"/>
      <c r="O435" s="4"/>
      <c r="P435" s="4"/>
      <c r="Q435" s="4"/>
      <c r="R435" s="4"/>
      <c r="S435" s="4"/>
      <c r="T435" s="4">
        <v>31778.848552</v>
      </c>
      <c r="U435" s="4">
        <f t="shared" si="46"/>
        <v>32386.08769630573</v>
      </c>
      <c r="V435" s="4"/>
      <c r="W435" s="4"/>
      <c r="X435" s="4"/>
      <c r="Y435" s="4"/>
      <c r="Z435" s="13">
        <f t="shared" si="47"/>
        <v>3255687.312199</v>
      </c>
      <c r="AC435" s="13">
        <f t="shared" si="48"/>
        <v>3317897.8977824207</v>
      </c>
      <c r="AF435" s="51"/>
      <c r="AG435" s="4"/>
      <c r="AH435" s="4"/>
      <c r="AI435" s="4"/>
      <c r="AJ435" s="4"/>
      <c r="AK435" s="4"/>
      <c r="AL435" s="4">
        <v>3510338.508711</v>
      </c>
      <c r="AM435" s="4">
        <f t="shared" si="49"/>
        <v>2350318.224987372</v>
      </c>
      <c r="AN435" s="4"/>
      <c r="AO435" s="4"/>
      <c r="AP435" s="4"/>
      <c r="AQ435" s="4"/>
      <c r="AR435" s="4">
        <v>67155.123269</v>
      </c>
      <c r="AS435" s="4">
        <f t="shared" si="31"/>
        <v>65833.76047762949</v>
      </c>
      <c r="AT435" s="4"/>
      <c r="AU435" s="4"/>
      <c r="AV435" s="4"/>
      <c r="AW435" s="4"/>
      <c r="AX435" s="4">
        <v>45080.831122</v>
      </c>
      <c r="AY435" s="4">
        <f t="shared" si="43"/>
        <v>44177.70282411989</v>
      </c>
      <c r="AZ435" s="4"/>
      <c r="BA435" s="4"/>
      <c r="BB435" s="4"/>
      <c r="BC435" s="4"/>
      <c r="BD435" s="4">
        <v>38182.176471</v>
      </c>
      <c r="BE435" s="4">
        <f>BD435/BD$680*BE$680</f>
        <v>54258.888264043526</v>
      </c>
      <c r="BF435" s="4">
        <v>8038.347267130896</v>
      </c>
      <c r="BG435" s="4">
        <f>BE435+BF435</f>
        <v>62297.235531174425</v>
      </c>
      <c r="BH435" s="4"/>
      <c r="BI435" s="4"/>
      <c r="BJ435" s="4"/>
      <c r="BK435" s="4"/>
      <c r="BL435" s="4"/>
      <c r="BM435" s="4"/>
      <c r="BN435" s="4"/>
      <c r="BO435" s="4">
        <v>9537.826203</v>
      </c>
      <c r="BP435" s="4"/>
      <c r="BQ435" s="4">
        <f t="shared" si="24"/>
        <v>3678332.8130431306</v>
      </c>
      <c r="BT435" s="4">
        <f t="shared" si="25"/>
        <v>2522626.923820296</v>
      </c>
      <c r="BW435" s="52"/>
      <c r="BX435" s="4">
        <f t="shared" si="21"/>
        <v>6934020.125242131</v>
      </c>
      <c r="BY435" s="4">
        <f t="shared" si="22"/>
        <v>5840524.821602717</v>
      </c>
    </row>
    <row r="436" spans="1:77" ht="12.75">
      <c r="A436" s="3" t="s">
        <v>1069</v>
      </c>
      <c r="B436" s="3" t="s">
        <v>435</v>
      </c>
      <c r="C436" s="3" t="s">
        <v>1349</v>
      </c>
      <c r="D436" s="3"/>
      <c r="E436" s="4"/>
      <c r="F436" s="4">
        <v>2704345.132028</v>
      </c>
      <c r="G436" s="4">
        <f t="shared" si="44"/>
        <v>2756020.516716433</v>
      </c>
      <c r="H436" s="4"/>
      <c r="I436" s="4"/>
      <c r="J436" s="4">
        <v>44310.04432</v>
      </c>
      <c r="K436" s="4">
        <f t="shared" si="45"/>
        <v>45156.73306496815</v>
      </c>
      <c r="L436" s="4"/>
      <c r="M436" s="4"/>
      <c r="N436" s="4"/>
      <c r="O436" s="4"/>
      <c r="P436" s="4"/>
      <c r="Q436" s="4"/>
      <c r="R436" s="4"/>
      <c r="S436" s="4"/>
      <c r="T436" s="4">
        <v>38461.094033</v>
      </c>
      <c r="U436" s="4">
        <f t="shared" si="46"/>
        <v>39196.0193966879</v>
      </c>
      <c r="V436" s="4"/>
      <c r="W436" s="4"/>
      <c r="X436" s="4"/>
      <c r="Y436" s="4"/>
      <c r="Z436" s="13">
        <f t="shared" si="47"/>
        <v>2787116.270381</v>
      </c>
      <c r="AC436" s="13">
        <f t="shared" si="48"/>
        <v>2840373.269178089</v>
      </c>
      <c r="AF436" s="51"/>
      <c r="AG436" s="4"/>
      <c r="AH436" s="4"/>
      <c r="AI436" s="4"/>
      <c r="AJ436" s="4"/>
      <c r="AK436" s="4"/>
      <c r="AL436" s="4">
        <v>2987703.202313</v>
      </c>
      <c r="AM436" s="4">
        <f t="shared" si="49"/>
        <v>2000392.0618549923</v>
      </c>
      <c r="AN436" s="4"/>
      <c r="AO436" s="4"/>
      <c r="AP436" s="4"/>
      <c r="AQ436" s="4"/>
      <c r="AR436" s="4">
        <v>63998.577764</v>
      </c>
      <c r="AS436" s="4">
        <f t="shared" si="31"/>
        <v>62739.32403559506</v>
      </c>
      <c r="AT436" s="4"/>
      <c r="AU436" s="4"/>
      <c r="AV436" s="4"/>
      <c r="AW436" s="4"/>
      <c r="AX436" s="4">
        <v>54560.129265</v>
      </c>
      <c r="AY436" s="4">
        <f t="shared" si="43"/>
        <v>53467.09713917542</v>
      </c>
      <c r="AZ436" s="4"/>
      <c r="BA436" s="4"/>
      <c r="BB436" s="4"/>
      <c r="BC436" s="4"/>
      <c r="BD436" s="4"/>
      <c r="BE436" s="4"/>
      <c r="BF436" s="4"/>
      <c r="BG436" s="4"/>
      <c r="BH436" s="4"/>
      <c r="BI436" s="4"/>
      <c r="BJ436" s="4"/>
      <c r="BK436" s="4"/>
      <c r="BL436" s="4"/>
      <c r="BM436" s="4">
        <v>1175118</v>
      </c>
      <c r="BN436" s="4">
        <f>BM436/BM$680*BN$680</f>
        <v>1175118.0000000002</v>
      </c>
      <c r="BO436" s="4">
        <v>8165.105566</v>
      </c>
      <c r="BP436" s="4"/>
      <c r="BQ436" s="4">
        <f t="shared" si="24"/>
        <v>4289545.014908</v>
      </c>
      <c r="BT436" s="4">
        <f t="shared" si="25"/>
        <v>3291716.483029763</v>
      </c>
      <c r="BW436" s="52"/>
      <c r="BX436" s="4">
        <f t="shared" si="21"/>
        <v>7076661.285289</v>
      </c>
      <c r="BY436" s="4">
        <f t="shared" si="22"/>
        <v>6132089.752207853</v>
      </c>
    </row>
    <row r="437" spans="1:77" ht="12.75">
      <c r="A437" s="3" t="s">
        <v>1070</v>
      </c>
      <c r="B437" s="3" t="s">
        <v>436</v>
      </c>
      <c r="C437" s="3" t="s">
        <v>1349</v>
      </c>
      <c r="D437" s="3"/>
      <c r="E437" s="4"/>
      <c r="F437" s="4">
        <v>2874880.283236</v>
      </c>
      <c r="G437" s="4">
        <f t="shared" si="44"/>
        <v>2929814.3013870064</v>
      </c>
      <c r="H437" s="4"/>
      <c r="I437" s="4"/>
      <c r="J437" s="4">
        <v>68314.322018</v>
      </c>
      <c r="K437" s="4">
        <f t="shared" si="45"/>
        <v>69619.69122853504</v>
      </c>
      <c r="L437" s="4"/>
      <c r="M437" s="4"/>
      <c r="N437" s="4"/>
      <c r="O437" s="4"/>
      <c r="P437" s="4"/>
      <c r="Q437" s="4"/>
      <c r="R437" s="4"/>
      <c r="S437" s="4"/>
      <c r="T437" s="4">
        <v>27121.599994</v>
      </c>
      <c r="U437" s="4">
        <f t="shared" si="46"/>
        <v>27639.847127643312</v>
      </c>
      <c r="V437" s="4"/>
      <c r="W437" s="4"/>
      <c r="X437" s="4"/>
      <c r="Y437" s="4"/>
      <c r="Z437" s="13">
        <f t="shared" si="47"/>
        <v>2970316.205248</v>
      </c>
      <c r="AC437" s="13">
        <f t="shared" si="48"/>
        <v>3027073.839743185</v>
      </c>
      <c r="AF437" s="51"/>
      <c r="AG437" s="4"/>
      <c r="AH437" s="4"/>
      <c r="AI437" s="4"/>
      <c r="AJ437" s="4"/>
      <c r="AK437" s="4"/>
      <c r="AL437" s="4">
        <v>3176106.824076</v>
      </c>
      <c r="AM437" s="4">
        <f t="shared" si="49"/>
        <v>2126536.1544501553</v>
      </c>
      <c r="AN437" s="4"/>
      <c r="AO437" s="4"/>
      <c r="AP437" s="4"/>
      <c r="AQ437" s="4"/>
      <c r="AR437" s="4">
        <v>98668.812391</v>
      </c>
      <c r="AS437" s="4">
        <f t="shared" si="31"/>
        <v>96727.37753069992</v>
      </c>
      <c r="AT437" s="4"/>
      <c r="AU437" s="4"/>
      <c r="AV437" s="4"/>
      <c r="AW437" s="4"/>
      <c r="AX437" s="4">
        <v>38474.152615</v>
      </c>
      <c r="AY437" s="4">
        <f t="shared" si="43"/>
        <v>37703.37942606898</v>
      </c>
      <c r="AZ437" s="4"/>
      <c r="BA437" s="4"/>
      <c r="BB437" s="4"/>
      <c r="BC437" s="4"/>
      <c r="BD437" s="4">
        <v>21548.235294</v>
      </c>
      <c r="BE437" s="4">
        <f>BD437/BD$680*BE$680</f>
        <v>30621.179806040636</v>
      </c>
      <c r="BF437" s="4">
        <v>4536.467385995557</v>
      </c>
      <c r="BG437" s="4">
        <f>BE437+BF437</f>
        <v>35157.647192036195</v>
      </c>
      <c r="BH437" s="4">
        <v>68459</v>
      </c>
      <c r="BI437" s="4">
        <v>68882</v>
      </c>
      <c r="BJ437" s="4"/>
      <c r="BK437" s="4">
        <f>BI437</f>
        <v>68882</v>
      </c>
      <c r="BL437" s="4">
        <f>BH437+BK437</f>
        <v>137341</v>
      </c>
      <c r="BM437" s="4"/>
      <c r="BN437" s="4"/>
      <c r="BO437" s="4">
        <v>8701.806106</v>
      </c>
      <c r="BP437" s="4"/>
      <c r="BQ437" s="4">
        <f t="shared" si="24"/>
        <v>3485377.2978679957</v>
      </c>
      <c r="BT437" s="4">
        <f t="shared" si="25"/>
        <v>2433465.5585989607</v>
      </c>
      <c r="BW437" s="52"/>
      <c r="BX437" s="4">
        <f t="shared" si="21"/>
        <v>6455693.503115996</v>
      </c>
      <c r="BY437" s="4">
        <f t="shared" si="22"/>
        <v>5460539.398342146</v>
      </c>
    </row>
    <row r="438" spans="1:77" ht="12.75">
      <c r="A438" s="3" t="s">
        <v>1071</v>
      </c>
      <c r="B438" s="3" t="s">
        <v>437</v>
      </c>
      <c r="C438" s="3" t="s">
        <v>1349</v>
      </c>
      <c r="D438" s="3"/>
      <c r="E438" s="4"/>
      <c r="F438" s="4">
        <v>2184668.112401</v>
      </c>
      <c r="G438" s="4">
        <f t="shared" si="44"/>
        <v>2226413.3629564336</v>
      </c>
      <c r="H438" s="4"/>
      <c r="I438" s="4"/>
      <c r="J438" s="4">
        <v>40848.977574</v>
      </c>
      <c r="K438" s="4">
        <f t="shared" si="45"/>
        <v>41629.531285605095</v>
      </c>
      <c r="L438" s="4"/>
      <c r="M438" s="4"/>
      <c r="N438" s="4"/>
      <c r="O438" s="4"/>
      <c r="P438" s="4"/>
      <c r="Q438" s="4"/>
      <c r="R438" s="4"/>
      <c r="S438" s="4"/>
      <c r="T438" s="4">
        <v>20439.354513</v>
      </c>
      <c r="U438" s="4">
        <f t="shared" si="46"/>
        <v>20829.915427261145</v>
      </c>
      <c r="V438" s="4"/>
      <c r="W438" s="4"/>
      <c r="X438" s="4"/>
      <c r="Y438" s="4"/>
      <c r="Z438" s="13">
        <f t="shared" si="47"/>
        <v>2245956.444488</v>
      </c>
      <c r="AC438" s="13">
        <f t="shared" si="48"/>
        <v>2288872.8096692995</v>
      </c>
      <c r="AF438" s="51"/>
      <c r="AG438" s="4"/>
      <c r="AH438" s="4"/>
      <c r="AI438" s="4"/>
      <c r="AJ438" s="4"/>
      <c r="AK438" s="4"/>
      <c r="AL438" s="4">
        <v>2413575.041924</v>
      </c>
      <c r="AM438" s="4">
        <f t="shared" si="49"/>
        <v>1615989.2826095698</v>
      </c>
      <c r="AN438" s="4"/>
      <c r="AO438" s="4"/>
      <c r="AP438" s="4"/>
      <c r="AQ438" s="4"/>
      <c r="AR438" s="4">
        <v>58999.63559</v>
      </c>
      <c r="AS438" s="4">
        <f t="shared" si="31"/>
        <v>57838.742431323706</v>
      </c>
      <c r="AT438" s="4"/>
      <c r="AU438" s="4"/>
      <c r="AV438" s="4"/>
      <c r="AW438" s="4"/>
      <c r="AX438" s="4">
        <v>28994.854471</v>
      </c>
      <c r="AY438" s="4">
        <f t="shared" si="43"/>
        <v>28413.985110033478</v>
      </c>
      <c r="AZ438" s="4"/>
      <c r="BA438" s="4"/>
      <c r="BB438" s="4"/>
      <c r="BC438" s="4"/>
      <c r="BD438" s="4">
        <v>5674.294118</v>
      </c>
      <c r="BE438" s="4">
        <f>BD438/BD$680*BE$680</f>
        <v>8063.471467105132</v>
      </c>
      <c r="BF438" s="4">
        <v>1194.587392129552</v>
      </c>
      <c r="BG438" s="4">
        <f>BE438+BF438</f>
        <v>9258.058859234685</v>
      </c>
      <c r="BH438" s="4"/>
      <c r="BI438" s="4"/>
      <c r="BJ438" s="4"/>
      <c r="BK438" s="4"/>
      <c r="BL438" s="4"/>
      <c r="BM438" s="4"/>
      <c r="BN438" s="4"/>
      <c r="BO438" s="4">
        <v>6579.729616</v>
      </c>
      <c r="BP438" s="4"/>
      <c r="BQ438" s="4">
        <f t="shared" si="24"/>
        <v>2515018.1431111293</v>
      </c>
      <c r="BT438" s="4">
        <f t="shared" si="25"/>
        <v>1711500.0690101618</v>
      </c>
      <c r="BW438" s="52"/>
      <c r="BX438" s="4">
        <f t="shared" si="21"/>
        <v>4760974.587599129</v>
      </c>
      <c r="BY438" s="4">
        <f t="shared" si="22"/>
        <v>4000372.8786794613</v>
      </c>
    </row>
    <row r="439" spans="1:77" ht="12.75">
      <c r="A439" s="3" t="s">
        <v>1072</v>
      </c>
      <c r="B439" s="3" t="s">
        <v>438</v>
      </c>
      <c r="C439" s="3" t="s">
        <v>1349</v>
      </c>
      <c r="D439" s="3"/>
      <c r="E439" s="4"/>
      <c r="F439" s="4">
        <v>1439738.056765</v>
      </c>
      <c r="G439" s="4">
        <f t="shared" si="44"/>
        <v>1467248.9750471339</v>
      </c>
      <c r="H439" s="4"/>
      <c r="I439" s="4"/>
      <c r="J439" s="4">
        <v>36590.863567</v>
      </c>
      <c r="K439" s="4">
        <f t="shared" si="45"/>
        <v>37290.05204280255</v>
      </c>
      <c r="L439" s="4"/>
      <c r="M439" s="4"/>
      <c r="N439" s="4"/>
      <c r="O439" s="4"/>
      <c r="P439" s="4"/>
      <c r="Q439" s="4"/>
      <c r="R439" s="4"/>
      <c r="S439" s="4"/>
      <c r="T439" s="4">
        <v>51623.16676</v>
      </c>
      <c r="U439" s="4">
        <f t="shared" si="46"/>
        <v>52609.596698089175</v>
      </c>
      <c r="V439" s="4"/>
      <c r="W439" s="4"/>
      <c r="X439" s="4"/>
      <c r="Y439" s="4"/>
      <c r="Z439" s="13">
        <f t="shared" si="47"/>
        <v>1527952.087092</v>
      </c>
      <c r="AC439" s="13">
        <f t="shared" si="48"/>
        <v>1557148.6237880257</v>
      </c>
      <c r="AF439" s="51"/>
      <c r="AG439" s="4"/>
      <c r="AH439" s="4"/>
      <c r="AI439" s="4"/>
      <c r="AJ439" s="4"/>
      <c r="AK439" s="4"/>
      <c r="AL439" s="4">
        <v>1590592.100004</v>
      </c>
      <c r="AM439" s="4">
        <f t="shared" si="49"/>
        <v>1064967.8348351312</v>
      </c>
      <c r="AN439" s="4"/>
      <c r="AO439" s="4"/>
      <c r="AP439" s="4"/>
      <c r="AQ439" s="4"/>
      <c r="AR439" s="4">
        <v>52849.489622</v>
      </c>
      <c r="AS439" s="4">
        <f t="shared" si="31"/>
        <v>51809.60843751159</v>
      </c>
      <c r="AT439" s="4"/>
      <c r="AU439" s="4"/>
      <c r="AV439" s="4"/>
      <c r="AW439" s="4"/>
      <c r="AX439" s="4">
        <v>73231.579139</v>
      </c>
      <c r="AY439" s="4">
        <f t="shared" si="43"/>
        <v>71764.49191427928</v>
      </c>
      <c r="AZ439" s="4"/>
      <c r="BA439" s="4"/>
      <c r="BB439" s="4"/>
      <c r="BC439" s="4"/>
      <c r="BD439" s="4">
        <v>79475.882353</v>
      </c>
      <c r="BE439" s="4">
        <f>BD439/BD$680*BE$680</f>
        <v>112939.42406748181</v>
      </c>
      <c r="BF439" s="4">
        <v>16731.752895235688</v>
      </c>
      <c r="BG439" s="4">
        <f>BE439+BF439</f>
        <v>129671.1769627175</v>
      </c>
      <c r="BH439" s="4"/>
      <c r="BI439" s="4"/>
      <c r="BJ439" s="4"/>
      <c r="BK439" s="4"/>
      <c r="BL439" s="4"/>
      <c r="BM439" s="4"/>
      <c r="BN439" s="4"/>
      <c r="BO439" s="4">
        <v>4476.271845</v>
      </c>
      <c r="BP439" s="4"/>
      <c r="BQ439" s="4">
        <f t="shared" si="24"/>
        <v>1817357.0758582358</v>
      </c>
      <c r="BT439" s="4">
        <f t="shared" si="25"/>
        <v>1318213.1121496395</v>
      </c>
      <c r="BW439" s="52"/>
      <c r="BX439" s="4">
        <f t="shared" si="21"/>
        <v>3345309.162950236</v>
      </c>
      <c r="BY439" s="4">
        <f t="shared" si="22"/>
        <v>2875361.735937665</v>
      </c>
    </row>
    <row r="440" spans="1:77" ht="12.75">
      <c r="A440" s="3" t="s">
        <v>1073</v>
      </c>
      <c r="B440" s="3" t="s">
        <v>439</v>
      </c>
      <c r="C440" s="3" t="s">
        <v>1349</v>
      </c>
      <c r="D440" s="3"/>
      <c r="E440" s="4"/>
      <c r="F440" s="4">
        <v>1892962.191256</v>
      </c>
      <c r="G440" s="4">
        <f t="shared" si="44"/>
        <v>1929133.4433182166</v>
      </c>
      <c r="H440" s="4"/>
      <c r="I440" s="4"/>
      <c r="J440" s="4">
        <v>83008.989963</v>
      </c>
      <c r="K440" s="4">
        <f t="shared" si="45"/>
        <v>84595.14900687899</v>
      </c>
      <c r="L440" s="4"/>
      <c r="M440" s="4"/>
      <c r="N440" s="4"/>
      <c r="O440" s="4"/>
      <c r="P440" s="4"/>
      <c r="Q440" s="4"/>
      <c r="R440" s="4"/>
      <c r="S440" s="4"/>
      <c r="T440" s="4">
        <v>27121.599994</v>
      </c>
      <c r="U440" s="4">
        <f t="shared" si="46"/>
        <v>27639.847127643312</v>
      </c>
      <c r="V440" s="4"/>
      <c r="W440" s="4"/>
      <c r="X440" s="4"/>
      <c r="Y440" s="4"/>
      <c r="Z440" s="13">
        <f t="shared" si="47"/>
        <v>2003092.781213</v>
      </c>
      <c r="AC440" s="13">
        <f t="shared" si="48"/>
        <v>2041368.439452739</v>
      </c>
      <c r="AF440" s="51"/>
      <c r="AG440" s="4"/>
      <c r="AH440" s="4"/>
      <c r="AI440" s="4"/>
      <c r="AJ440" s="4"/>
      <c r="AK440" s="4"/>
      <c r="AL440" s="4">
        <v>2091304.520897</v>
      </c>
      <c r="AM440" s="4">
        <f t="shared" si="49"/>
        <v>1400215.7106117897</v>
      </c>
      <c r="AN440" s="4"/>
      <c r="AO440" s="4"/>
      <c r="AP440" s="4"/>
      <c r="AQ440" s="4"/>
      <c r="AR440" s="4">
        <v>119892.845533</v>
      </c>
      <c r="AS440" s="4">
        <f t="shared" si="31"/>
        <v>117533.80072260994</v>
      </c>
      <c r="AT440" s="4"/>
      <c r="AU440" s="4"/>
      <c r="AV440" s="4"/>
      <c r="AW440" s="4"/>
      <c r="AX440" s="4">
        <v>38474.152615</v>
      </c>
      <c r="AY440" s="4">
        <f t="shared" si="43"/>
        <v>37703.37942606898</v>
      </c>
      <c r="AZ440" s="4"/>
      <c r="BA440" s="4"/>
      <c r="BB440" s="4"/>
      <c r="BC440" s="4"/>
      <c r="BD440" s="4">
        <v>50847.352941</v>
      </c>
      <c r="BE440" s="4">
        <f>BD440/BD$680*BE$680</f>
        <v>72256.77257669035</v>
      </c>
      <c r="BF440" s="4">
        <v>10704.698326051785</v>
      </c>
      <c r="BG440" s="4">
        <f>BE440+BF440</f>
        <v>82961.47090274213</v>
      </c>
      <c r="BH440" s="4">
        <v>82913</v>
      </c>
      <c r="BI440" s="4">
        <v>82783</v>
      </c>
      <c r="BJ440" s="4"/>
      <c r="BK440" s="4">
        <f aca="true" t="shared" si="50" ref="BK440:BK449">BI440</f>
        <v>82783</v>
      </c>
      <c r="BL440" s="4">
        <f aca="true" t="shared" si="51" ref="BL440:BL455">BH440+BK440</f>
        <v>165696</v>
      </c>
      <c r="BM440" s="4"/>
      <c r="BN440" s="4"/>
      <c r="BO440" s="4">
        <v>5868.238864</v>
      </c>
      <c r="BP440" s="4"/>
      <c r="BQ440" s="4">
        <f t="shared" si="24"/>
        <v>2482787.8091760515</v>
      </c>
      <c r="BT440" s="4">
        <f t="shared" si="25"/>
        <v>1804110.361663211</v>
      </c>
      <c r="BW440" s="52"/>
      <c r="BX440" s="4">
        <f t="shared" si="21"/>
        <v>4485880.5903890515</v>
      </c>
      <c r="BY440" s="4">
        <f t="shared" si="22"/>
        <v>3845478.8011159496</v>
      </c>
    </row>
    <row r="441" spans="1:77" ht="12.75">
      <c r="A441" s="3" t="s">
        <v>1074</v>
      </c>
      <c r="B441" s="3" t="s">
        <v>440</v>
      </c>
      <c r="C441" s="3" t="s">
        <v>1349</v>
      </c>
      <c r="D441" s="3"/>
      <c r="E441" s="4"/>
      <c r="F441" s="4">
        <v>2774428.593978</v>
      </c>
      <c r="G441" s="4">
        <f t="shared" si="44"/>
        <v>2827443.1530985986</v>
      </c>
      <c r="H441" s="4"/>
      <c r="I441" s="4"/>
      <c r="J441" s="4">
        <v>63613.494484</v>
      </c>
      <c r="K441" s="4">
        <f t="shared" si="45"/>
        <v>64829.03896458599</v>
      </c>
      <c r="L441" s="4"/>
      <c r="M441" s="4"/>
      <c r="N441" s="4"/>
      <c r="O441" s="4"/>
      <c r="P441" s="4"/>
      <c r="Q441" s="4"/>
      <c r="R441" s="4"/>
      <c r="S441" s="4"/>
      <c r="T441" s="4">
        <v>31778.848552</v>
      </c>
      <c r="U441" s="4">
        <f t="shared" si="46"/>
        <v>32386.08769630573</v>
      </c>
      <c r="V441" s="4"/>
      <c r="W441" s="4"/>
      <c r="X441" s="4"/>
      <c r="Y441" s="4"/>
      <c r="Z441" s="13">
        <f t="shared" si="47"/>
        <v>2869820.9370139996</v>
      </c>
      <c r="AC441" s="13">
        <f t="shared" si="48"/>
        <v>2924658.2797594904</v>
      </c>
      <c r="AF441" s="51"/>
      <c r="AG441" s="4"/>
      <c r="AH441" s="4"/>
      <c r="AI441" s="4"/>
      <c r="AJ441" s="4"/>
      <c r="AK441" s="4"/>
      <c r="AL441" s="4">
        <v>3065129.92615</v>
      </c>
      <c r="AM441" s="4">
        <f t="shared" si="49"/>
        <v>2052232.4868406693</v>
      </c>
      <c r="AN441" s="4"/>
      <c r="AO441" s="4"/>
      <c r="AP441" s="4"/>
      <c r="AQ441" s="4"/>
      <c r="AR441" s="4">
        <v>91879.239482</v>
      </c>
      <c r="AS441" s="4">
        <f t="shared" si="31"/>
        <v>90071.39813734747</v>
      </c>
      <c r="AT441" s="4"/>
      <c r="AU441" s="4"/>
      <c r="AV441" s="4"/>
      <c r="AW441" s="4"/>
      <c r="AX441" s="4">
        <v>45080.831122</v>
      </c>
      <c r="AY441" s="4">
        <f t="shared" si="43"/>
        <v>44177.70282411989</v>
      </c>
      <c r="AZ441" s="4"/>
      <c r="BA441" s="4"/>
      <c r="BB441" s="4"/>
      <c r="BC441" s="4"/>
      <c r="BD441" s="4"/>
      <c r="BE441" s="4"/>
      <c r="BF441" s="4"/>
      <c r="BG441" s="4"/>
      <c r="BH441" s="4">
        <v>62808</v>
      </c>
      <c r="BI441" s="4">
        <v>63767</v>
      </c>
      <c r="BJ441" s="4"/>
      <c r="BK441" s="4">
        <f t="shared" si="50"/>
        <v>63767</v>
      </c>
      <c r="BL441" s="4">
        <f t="shared" si="51"/>
        <v>126575</v>
      </c>
      <c r="BM441" s="4"/>
      <c r="BN441" s="4"/>
      <c r="BO441" s="4">
        <v>8407.39626</v>
      </c>
      <c r="BP441" s="4"/>
      <c r="BQ441" s="4">
        <f t="shared" si="24"/>
        <v>3337072.393014</v>
      </c>
      <c r="BT441" s="4">
        <f t="shared" si="25"/>
        <v>2313056.587802137</v>
      </c>
      <c r="BW441" s="52"/>
      <c r="BX441" s="4">
        <f t="shared" si="21"/>
        <v>6206893.330027999</v>
      </c>
      <c r="BY441" s="4">
        <f t="shared" si="22"/>
        <v>5237714.867561627</v>
      </c>
    </row>
    <row r="442" spans="1:77" ht="12.75">
      <c r="A442" s="3" t="s">
        <v>1075</v>
      </c>
      <c r="B442" s="3" t="s">
        <v>441</v>
      </c>
      <c r="C442" s="3" t="s">
        <v>1349</v>
      </c>
      <c r="D442" s="3"/>
      <c r="E442" s="4"/>
      <c r="F442" s="4">
        <v>2549121.226788</v>
      </c>
      <c r="G442" s="4">
        <f t="shared" si="44"/>
        <v>2597830.5495928666</v>
      </c>
      <c r="H442" s="4"/>
      <c r="I442" s="4"/>
      <c r="J442" s="4">
        <v>36705.309291</v>
      </c>
      <c r="K442" s="4">
        <f t="shared" si="45"/>
        <v>37406.6846277707</v>
      </c>
      <c r="L442" s="4"/>
      <c r="M442" s="4"/>
      <c r="N442" s="4"/>
      <c r="O442" s="4"/>
      <c r="P442" s="4"/>
      <c r="Q442" s="4"/>
      <c r="R442" s="4"/>
      <c r="S442" s="4"/>
      <c r="T442" s="4">
        <v>20439.354513</v>
      </c>
      <c r="U442" s="4">
        <f t="shared" si="46"/>
        <v>20829.915427261145</v>
      </c>
      <c r="V442" s="4"/>
      <c r="W442" s="4"/>
      <c r="X442" s="4"/>
      <c r="Y442" s="4"/>
      <c r="Z442" s="13">
        <f t="shared" si="47"/>
        <v>2606265.8905920004</v>
      </c>
      <c r="AC442" s="13">
        <f t="shared" si="48"/>
        <v>2656067.1496478985</v>
      </c>
      <c r="AF442" s="51"/>
      <c r="AG442" s="4"/>
      <c r="AH442" s="4"/>
      <c r="AI442" s="4"/>
      <c r="AJ442" s="4"/>
      <c r="AK442" s="4"/>
      <c r="AL442" s="4">
        <v>2816215.120682</v>
      </c>
      <c r="AM442" s="4">
        <f t="shared" si="49"/>
        <v>1885573.6297792033</v>
      </c>
      <c r="AN442" s="4"/>
      <c r="AO442" s="4"/>
      <c r="AP442" s="4"/>
      <c r="AQ442" s="4"/>
      <c r="AR442" s="4">
        <v>53014.787663</v>
      </c>
      <c r="AS442" s="4">
        <f t="shared" si="31"/>
        <v>51971.6540285088</v>
      </c>
      <c r="AT442" s="4"/>
      <c r="AU442" s="4"/>
      <c r="AV442" s="4"/>
      <c r="AW442" s="4"/>
      <c r="AX442" s="4">
        <v>28994.854471</v>
      </c>
      <c r="AY442" s="4">
        <f t="shared" si="43"/>
        <v>28413.985110033478</v>
      </c>
      <c r="AZ442" s="4"/>
      <c r="BA442" s="4"/>
      <c r="BB442" s="4"/>
      <c r="BC442" s="4"/>
      <c r="BD442" s="4"/>
      <c r="BE442" s="4"/>
      <c r="BF442" s="4"/>
      <c r="BG442" s="4"/>
      <c r="BH442" s="4">
        <v>36052</v>
      </c>
      <c r="BI442" s="4">
        <v>36784</v>
      </c>
      <c r="BJ442" s="4"/>
      <c r="BK442" s="4">
        <f t="shared" si="50"/>
        <v>36784</v>
      </c>
      <c r="BL442" s="4">
        <f t="shared" si="51"/>
        <v>72836</v>
      </c>
      <c r="BM442" s="4">
        <v>1063734</v>
      </c>
      <c r="BN442" s="4">
        <f>BM442/BM$680*BN$680</f>
        <v>1063734</v>
      </c>
      <c r="BO442" s="4">
        <v>7635.288257</v>
      </c>
      <c r="BP442" s="4"/>
      <c r="BQ442" s="4">
        <f t="shared" si="24"/>
        <v>4042430.0510730003</v>
      </c>
      <c r="BT442" s="4">
        <f t="shared" si="25"/>
        <v>3102529.268917746</v>
      </c>
      <c r="BW442" s="52"/>
      <c r="BX442" s="4">
        <f t="shared" si="21"/>
        <v>6648695.941665001</v>
      </c>
      <c r="BY442" s="4">
        <f t="shared" si="22"/>
        <v>5758596.418565644</v>
      </c>
    </row>
    <row r="443" spans="1:77" ht="12.75">
      <c r="A443" s="3" t="s">
        <v>1076</v>
      </c>
      <c r="B443" s="3" t="s">
        <v>442</v>
      </c>
      <c r="C443" s="3" t="s">
        <v>1349</v>
      </c>
      <c r="D443" s="3"/>
      <c r="E443" s="4"/>
      <c r="F443" s="4">
        <v>2923644.937052</v>
      </c>
      <c r="G443" s="4">
        <f t="shared" si="44"/>
        <v>2979510.7638746495</v>
      </c>
      <c r="H443" s="4"/>
      <c r="I443" s="4"/>
      <c r="J443" s="4">
        <v>46205.118875</v>
      </c>
      <c r="K443" s="4">
        <f t="shared" si="45"/>
        <v>47088.01923566879</v>
      </c>
      <c r="L443" s="4"/>
      <c r="M443" s="4"/>
      <c r="N443" s="4"/>
      <c r="O443" s="4"/>
      <c r="P443" s="4"/>
      <c r="Q443" s="4"/>
      <c r="R443" s="4"/>
      <c r="S443" s="4"/>
      <c r="T443" s="4">
        <v>34613.925701</v>
      </c>
      <c r="U443" s="4">
        <f t="shared" si="46"/>
        <v>35275.33829401274</v>
      </c>
      <c r="V443" s="4"/>
      <c r="W443" s="4"/>
      <c r="X443" s="4"/>
      <c r="Y443" s="4"/>
      <c r="Z443" s="13">
        <f t="shared" si="47"/>
        <v>3004463.981628</v>
      </c>
      <c r="AC443" s="13">
        <f t="shared" si="48"/>
        <v>3061874.121404331</v>
      </c>
      <c r="AF443" s="51"/>
      <c r="AG443" s="4"/>
      <c r="AH443" s="4"/>
      <c r="AI443" s="4"/>
      <c r="AJ443" s="4"/>
      <c r="AK443" s="4"/>
      <c r="AL443" s="4">
        <v>3229980.980388</v>
      </c>
      <c r="AM443" s="4">
        <f t="shared" si="49"/>
        <v>2162607.1519114254</v>
      </c>
      <c r="AN443" s="4"/>
      <c r="AO443" s="4"/>
      <c r="AP443" s="4"/>
      <c r="AQ443" s="4"/>
      <c r="AR443" s="4">
        <v>66735.70155</v>
      </c>
      <c r="AS443" s="4">
        <f t="shared" si="31"/>
        <v>65422.59141645217</v>
      </c>
      <c r="AT443" s="4"/>
      <c r="AU443" s="4"/>
      <c r="AV443" s="4"/>
      <c r="AW443" s="4"/>
      <c r="AX443" s="4">
        <v>49102.614164</v>
      </c>
      <c r="AY443" s="4">
        <f t="shared" si="43"/>
        <v>48118.91534461963</v>
      </c>
      <c r="AZ443" s="4"/>
      <c r="BA443" s="4"/>
      <c r="BB443" s="4"/>
      <c r="BC443" s="4"/>
      <c r="BD443" s="4"/>
      <c r="BE443" s="4"/>
      <c r="BF443" s="4"/>
      <c r="BG443" s="4"/>
      <c r="BH443" s="4"/>
      <c r="BI443" s="4">
        <v>47903</v>
      </c>
      <c r="BJ443" s="4"/>
      <c r="BK443" s="4">
        <f t="shared" si="50"/>
        <v>47903</v>
      </c>
      <c r="BL443" s="4">
        <f t="shared" si="51"/>
        <v>47903</v>
      </c>
      <c r="BM443" s="4">
        <v>38689</v>
      </c>
      <c r="BN443" s="4">
        <f>BM443/BM$680*BN$680</f>
        <v>38689</v>
      </c>
      <c r="BO443" s="4">
        <v>8801.845061</v>
      </c>
      <c r="BP443" s="4"/>
      <c r="BQ443" s="4">
        <f t="shared" si="24"/>
        <v>3441213.141163</v>
      </c>
      <c r="BT443" s="4">
        <f t="shared" si="25"/>
        <v>2362740.658672497</v>
      </c>
      <c r="BW443" s="52"/>
      <c r="BX443" s="4">
        <f t="shared" si="21"/>
        <v>6445677.122791</v>
      </c>
      <c r="BY443" s="4">
        <f t="shared" si="22"/>
        <v>5424614.780076828</v>
      </c>
    </row>
    <row r="444" spans="1:77" ht="12.75">
      <c r="A444" s="3" t="s">
        <v>1077</v>
      </c>
      <c r="B444" s="3" t="s">
        <v>443</v>
      </c>
      <c r="C444" s="3" t="s">
        <v>1349</v>
      </c>
      <c r="D444" s="3"/>
      <c r="E444" s="4"/>
      <c r="F444" s="4">
        <v>2860373.627765</v>
      </c>
      <c r="G444" s="4">
        <f t="shared" si="44"/>
        <v>2915030.448677707</v>
      </c>
      <c r="H444" s="4"/>
      <c r="I444" s="4"/>
      <c r="J444" s="4">
        <v>59810.312409</v>
      </c>
      <c r="K444" s="4">
        <f t="shared" si="45"/>
        <v>60953.18462063694</v>
      </c>
      <c r="L444" s="4"/>
      <c r="M444" s="4"/>
      <c r="N444" s="4"/>
      <c r="O444" s="4"/>
      <c r="P444" s="4"/>
      <c r="Q444" s="4"/>
      <c r="R444" s="4"/>
      <c r="S444" s="4"/>
      <c r="T444" s="4">
        <v>40283.672721</v>
      </c>
      <c r="U444" s="4">
        <f t="shared" si="46"/>
        <v>41053.424429044586</v>
      </c>
      <c r="V444" s="4"/>
      <c r="W444" s="4"/>
      <c r="X444" s="4"/>
      <c r="Y444" s="4"/>
      <c r="Z444" s="13">
        <f t="shared" si="47"/>
        <v>2960467.612895</v>
      </c>
      <c r="AC444" s="13">
        <f t="shared" si="48"/>
        <v>3017037.0577273886</v>
      </c>
      <c r="AF444" s="51"/>
      <c r="AG444" s="4"/>
      <c r="AH444" s="4"/>
      <c r="AI444" s="4"/>
      <c r="AJ444" s="4"/>
      <c r="AK444" s="4"/>
      <c r="AL444" s="4">
        <v>3160080.178478</v>
      </c>
      <c r="AM444" s="4">
        <f t="shared" si="49"/>
        <v>2115805.645941953</v>
      </c>
      <c r="AN444" s="4"/>
      <c r="AO444" s="4"/>
      <c r="AP444" s="4"/>
      <c r="AQ444" s="4"/>
      <c r="AR444" s="4">
        <v>86386.167934</v>
      </c>
      <c r="AS444" s="4">
        <f t="shared" si="31"/>
        <v>84686.40978539476</v>
      </c>
      <c r="AT444" s="4"/>
      <c r="AU444" s="4"/>
      <c r="AV444" s="4"/>
      <c r="AW444" s="4"/>
      <c r="AX444" s="4">
        <v>57145.602489</v>
      </c>
      <c r="AY444" s="4">
        <f t="shared" si="43"/>
        <v>56000.77420117285</v>
      </c>
      <c r="AZ444" s="4"/>
      <c r="BA444" s="4"/>
      <c r="BB444" s="4"/>
      <c r="BC444" s="4"/>
      <c r="BD444" s="4"/>
      <c r="BE444" s="4"/>
      <c r="BF444" s="4"/>
      <c r="BG444" s="4"/>
      <c r="BH444" s="4">
        <v>60404</v>
      </c>
      <c r="BI444" s="4">
        <v>60501</v>
      </c>
      <c r="BJ444" s="4"/>
      <c r="BK444" s="4">
        <f t="shared" si="50"/>
        <v>60501</v>
      </c>
      <c r="BL444" s="4">
        <f t="shared" si="51"/>
        <v>120905</v>
      </c>
      <c r="BM444" s="4"/>
      <c r="BN444" s="4"/>
      <c r="BO444" s="4">
        <v>8672.953777</v>
      </c>
      <c r="BP444" s="4"/>
      <c r="BQ444" s="4">
        <f t="shared" si="24"/>
        <v>3433189.9026780003</v>
      </c>
      <c r="BT444" s="4">
        <f t="shared" si="25"/>
        <v>2377397.8299285206</v>
      </c>
      <c r="BW444" s="52"/>
      <c r="BX444" s="4">
        <f t="shared" si="21"/>
        <v>6393657.515573001</v>
      </c>
      <c r="BY444" s="4">
        <f t="shared" si="22"/>
        <v>5394434.887655909</v>
      </c>
    </row>
    <row r="445" spans="1:77" ht="12.75">
      <c r="A445" s="3" t="s">
        <v>1078</v>
      </c>
      <c r="B445" s="3" t="s">
        <v>444</v>
      </c>
      <c r="C445" s="3" t="s">
        <v>1349</v>
      </c>
      <c r="D445" s="3"/>
      <c r="E445" s="4"/>
      <c r="F445" s="4">
        <v>1999226.963089</v>
      </c>
      <c r="G445" s="4">
        <f t="shared" si="44"/>
        <v>2037428.7521926113</v>
      </c>
      <c r="H445" s="4"/>
      <c r="I445" s="4"/>
      <c r="J445" s="4">
        <v>56828.614404</v>
      </c>
      <c r="K445" s="4">
        <f t="shared" si="45"/>
        <v>57914.511494522296</v>
      </c>
      <c r="L445" s="4"/>
      <c r="M445" s="4"/>
      <c r="N445" s="4"/>
      <c r="O445" s="4"/>
      <c r="P445" s="4"/>
      <c r="Q445" s="4"/>
      <c r="R445" s="4"/>
      <c r="S445" s="4"/>
      <c r="T445" s="4">
        <v>52635.665222</v>
      </c>
      <c r="U445" s="4">
        <f t="shared" si="46"/>
        <v>53641.4422644586</v>
      </c>
      <c r="V445" s="4"/>
      <c r="W445" s="4"/>
      <c r="X445" s="4"/>
      <c r="Y445" s="4"/>
      <c r="Z445" s="13">
        <f t="shared" si="47"/>
        <v>2108691.242715</v>
      </c>
      <c r="AC445" s="13">
        <f t="shared" si="48"/>
        <v>2148984.705951592</v>
      </c>
      <c r="AF445" s="51"/>
      <c r="AG445" s="4"/>
      <c r="AH445" s="4"/>
      <c r="AI445" s="4"/>
      <c r="AJ445" s="4"/>
      <c r="AK445" s="4"/>
      <c r="AL445" s="4">
        <v>2208703.589284</v>
      </c>
      <c r="AM445" s="4">
        <f t="shared" si="49"/>
        <v>1478819.2895378077</v>
      </c>
      <c r="AN445" s="4"/>
      <c r="AO445" s="4"/>
      <c r="AP445" s="4"/>
      <c r="AQ445" s="4"/>
      <c r="AR445" s="4">
        <v>82079.595133</v>
      </c>
      <c r="AS445" s="4">
        <f t="shared" si="31"/>
        <v>80464.57430271931</v>
      </c>
      <c r="AT445" s="4"/>
      <c r="AU445" s="4"/>
      <c r="AV445" s="4"/>
      <c r="AW445" s="4"/>
      <c r="AX445" s="4">
        <v>74667.888957</v>
      </c>
      <c r="AY445" s="4">
        <f t="shared" si="43"/>
        <v>73172.02737278161</v>
      </c>
      <c r="AZ445" s="4"/>
      <c r="BA445" s="4"/>
      <c r="BB445" s="4"/>
      <c r="BC445" s="4"/>
      <c r="BD445" s="4"/>
      <c r="BE445" s="4"/>
      <c r="BF445" s="4"/>
      <c r="BG445" s="4"/>
      <c r="BH445" s="4">
        <v>56665</v>
      </c>
      <c r="BI445" s="4">
        <v>59130</v>
      </c>
      <c r="BJ445" s="4"/>
      <c r="BK445" s="4">
        <f t="shared" si="50"/>
        <v>59130</v>
      </c>
      <c r="BL445" s="4">
        <f t="shared" si="51"/>
        <v>115795</v>
      </c>
      <c r="BM445" s="4"/>
      <c r="BN445" s="4"/>
      <c r="BO445" s="4">
        <v>6177.598971</v>
      </c>
      <c r="BP445" s="4"/>
      <c r="BQ445" s="4">
        <f t="shared" si="24"/>
        <v>2487423.672345</v>
      </c>
      <c r="BT445" s="4">
        <f t="shared" si="25"/>
        <v>1748250.8912133086</v>
      </c>
      <c r="BW445" s="52"/>
      <c r="BX445" s="4">
        <f t="shared" si="21"/>
        <v>4596114.9150600005</v>
      </c>
      <c r="BY445" s="4">
        <f t="shared" si="22"/>
        <v>3897235.5971649005</v>
      </c>
    </row>
    <row r="446" spans="1:77" ht="12.75">
      <c r="A446" s="3" t="s">
        <v>1079</v>
      </c>
      <c r="B446" s="3" t="s">
        <v>445</v>
      </c>
      <c r="C446" s="3" t="s">
        <v>1349</v>
      </c>
      <c r="D446" s="3"/>
      <c r="E446" s="4"/>
      <c r="F446" s="4">
        <v>2394837.457032</v>
      </c>
      <c r="G446" s="4">
        <f t="shared" si="44"/>
        <v>2440598.6823256053</v>
      </c>
      <c r="H446" s="4"/>
      <c r="I446" s="4"/>
      <c r="J446" s="4">
        <v>57434.647273</v>
      </c>
      <c r="K446" s="4">
        <f t="shared" si="45"/>
        <v>58532.124609426755</v>
      </c>
      <c r="L446" s="4"/>
      <c r="M446" s="4"/>
      <c r="N446" s="4"/>
      <c r="O446" s="4"/>
      <c r="P446" s="4"/>
      <c r="Q446" s="4"/>
      <c r="R446" s="4"/>
      <c r="S446" s="4"/>
      <c r="T446" s="4">
        <v>43118.342591</v>
      </c>
      <c r="U446" s="4">
        <f t="shared" si="46"/>
        <v>43942.25996535032</v>
      </c>
      <c r="V446" s="4"/>
      <c r="W446" s="4"/>
      <c r="X446" s="4"/>
      <c r="Y446" s="4"/>
      <c r="Z446" s="13">
        <f t="shared" si="47"/>
        <v>2495390.446896</v>
      </c>
      <c r="AC446" s="13">
        <f t="shared" si="48"/>
        <v>2543073.0669003823</v>
      </c>
      <c r="AF446" s="51"/>
      <c r="AG446" s="4"/>
      <c r="AH446" s="4"/>
      <c r="AI446" s="4"/>
      <c r="AJ446" s="4"/>
      <c r="AK446" s="4"/>
      <c r="AL446" s="4">
        <v>2645765.680813</v>
      </c>
      <c r="AM446" s="4">
        <f t="shared" si="49"/>
        <v>1771450.6117372469</v>
      </c>
      <c r="AN446" s="4"/>
      <c r="AO446" s="4"/>
      <c r="AP446" s="4"/>
      <c r="AQ446" s="4"/>
      <c r="AR446" s="4">
        <v>82954.910026</v>
      </c>
      <c r="AS446" s="4">
        <f t="shared" si="31"/>
        <v>81322.66625763147</v>
      </c>
      <c r="AT446" s="4"/>
      <c r="AU446" s="4"/>
      <c r="AV446" s="4"/>
      <c r="AW446" s="4"/>
      <c r="AX446" s="4">
        <v>61166.807772</v>
      </c>
      <c r="AY446" s="4">
        <f t="shared" si="43"/>
        <v>59941.42053722633</v>
      </c>
      <c r="AZ446" s="4"/>
      <c r="BA446" s="4"/>
      <c r="BB446" s="4"/>
      <c r="BC446" s="4"/>
      <c r="BD446" s="4"/>
      <c r="BE446" s="4"/>
      <c r="BF446" s="4"/>
      <c r="BG446" s="4"/>
      <c r="BH446" s="4"/>
      <c r="BI446" s="4">
        <v>58038</v>
      </c>
      <c r="BJ446" s="4"/>
      <c r="BK446" s="4">
        <f t="shared" si="50"/>
        <v>58038</v>
      </c>
      <c r="BL446" s="4">
        <f t="shared" si="51"/>
        <v>58038</v>
      </c>
      <c r="BM446" s="4"/>
      <c r="BN446" s="4"/>
      <c r="BO446" s="4">
        <v>7310.468761</v>
      </c>
      <c r="BP446" s="4"/>
      <c r="BQ446" s="4">
        <f t="shared" si="24"/>
        <v>2855235.8673719997</v>
      </c>
      <c r="BT446" s="4">
        <f t="shared" si="25"/>
        <v>1970752.6985321047</v>
      </c>
      <c r="BW446" s="52"/>
      <c r="BX446" s="4">
        <f t="shared" si="21"/>
        <v>5350626.3142679995</v>
      </c>
      <c r="BY446" s="4">
        <f t="shared" si="22"/>
        <v>4513825.765432487</v>
      </c>
    </row>
    <row r="447" spans="1:77" ht="12.75">
      <c r="A447" s="3" t="s">
        <v>1080</v>
      </c>
      <c r="B447" s="3" t="s">
        <v>446</v>
      </c>
      <c r="C447" s="3" t="s">
        <v>1349</v>
      </c>
      <c r="D447" s="3"/>
      <c r="E447" s="4"/>
      <c r="F447" s="4">
        <v>2172862.224732</v>
      </c>
      <c r="G447" s="4">
        <f t="shared" si="44"/>
        <v>2214381.8850771976</v>
      </c>
      <c r="H447" s="4"/>
      <c r="I447" s="4"/>
      <c r="J447" s="4">
        <v>48733.106789</v>
      </c>
      <c r="K447" s="4">
        <f t="shared" si="45"/>
        <v>49664.31265121019</v>
      </c>
      <c r="L447" s="4"/>
      <c r="M447" s="4"/>
      <c r="N447" s="4"/>
      <c r="O447" s="4"/>
      <c r="P447" s="4"/>
      <c r="Q447" s="4"/>
      <c r="R447" s="4"/>
      <c r="S447" s="4"/>
      <c r="T447" s="4">
        <v>26109.101532</v>
      </c>
      <c r="U447" s="4">
        <f t="shared" si="46"/>
        <v>26608.001561273886</v>
      </c>
      <c r="V447" s="4"/>
      <c r="W447" s="4"/>
      <c r="X447" s="4"/>
      <c r="Y447" s="4"/>
      <c r="Z447" s="13">
        <f t="shared" si="47"/>
        <v>2247704.433053</v>
      </c>
      <c r="AC447" s="13">
        <f t="shared" si="48"/>
        <v>2290654.1992896814</v>
      </c>
      <c r="AF447" s="51"/>
      <c r="AG447" s="4"/>
      <c r="AH447" s="4"/>
      <c r="AI447" s="4"/>
      <c r="AJ447" s="4"/>
      <c r="AK447" s="4"/>
      <c r="AL447" s="4">
        <v>2400532.147371</v>
      </c>
      <c r="AM447" s="4">
        <f t="shared" si="49"/>
        <v>1607256.5200288582</v>
      </c>
      <c r="AN447" s="4"/>
      <c r="AO447" s="4"/>
      <c r="AP447" s="4"/>
      <c r="AQ447" s="4"/>
      <c r="AR447" s="4">
        <v>70386.96468</v>
      </c>
      <c r="AS447" s="4">
        <f t="shared" si="31"/>
        <v>69002.01128257847</v>
      </c>
      <c r="AT447" s="4"/>
      <c r="AU447" s="4"/>
      <c r="AV447" s="4"/>
      <c r="AW447" s="4"/>
      <c r="AX447" s="4">
        <v>37037.842797</v>
      </c>
      <c r="AY447" s="4">
        <f t="shared" si="43"/>
        <v>36295.84396756666</v>
      </c>
      <c r="AZ447" s="4"/>
      <c r="BA447" s="4"/>
      <c r="BB447" s="4"/>
      <c r="BC447" s="4"/>
      <c r="BD447" s="4"/>
      <c r="BE447" s="4"/>
      <c r="BF447" s="4"/>
      <c r="BG447" s="4"/>
      <c r="BH447" s="4">
        <v>48944</v>
      </c>
      <c r="BI447" s="4">
        <v>49969</v>
      </c>
      <c r="BJ447" s="4"/>
      <c r="BK447" s="4">
        <f t="shared" si="50"/>
        <v>49969</v>
      </c>
      <c r="BL447" s="4">
        <f t="shared" si="51"/>
        <v>98913</v>
      </c>
      <c r="BM447" s="4"/>
      <c r="BN447" s="4"/>
      <c r="BO447" s="4">
        <v>6584.850504</v>
      </c>
      <c r="BP447" s="4"/>
      <c r="BQ447" s="4">
        <f t="shared" si="24"/>
        <v>2613454.8053520005</v>
      </c>
      <c r="BT447" s="4">
        <f t="shared" si="25"/>
        <v>1811467.3752790035</v>
      </c>
      <c r="BW447" s="52"/>
      <c r="BX447" s="4">
        <f t="shared" si="21"/>
        <v>4861159.238405</v>
      </c>
      <c r="BY447" s="4">
        <f t="shared" si="22"/>
        <v>4102121.574568685</v>
      </c>
    </row>
    <row r="448" spans="1:77" ht="12.75">
      <c r="A448" s="3" t="s">
        <v>1081</v>
      </c>
      <c r="B448" s="3" t="s">
        <v>447</v>
      </c>
      <c r="C448" s="3" t="s">
        <v>1349</v>
      </c>
      <c r="D448" s="3"/>
      <c r="E448" s="4"/>
      <c r="F448" s="4">
        <v>1376859.417411</v>
      </c>
      <c r="G448" s="4">
        <f t="shared" si="44"/>
        <v>1403168.8330303184</v>
      </c>
      <c r="H448" s="4"/>
      <c r="I448" s="4"/>
      <c r="J448" s="4">
        <v>57698.972092</v>
      </c>
      <c r="K448" s="4">
        <f t="shared" si="45"/>
        <v>58801.5002211465</v>
      </c>
      <c r="L448" s="4"/>
      <c r="M448" s="4"/>
      <c r="N448" s="4"/>
      <c r="O448" s="4"/>
      <c r="P448" s="4"/>
      <c r="Q448" s="4"/>
      <c r="R448" s="4"/>
      <c r="S448" s="4"/>
      <c r="T448" s="4">
        <v>57292.913779</v>
      </c>
      <c r="U448" s="4">
        <f t="shared" si="46"/>
        <v>58387.68283210191</v>
      </c>
      <c r="V448" s="4"/>
      <c r="W448" s="4"/>
      <c r="X448" s="4"/>
      <c r="Y448" s="4"/>
      <c r="Z448" s="13">
        <f t="shared" si="47"/>
        <v>1491851.3032820001</v>
      </c>
      <c r="AC448" s="13">
        <f t="shared" si="48"/>
        <v>1520358.0160835667</v>
      </c>
      <c r="AF448" s="51"/>
      <c r="AG448" s="4"/>
      <c r="AH448" s="4"/>
      <c r="AI448" s="4"/>
      <c r="AJ448" s="4"/>
      <c r="AK448" s="4"/>
      <c r="AL448" s="4">
        <v>1521125.111516</v>
      </c>
      <c r="AM448" s="4">
        <f t="shared" si="49"/>
        <v>1018456.7850679433</v>
      </c>
      <c r="AN448" s="4"/>
      <c r="AO448" s="4"/>
      <c r="AP448" s="4"/>
      <c r="AQ448" s="4"/>
      <c r="AR448" s="4">
        <v>83336.683793</v>
      </c>
      <c r="AS448" s="4">
        <f t="shared" si="31"/>
        <v>81696.92813833184</v>
      </c>
      <c r="AT448" s="4"/>
      <c r="AU448" s="4"/>
      <c r="AV448" s="4"/>
      <c r="AW448" s="4"/>
      <c r="AX448" s="4">
        <v>81274.567465</v>
      </c>
      <c r="AY448" s="4">
        <f t="shared" si="43"/>
        <v>79646.35077181249</v>
      </c>
      <c r="AZ448" s="4"/>
      <c r="BA448" s="4"/>
      <c r="BB448" s="4"/>
      <c r="BC448" s="4"/>
      <c r="BD448" s="4">
        <v>47051.823529</v>
      </c>
      <c r="BE448" s="4">
        <f>BD448/BD$680*BE$680</f>
        <v>66863.12492999282</v>
      </c>
      <c r="BF448" s="4">
        <v>9905.640066514437</v>
      </c>
      <c r="BG448" s="4">
        <f>BE448+BF448</f>
        <v>76768.76499650725</v>
      </c>
      <c r="BH448" s="4">
        <v>56727</v>
      </c>
      <c r="BI448" s="4">
        <v>57354</v>
      </c>
      <c r="BJ448" s="4"/>
      <c r="BK448" s="4">
        <f t="shared" si="50"/>
        <v>57354</v>
      </c>
      <c r="BL448" s="4">
        <f t="shared" si="51"/>
        <v>114081</v>
      </c>
      <c r="BM448" s="4"/>
      <c r="BN448" s="4"/>
      <c r="BO448" s="4">
        <v>4370.511381</v>
      </c>
      <c r="BP448" s="4"/>
      <c r="BQ448" s="4">
        <f t="shared" si="24"/>
        <v>1861145.3377505145</v>
      </c>
      <c r="BT448" s="4">
        <f t="shared" si="25"/>
        <v>1370649.8289745948</v>
      </c>
      <c r="BW448" s="52"/>
      <c r="BX448" s="4">
        <f t="shared" si="21"/>
        <v>3352996.6410325146</v>
      </c>
      <c r="BY448" s="4">
        <f t="shared" si="22"/>
        <v>2891007.8450581618</v>
      </c>
    </row>
    <row r="449" spans="1:77" ht="12.75">
      <c r="A449" s="3" t="s">
        <v>1082</v>
      </c>
      <c r="B449" s="3" t="s">
        <v>448</v>
      </c>
      <c r="C449" s="3" t="s">
        <v>1349</v>
      </c>
      <c r="D449" s="3"/>
      <c r="E449" s="4"/>
      <c r="F449" s="4">
        <v>2264461.03576</v>
      </c>
      <c r="G449" s="4">
        <f t="shared" si="44"/>
        <v>2307730.9918573247</v>
      </c>
      <c r="H449" s="4"/>
      <c r="I449" s="4"/>
      <c r="J449" s="4">
        <v>70772.257746</v>
      </c>
      <c r="K449" s="4">
        <f t="shared" si="45"/>
        <v>72124.59388127389</v>
      </c>
      <c r="L449" s="4"/>
      <c r="M449" s="4"/>
      <c r="N449" s="4"/>
      <c r="O449" s="4"/>
      <c r="P449" s="4"/>
      <c r="Q449" s="4"/>
      <c r="R449" s="4"/>
      <c r="S449" s="4"/>
      <c r="T449" s="4">
        <v>40283.672721</v>
      </c>
      <c r="U449" s="4">
        <f t="shared" si="46"/>
        <v>41053.424429044586</v>
      </c>
      <c r="V449" s="4"/>
      <c r="W449" s="4"/>
      <c r="X449" s="4"/>
      <c r="Y449" s="4"/>
      <c r="Z449" s="13">
        <f t="shared" si="47"/>
        <v>2375516.9662269996</v>
      </c>
      <c r="AC449" s="13">
        <f t="shared" si="48"/>
        <v>2420909.0101676434</v>
      </c>
      <c r="AF449" s="51"/>
      <c r="AG449" s="4"/>
      <c r="AH449" s="4"/>
      <c r="AI449" s="4"/>
      <c r="AJ449" s="4"/>
      <c r="AK449" s="4"/>
      <c r="AL449" s="4">
        <v>2501728.573002</v>
      </c>
      <c r="AM449" s="4">
        <f t="shared" si="49"/>
        <v>1675011.7529996675</v>
      </c>
      <c r="AN449" s="4"/>
      <c r="AO449" s="4"/>
      <c r="AP449" s="4"/>
      <c r="AQ449" s="4"/>
      <c r="AR449" s="4">
        <v>102218.896648</v>
      </c>
      <c r="AS449" s="4">
        <f t="shared" si="31"/>
        <v>100207.60934733375</v>
      </c>
      <c r="AT449" s="4"/>
      <c r="AU449" s="4"/>
      <c r="AV449" s="4"/>
      <c r="AW449" s="4"/>
      <c r="AX449" s="4">
        <v>57145.602489</v>
      </c>
      <c r="AY449" s="4">
        <f t="shared" si="43"/>
        <v>56000.77420117285</v>
      </c>
      <c r="AZ449" s="4"/>
      <c r="BA449" s="4"/>
      <c r="BB449" s="4"/>
      <c r="BC449" s="4"/>
      <c r="BD449" s="4">
        <v>26458.058824</v>
      </c>
      <c r="BE449" s="4">
        <f>BD449/BD$680*BE$680</f>
        <v>37598.29821396529</v>
      </c>
      <c r="BF449" s="4">
        <v>5570.113715309608</v>
      </c>
      <c r="BG449" s="4">
        <f>BE449+BF449</f>
        <v>43168.411929274895</v>
      </c>
      <c r="BH449" s="4">
        <v>70868</v>
      </c>
      <c r="BI449" s="4">
        <v>71113</v>
      </c>
      <c r="BJ449" s="4"/>
      <c r="BK449" s="4">
        <f t="shared" si="50"/>
        <v>71113</v>
      </c>
      <c r="BL449" s="4">
        <f t="shared" si="51"/>
        <v>141981</v>
      </c>
      <c r="BM449" s="4"/>
      <c r="BN449" s="4"/>
      <c r="BO449" s="4">
        <v>6959.288713</v>
      </c>
      <c r="BP449" s="4"/>
      <c r="BQ449" s="4">
        <f t="shared" si="24"/>
        <v>2842061.5333913094</v>
      </c>
      <c r="BT449" s="4">
        <f t="shared" si="25"/>
        <v>2016369.548477449</v>
      </c>
      <c r="BW449" s="52"/>
      <c r="BX449" s="4">
        <f t="shared" si="21"/>
        <v>5217578.499618309</v>
      </c>
      <c r="BY449" s="4">
        <f t="shared" si="22"/>
        <v>4437278.558645092</v>
      </c>
    </row>
    <row r="450" spans="1:77" ht="12.75">
      <c r="A450" s="3" t="s">
        <v>1083</v>
      </c>
      <c r="B450" s="3" t="s">
        <v>449</v>
      </c>
      <c r="C450" s="3" t="s">
        <v>1349</v>
      </c>
      <c r="D450" s="3"/>
      <c r="E450" s="4"/>
      <c r="F450" s="4">
        <v>3425278.418594</v>
      </c>
      <c r="G450" s="4">
        <f t="shared" si="44"/>
        <v>3490729.598567134</v>
      </c>
      <c r="H450" s="4"/>
      <c r="I450" s="4"/>
      <c r="J450" s="4">
        <v>48230.115799</v>
      </c>
      <c r="K450" s="4">
        <f t="shared" si="45"/>
        <v>49151.71036840764</v>
      </c>
      <c r="L450" s="4"/>
      <c r="M450" s="4"/>
      <c r="N450" s="4"/>
      <c r="O450" s="4"/>
      <c r="P450" s="4"/>
      <c r="Q450" s="4"/>
      <c r="R450" s="4"/>
      <c r="S450" s="4"/>
      <c r="T450" s="4">
        <v>204706.336285</v>
      </c>
      <c r="U450" s="4">
        <f t="shared" si="46"/>
        <v>208617.92232866242</v>
      </c>
      <c r="V450" s="4"/>
      <c r="W450" s="4"/>
      <c r="X450" s="4"/>
      <c r="Y450" s="4"/>
      <c r="Z450" s="13">
        <f t="shared" si="47"/>
        <v>3678214.870678</v>
      </c>
      <c r="AC450" s="13">
        <f t="shared" si="48"/>
        <v>3748499.231264204</v>
      </c>
      <c r="AF450" s="51"/>
      <c r="AG450" s="4"/>
      <c r="AH450" s="4"/>
      <c r="AI450" s="4"/>
      <c r="AJ450" s="4"/>
      <c r="AK450" s="4"/>
      <c r="AL450" s="4">
        <v>3784175.022208</v>
      </c>
      <c r="AM450" s="4">
        <f t="shared" si="49"/>
        <v>2533663.2063166313</v>
      </c>
      <c r="AN450" s="4"/>
      <c r="AO450" s="4"/>
      <c r="AP450" s="4"/>
      <c r="AQ450" s="4"/>
      <c r="AR450" s="4">
        <v>69660.476849</v>
      </c>
      <c r="AS450" s="4">
        <f t="shared" si="31"/>
        <v>68289.81802720485</v>
      </c>
      <c r="AT450" s="4"/>
      <c r="AU450" s="4"/>
      <c r="AV450" s="4"/>
      <c r="AW450" s="4"/>
      <c r="AX450" s="4">
        <v>290392.263918</v>
      </c>
      <c r="AY450" s="4">
        <f t="shared" si="43"/>
        <v>284574.6810451361</v>
      </c>
      <c r="AZ450" s="4"/>
      <c r="BA450" s="4"/>
      <c r="BB450" s="4"/>
      <c r="BC450" s="4"/>
      <c r="BD450" s="4"/>
      <c r="BE450" s="4"/>
      <c r="BF450" s="4"/>
      <c r="BG450" s="4"/>
      <c r="BH450" s="4"/>
      <c r="BI450" s="4"/>
      <c r="BJ450" s="4"/>
      <c r="BK450" s="4"/>
      <c r="BL450" s="4"/>
      <c r="BM450" s="4"/>
      <c r="BN450" s="4"/>
      <c r="BO450" s="4">
        <v>10775.658351</v>
      </c>
      <c r="BP450" s="4"/>
      <c r="BQ450" s="4">
        <f t="shared" si="24"/>
        <v>4155003.421326</v>
      </c>
      <c r="BT450" s="4">
        <f t="shared" si="25"/>
        <v>2886527.705388972</v>
      </c>
      <c r="BW450" s="52"/>
      <c r="BX450" s="4">
        <f aca="true" t="shared" si="52" ref="BX450:BX513">Z450+BQ450</f>
        <v>7833218.292004</v>
      </c>
      <c r="BY450" s="4">
        <f aca="true" t="shared" si="53" ref="BY450:BY513">AC450+BT450</f>
        <v>6635026.936653176</v>
      </c>
    </row>
    <row r="451" spans="1:77" ht="12.75">
      <c r="A451" s="3" t="s">
        <v>1084</v>
      </c>
      <c r="B451" s="3" t="s">
        <v>450</v>
      </c>
      <c r="C451" s="3" t="s">
        <v>1349</v>
      </c>
      <c r="D451" s="3"/>
      <c r="E451" s="4"/>
      <c r="F451" s="4">
        <v>2557133.454924</v>
      </c>
      <c r="G451" s="4">
        <f t="shared" si="44"/>
        <v>2605995.877629554</v>
      </c>
      <c r="H451" s="4"/>
      <c r="I451" s="4"/>
      <c r="J451" s="4">
        <v>58328.62721</v>
      </c>
      <c r="K451" s="4">
        <f t="shared" si="45"/>
        <v>59443.18696560509</v>
      </c>
      <c r="L451" s="4"/>
      <c r="M451" s="4"/>
      <c r="N451" s="4"/>
      <c r="O451" s="4"/>
      <c r="P451" s="4"/>
      <c r="Q451" s="4"/>
      <c r="R451" s="4"/>
      <c r="S451" s="4"/>
      <c r="T451" s="4">
        <v>48099.78615</v>
      </c>
      <c r="U451" s="4">
        <f t="shared" si="46"/>
        <v>49018.890343949046</v>
      </c>
      <c r="V451" s="4"/>
      <c r="W451" s="4"/>
      <c r="X451" s="4"/>
      <c r="Y451" s="4"/>
      <c r="Z451" s="13">
        <f t="shared" si="47"/>
        <v>2663561.868284</v>
      </c>
      <c r="AC451" s="13">
        <f t="shared" si="48"/>
        <v>2714457.9549391083</v>
      </c>
      <c r="AF451" s="51"/>
      <c r="AG451" s="4"/>
      <c r="AH451" s="4"/>
      <c r="AI451" s="4"/>
      <c r="AJ451" s="4"/>
      <c r="AK451" s="4"/>
      <c r="AL451" s="4">
        <v>2825066.860563</v>
      </c>
      <c r="AM451" s="4">
        <f t="shared" si="49"/>
        <v>1891500.2392823992</v>
      </c>
      <c r="AN451" s="4"/>
      <c r="AO451" s="4"/>
      <c r="AP451" s="4"/>
      <c r="AQ451" s="4"/>
      <c r="AR451" s="4">
        <v>84246.117142</v>
      </c>
      <c r="AS451" s="4">
        <f t="shared" si="31"/>
        <v>82588.46722506109</v>
      </c>
      <c r="AT451" s="4"/>
      <c r="AU451" s="4"/>
      <c r="AV451" s="4"/>
      <c r="AW451" s="4"/>
      <c r="AX451" s="4">
        <v>68233.382745</v>
      </c>
      <c r="AY451" s="4">
        <f t="shared" si="43"/>
        <v>66866.42705045379</v>
      </c>
      <c r="AZ451" s="4"/>
      <c r="BA451" s="4"/>
      <c r="BB451" s="4"/>
      <c r="BC451" s="4"/>
      <c r="BD451" s="4">
        <v>36380.529412</v>
      </c>
      <c r="BE451" s="4">
        <f aca="true" t="shared" si="54" ref="BE451:BE456">BD451/BD$680*BE$680</f>
        <v>51698.652690784096</v>
      </c>
      <c r="BF451" s="4">
        <v>7659.053417183748</v>
      </c>
      <c r="BG451" s="4">
        <f aca="true" t="shared" si="55" ref="BG451:BG456">BE451+BF451</f>
        <v>59357.706107967846</v>
      </c>
      <c r="BH451" s="4">
        <v>57638</v>
      </c>
      <c r="BI451" s="4">
        <v>58250</v>
      </c>
      <c r="BJ451" s="4"/>
      <c r="BK451" s="4">
        <f>BI451</f>
        <v>58250</v>
      </c>
      <c r="BL451" s="4">
        <f t="shared" si="51"/>
        <v>115888</v>
      </c>
      <c r="BM451" s="4"/>
      <c r="BN451" s="4"/>
      <c r="BO451" s="4">
        <v>7803.141931</v>
      </c>
      <c r="BP451" s="4"/>
      <c r="BQ451" s="4">
        <f t="shared" si="24"/>
        <v>3145277.085210184</v>
      </c>
      <c r="BT451" s="4">
        <f t="shared" si="25"/>
        <v>2216200.839665882</v>
      </c>
      <c r="BW451" s="52"/>
      <c r="BX451" s="4">
        <f t="shared" si="52"/>
        <v>5808838.953494184</v>
      </c>
      <c r="BY451" s="4">
        <f t="shared" si="53"/>
        <v>4930658.794604991</v>
      </c>
    </row>
    <row r="452" spans="1:77" ht="12.75">
      <c r="A452" s="3" t="s">
        <v>1085</v>
      </c>
      <c r="B452" s="3" t="s">
        <v>451</v>
      </c>
      <c r="C452" s="3" t="s">
        <v>1349</v>
      </c>
      <c r="D452" s="3"/>
      <c r="E452" s="4"/>
      <c r="F452" s="4">
        <v>1630597.578832</v>
      </c>
      <c r="G452" s="4">
        <f t="shared" si="44"/>
        <v>1661755.4943510827</v>
      </c>
      <c r="H452" s="4"/>
      <c r="I452" s="4"/>
      <c r="J452" s="4">
        <v>52186.027932</v>
      </c>
      <c r="K452" s="4">
        <f t="shared" si="45"/>
        <v>53183.21317910828</v>
      </c>
      <c r="L452" s="4"/>
      <c r="M452" s="4"/>
      <c r="N452" s="4"/>
      <c r="O452" s="4"/>
      <c r="P452" s="4"/>
      <c r="Q452" s="4"/>
      <c r="R452" s="4"/>
      <c r="S452" s="4"/>
      <c r="T452" s="4">
        <v>34613.925701</v>
      </c>
      <c r="U452" s="4">
        <f t="shared" si="46"/>
        <v>35275.33829401274</v>
      </c>
      <c r="V452" s="4"/>
      <c r="W452" s="4"/>
      <c r="X452" s="4"/>
      <c r="Y452" s="4"/>
      <c r="Z452" s="13">
        <f t="shared" si="47"/>
        <v>1717397.532465</v>
      </c>
      <c r="AC452" s="13">
        <f t="shared" si="48"/>
        <v>1750214.0458242036</v>
      </c>
      <c r="AF452" s="51"/>
      <c r="AG452" s="4"/>
      <c r="AH452" s="4"/>
      <c r="AI452" s="4"/>
      <c r="AJ452" s="4"/>
      <c r="AK452" s="4"/>
      <c r="AL452" s="4">
        <v>1801449.656061</v>
      </c>
      <c r="AM452" s="4">
        <f t="shared" si="49"/>
        <v>1206145.7741271006</v>
      </c>
      <c r="AN452" s="4"/>
      <c r="AO452" s="4"/>
      <c r="AP452" s="4"/>
      <c r="AQ452" s="4"/>
      <c r="AR452" s="4">
        <v>75374.141869</v>
      </c>
      <c r="AS452" s="4">
        <f t="shared" si="31"/>
        <v>73891.05939295079</v>
      </c>
      <c r="AT452" s="4"/>
      <c r="AU452" s="4"/>
      <c r="AV452" s="4"/>
      <c r="AW452" s="4"/>
      <c r="AX452" s="4">
        <v>49102.614164</v>
      </c>
      <c r="AY452" s="4">
        <f t="shared" si="43"/>
        <v>48118.91534461963</v>
      </c>
      <c r="AZ452" s="4"/>
      <c r="BA452" s="4"/>
      <c r="BB452" s="4"/>
      <c r="BC452" s="4"/>
      <c r="BD452" s="4">
        <v>47858.764706</v>
      </c>
      <c r="BE452" s="4">
        <f t="shared" si="54"/>
        <v>68009.83093801081</v>
      </c>
      <c r="BF452" s="4">
        <v>10075.522299650098</v>
      </c>
      <c r="BG452" s="4">
        <f t="shared" si="55"/>
        <v>78085.35323766091</v>
      </c>
      <c r="BH452" s="4"/>
      <c r="BI452" s="4"/>
      <c r="BJ452" s="4"/>
      <c r="BK452" s="4"/>
      <c r="BL452" s="4"/>
      <c r="BM452" s="4"/>
      <c r="BN452" s="4"/>
      <c r="BO452" s="4">
        <v>5031.269165</v>
      </c>
      <c r="BP452" s="4"/>
      <c r="BQ452" s="4">
        <f t="shared" si="24"/>
        <v>1988891.9682646499</v>
      </c>
      <c r="BT452" s="4">
        <f t="shared" si="25"/>
        <v>1406241.1021023318</v>
      </c>
      <c r="BW452" s="52"/>
      <c r="BX452" s="4">
        <f t="shared" si="52"/>
        <v>3706289.50072965</v>
      </c>
      <c r="BY452" s="4">
        <f t="shared" si="53"/>
        <v>3156455.1479265355</v>
      </c>
    </row>
    <row r="453" spans="1:77" ht="12.75">
      <c r="A453" s="3" t="s">
        <v>1086</v>
      </c>
      <c r="B453" s="3" t="s">
        <v>452</v>
      </c>
      <c r="C453" s="3" t="s">
        <v>1349</v>
      </c>
      <c r="D453" s="3"/>
      <c r="E453" s="4"/>
      <c r="F453" s="4">
        <v>2901132.145226</v>
      </c>
      <c r="G453" s="4">
        <f t="shared" si="44"/>
        <v>2956567.791313121</v>
      </c>
      <c r="H453" s="4"/>
      <c r="I453" s="4"/>
      <c r="J453" s="4">
        <v>75434.800945</v>
      </c>
      <c r="K453" s="4">
        <f t="shared" si="45"/>
        <v>76876.23026242037</v>
      </c>
      <c r="L453" s="4"/>
      <c r="M453" s="4"/>
      <c r="N453" s="4"/>
      <c r="O453" s="4"/>
      <c r="P453" s="4"/>
      <c r="Q453" s="4"/>
      <c r="R453" s="4"/>
      <c r="S453" s="4"/>
      <c r="T453" s="4">
        <v>45953.41974</v>
      </c>
      <c r="U453" s="4">
        <f t="shared" si="46"/>
        <v>46831.51056305732</v>
      </c>
      <c r="V453" s="4"/>
      <c r="W453" s="4"/>
      <c r="X453" s="4"/>
      <c r="Y453" s="4"/>
      <c r="Z453" s="13">
        <f t="shared" si="47"/>
        <v>3022520.3659109995</v>
      </c>
      <c r="AC453" s="13">
        <f t="shared" si="48"/>
        <v>3080275.5321385986</v>
      </c>
      <c r="AF453" s="51"/>
      <c r="AG453" s="4"/>
      <c r="AH453" s="4"/>
      <c r="AI453" s="4"/>
      <c r="AJ453" s="4"/>
      <c r="AK453" s="4"/>
      <c r="AL453" s="4">
        <v>3205109.32498</v>
      </c>
      <c r="AM453" s="4">
        <f t="shared" si="49"/>
        <v>2145954.5399636123</v>
      </c>
      <c r="AN453" s="4"/>
      <c r="AO453" s="4"/>
      <c r="AP453" s="4"/>
      <c r="AQ453" s="4"/>
      <c r="AR453" s="4">
        <v>108953.174126</v>
      </c>
      <c r="AS453" s="4">
        <f t="shared" si="31"/>
        <v>106809.3813178902</v>
      </c>
      <c r="AT453" s="4"/>
      <c r="AU453" s="4"/>
      <c r="AV453" s="4"/>
      <c r="AW453" s="4"/>
      <c r="AX453" s="4">
        <v>65188.590814</v>
      </c>
      <c r="AY453" s="4">
        <f t="shared" si="43"/>
        <v>63882.63305772607</v>
      </c>
      <c r="AZ453" s="4"/>
      <c r="BA453" s="4"/>
      <c r="BB453" s="4"/>
      <c r="BC453" s="4"/>
      <c r="BD453" s="4">
        <v>5653.058824</v>
      </c>
      <c r="BE453" s="4">
        <f t="shared" si="54"/>
        <v>8033.294993396902</v>
      </c>
      <c r="BF453" s="4">
        <v>1190.1168070747353</v>
      </c>
      <c r="BG453" s="4">
        <f t="shared" si="55"/>
        <v>9223.411800471637</v>
      </c>
      <c r="BH453" s="4">
        <v>75410</v>
      </c>
      <c r="BI453" s="4">
        <v>76140</v>
      </c>
      <c r="BJ453" s="4"/>
      <c r="BK453" s="4">
        <f>BI453</f>
        <v>76140</v>
      </c>
      <c r="BL453" s="4">
        <f t="shared" si="51"/>
        <v>151550</v>
      </c>
      <c r="BM453" s="4"/>
      <c r="BN453" s="4"/>
      <c r="BO453" s="4">
        <v>8854.742849</v>
      </c>
      <c r="BP453" s="4"/>
      <c r="BQ453" s="4">
        <f t="shared" si="24"/>
        <v>3546499.0084000747</v>
      </c>
      <c r="BT453" s="4">
        <f t="shared" si="25"/>
        <v>2477419.9661397003</v>
      </c>
      <c r="BW453" s="52"/>
      <c r="BX453" s="4">
        <f t="shared" si="52"/>
        <v>6569019.374311075</v>
      </c>
      <c r="BY453" s="4">
        <f t="shared" si="53"/>
        <v>5557695.498278299</v>
      </c>
    </row>
    <row r="454" spans="1:77" ht="12.75">
      <c r="A454" s="3" t="s">
        <v>1087</v>
      </c>
      <c r="B454" s="3" t="s">
        <v>453</v>
      </c>
      <c r="C454" s="3" t="s">
        <v>1349</v>
      </c>
      <c r="D454" s="3"/>
      <c r="E454" s="4"/>
      <c r="F454" s="4">
        <v>1895241.875615</v>
      </c>
      <c r="G454" s="4">
        <f t="shared" si="44"/>
        <v>1931456.6885248409</v>
      </c>
      <c r="H454" s="4"/>
      <c r="I454" s="4"/>
      <c r="J454" s="4">
        <v>52453.203713</v>
      </c>
      <c r="K454" s="4">
        <f t="shared" si="45"/>
        <v>53455.49422980892</v>
      </c>
      <c r="L454" s="4"/>
      <c r="M454" s="4"/>
      <c r="N454" s="4"/>
      <c r="O454" s="4"/>
      <c r="P454" s="4"/>
      <c r="Q454" s="4"/>
      <c r="R454" s="4"/>
      <c r="S454" s="4"/>
      <c r="T454" s="4">
        <v>23274.431663</v>
      </c>
      <c r="U454" s="4">
        <f t="shared" si="46"/>
        <v>23719.16602598726</v>
      </c>
      <c r="V454" s="4"/>
      <c r="W454" s="4"/>
      <c r="X454" s="4"/>
      <c r="Y454" s="4"/>
      <c r="Z454" s="13">
        <f t="shared" si="47"/>
        <v>1970969.510991</v>
      </c>
      <c r="AC454" s="13">
        <f t="shared" si="48"/>
        <v>2008631.3487806371</v>
      </c>
      <c r="AF454" s="51"/>
      <c r="AG454" s="4"/>
      <c r="AH454" s="4"/>
      <c r="AI454" s="4"/>
      <c r="AJ454" s="4"/>
      <c r="AK454" s="4"/>
      <c r="AL454" s="4">
        <v>2093823.067874</v>
      </c>
      <c r="AM454" s="4">
        <f t="shared" si="49"/>
        <v>1401901.9829886104</v>
      </c>
      <c r="AN454" s="4"/>
      <c r="AO454" s="4"/>
      <c r="AP454" s="4"/>
      <c r="AQ454" s="4"/>
      <c r="AR454" s="4">
        <v>75760.03338</v>
      </c>
      <c r="AS454" s="4">
        <f t="shared" si="31"/>
        <v>74269.35799578056</v>
      </c>
      <c r="AT454" s="4"/>
      <c r="AU454" s="4"/>
      <c r="AV454" s="4"/>
      <c r="AW454" s="4"/>
      <c r="AX454" s="4">
        <v>33016.637514</v>
      </c>
      <c r="AY454" s="4">
        <f t="shared" si="43"/>
        <v>32355.197631513187</v>
      </c>
      <c r="AZ454" s="4"/>
      <c r="BA454" s="4"/>
      <c r="BB454" s="4"/>
      <c r="BC454" s="4"/>
      <c r="BD454" s="4">
        <v>54735.647059</v>
      </c>
      <c r="BE454" s="4">
        <f t="shared" si="54"/>
        <v>77782.2437673266</v>
      </c>
      <c r="BF454" s="4">
        <v>11523.28598359314</v>
      </c>
      <c r="BG454" s="4">
        <f t="shared" si="55"/>
        <v>89305.52975091974</v>
      </c>
      <c r="BH454" s="4">
        <v>52843</v>
      </c>
      <c r="BI454" s="4">
        <v>54172</v>
      </c>
      <c r="BJ454" s="4"/>
      <c r="BK454" s="4">
        <f>BI454</f>
        <v>54172</v>
      </c>
      <c r="BL454" s="4">
        <f t="shared" si="51"/>
        <v>107015</v>
      </c>
      <c r="BM454" s="4"/>
      <c r="BN454" s="4"/>
      <c r="BO454" s="4">
        <v>5774.130881</v>
      </c>
      <c r="BP454" s="4"/>
      <c r="BQ454" s="4">
        <f t="shared" si="24"/>
        <v>2381647.802691593</v>
      </c>
      <c r="BT454" s="4">
        <f t="shared" si="25"/>
        <v>1704847.068366824</v>
      </c>
      <c r="BW454" s="52"/>
      <c r="BX454" s="4">
        <f t="shared" si="52"/>
        <v>4352617.313682593</v>
      </c>
      <c r="BY454" s="4">
        <f t="shared" si="53"/>
        <v>3713478.4171474613</v>
      </c>
    </row>
    <row r="455" spans="1:77" ht="12.75">
      <c r="A455" s="3" t="s">
        <v>1088</v>
      </c>
      <c r="B455" s="3" t="s">
        <v>454</v>
      </c>
      <c r="C455" s="3" t="s">
        <v>1349</v>
      </c>
      <c r="D455" s="3"/>
      <c r="E455" s="4"/>
      <c r="F455" s="4">
        <v>2042168.181609</v>
      </c>
      <c r="G455" s="4">
        <f t="shared" si="44"/>
        <v>2081190.5035505733</v>
      </c>
      <c r="H455" s="4"/>
      <c r="I455" s="4"/>
      <c r="J455" s="4">
        <v>34825.304101</v>
      </c>
      <c r="K455" s="4">
        <f t="shared" si="45"/>
        <v>35490.75577171975</v>
      </c>
      <c r="L455" s="4"/>
      <c r="M455" s="4"/>
      <c r="N455" s="4"/>
      <c r="O455" s="4"/>
      <c r="P455" s="4"/>
      <c r="Q455" s="4"/>
      <c r="R455" s="4"/>
      <c r="S455" s="4"/>
      <c r="T455" s="4">
        <v>43118.342591</v>
      </c>
      <c r="U455" s="4">
        <f t="shared" si="46"/>
        <v>43942.25996535032</v>
      </c>
      <c r="V455" s="4"/>
      <c r="W455" s="4"/>
      <c r="X455" s="4"/>
      <c r="Y455" s="4"/>
      <c r="Z455" s="13">
        <f t="shared" si="47"/>
        <v>2120111.828301</v>
      </c>
      <c r="AC455" s="13">
        <f t="shared" si="48"/>
        <v>2160623.5192876435</v>
      </c>
      <c r="AF455" s="51"/>
      <c r="AG455" s="4"/>
      <c r="AH455" s="4"/>
      <c r="AI455" s="4"/>
      <c r="AJ455" s="4"/>
      <c r="AK455" s="4"/>
      <c r="AL455" s="4">
        <v>2256144.137668</v>
      </c>
      <c r="AM455" s="4">
        <f t="shared" si="49"/>
        <v>1510582.7178207552</v>
      </c>
      <c r="AN455" s="4"/>
      <c r="AO455" s="4"/>
      <c r="AP455" s="4"/>
      <c r="AQ455" s="4"/>
      <c r="AR455" s="4">
        <v>50299.429099</v>
      </c>
      <c r="AS455" s="4">
        <f t="shared" si="31"/>
        <v>49309.72361111984</v>
      </c>
      <c r="AT455" s="4"/>
      <c r="AU455" s="4"/>
      <c r="AV455" s="4"/>
      <c r="AW455" s="4"/>
      <c r="AX455" s="4">
        <v>61166.807772</v>
      </c>
      <c r="AY455" s="4">
        <f t="shared" si="43"/>
        <v>59941.42053722633</v>
      </c>
      <c r="AZ455" s="4"/>
      <c r="BA455" s="4"/>
      <c r="BB455" s="4"/>
      <c r="BC455" s="4"/>
      <c r="BD455" s="4">
        <v>55580.588235</v>
      </c>
      <c r="BE455" s="4">
        <f t="shared" si="54"/>
        <v>78982.94977980584</v>
      </c>
      <c r="BF455" s="4">
        <v>11701.168210871212</v>
      </c>
      <c r="BG455" s="4">
        <f t="shared" si="55"/>
        <v>90684.11799067706</v>
      </c>
      <c r="BH455" s="4">
        <v>35181</v>
      </c>
      <c r="BI455" s="4"/>
      <c r="BJ455" s="4"/>
      <c r="BK455" s="4"/>
      <c r="BL455" s="4">
        <f t="shared" si="51"/>
        <v>35181</v>
      </c>
      <c r="BM455" s="4"/>
      <c r="BN455" s="4"/>
      <c r="BO455" s="4">
        <v>6211.056594</v>
      </c>
      <c r="BP455" s="4"/>
      <c r="BQ455" s="4">
        <f t="shared" si="24"/>
        <v>2476284.1875788714</v>
      </c>
      <c r="BT455" s="4">
        <f>AJ455+AM455+AQ455+AS455+AU455+AW455+AY455+BA455+BC455+BG455+BL455+BN455+BP455</f>
        <v>1745698.9799597785</v>
      </c>
      <c r="BW455" s="52"/>
      <c r="BX455" s="4">
        <f t="shared" si="52"/>
        <v>4596396.015879871</v>
      </c>
      <c r="BY455" s="4">
        <f t="shared" si="53"/>
        <v>3906322.499247422</v>
      </c>
    </row>
    <row r="456" spans="1:77" ht="12.75">
      <c r="A456" s="3" t="s">
        <v>1089</v>
      </c>
      <c r="B456" s="3" t="s">
        <v>455</v>
      </c>
      <c r="C456" s="3" t="s">
        <v>1349</v>
      </c>
      <c r="D456" s="3"/>
      <c r="E456" s="4"/>
      <c r="F456" s="4">
        <v>1406514.719562</v>
      </c>
      <c r="G456" s="4">
        <f t="shared" si="44"/>
        <v>1433390.7970058597</v>
      </c>
      <c r="H456" s="4"/>
      <c r="I456" s="4"/>
      <c r="J456" s="4">
        <v>40793.994753</v>
      </c>
      <c r="K456" s="4">
        <f t="shared" si="45"/>
        <v>41573.497837452225</v>
      </c>
      <c r="L456" s="4"/>
      <c r="M456" s="4"/>
      <c r="N456" s="4"/>
      <c r="O456" s="4"/>
      <c r="P456" s="4"/>
      <c r="Q456" s="4"/>
      <c r="R456" s="4"/>
      <c r="S456" s="4"/>
      <c r="T456" s="4">
        <v>20364.007684</v>
      </c>
      <c r="U456" s="4">
        <f t="shared" si="46"/>
        <v>20753.128849936307</v>
      </c>
      <c r="V456" s="4"/>
      <c r="W456" s="4"/>
      <c r="X456" s="4"/>
      <c r="Y456" s="4"/>
      <c r="Z456" s="13">
        <f t="shared" si="47"/>
        <v>1467672.721999</v>
      </c>
      <c r="AC456" s="13">
        <f t="shared" si="48"/>
        <v>1495717.4236932483</v>
      </c>
      <c r="AF456" s="51"/>
      <c r="AG456" s="4"/>
      <c r="AH456" s="4"/>
      <c r="AI456" s="4"/>
      <c r="AJ456" s="4"/>
      <c r="AK456" s="4"/>
      <c r="AL456" s="4">
        <v>1553887.660998</v>
      </c>
      <c r="AM456" s="4">
        <f t="shared" si="49"/>
        <v>1040392.6801257879</v>
      </c>
      <c r="AN456" s="4"/>
      <c r="AO456" s="4"/>
      <c r="AP456" s="4"/>
      <c r="AQ456" s="4"/>
      <c r="AR456" s="4">
        <v>58920.22194</v>
      </c>
      <c r="AS456" s="4">
        <f t="shared" si="31"/>
        <v>57760.89134627972</v>
      </c>
      <c r="AT456" s="4"/>
      <c r="AU456" s="4"/>
      <c r="AV456" s="4"/>
      <c r="AW456" s="4"/>
      <c r="AX456" s="4">
        <v>28887.968986</v>
      </c>
      <c r="AY456" s="4">
        <f t="shared" si="43"/>
        <v>28309.240918876858</v>
      </c>
      <c r="AZ456" s="4"/>
      <c r="BA456" s="4"/>
      <c r="BB456" s="4"/>
      <c r="BC456" s="4"/>
      <c r="BD456" s="4">
        <v>54462.941176</v>
      </c>
      <c r="BE456" s="4">
        <f t="shared" si="54"/>
        <v>77394.7143124281</v>
      </c>
      <c r="BF456" s="4">
        <v>11465.874259276989</v>
      </c>
      <c r="BG456" s="4">
        <f t="shared" si="55"/>
        <v>88860.58857170508</v>
      </c>
      <c r="BH456" s="4"/>
      <c r="BI456" s="4"/>
      <c r="BJ456" s="4"/>
      <c r="BK456" s="4"/>
      <c r="BL456" s="4"/>
      <c r="BM456" s="4"/>
      <c r="BN456" s="4"/>
      <c r="BO456" s="4">
        <v>4299.678072</v>
      </c>
      <c r="BP456" s="4"/>
      <c r="BQ456" s="4">
        <f t="shared" si="24"/>
        <v>1711924.345431277</v>
      </c>
      <c r="BT456" s="4">
        <f t="shared" si="25"/>
        <v>1215323.4009626496</v>
      </c>
      <c r="BW456" s="52"/>
      <c r="BX456" s="4">
        <f t="shared" si="52"/>
        <v>3179597.0674302774</v>
      </c>
      <c r="BY456" s="4">
        <f t="shared" si="53"/>
        <v>2711040.824655898</v>
      </c>
    </row>
    <row r="457" spans="1:77" ht="12.75">
      <c r="A457" s="3" t="s">
        <v>1090</v>
      </c>
      <c r="B457" s="3" t="s">
        <v>456</v>
      </c>
      <c r="C457" s="3" t="s">
        <v>1349</v>
      </c>
      <c r="D457" s="3"/>
      <c r="E457" s="4"/>
      <c r="F457" s="4">
        <v>820463.184812</v>
      </c>
      <c r="G457" s="4">
        <f t="shared" si="44"/>
        <v>836140.8252861147</v>
      </c>
      <c r="H457" s="4"/>
      <c r="I457" s="4"/>
      <c r="J457" s="4">
        <v>37161.870343</v>
      </c>
      <c r="K457" s="4">
        <f t="shared" si="45"/>
        <v>37871.969776305734</v>
      </c>
      <c r="L457" s="4"/>
      <c r="M457" s="4"/>
      <c r="N457" s="4"/>
      <c r="O457" s="4"/>
      <c r="P457" s="4"/>
      <c r="Q457" s="4"/>
      <c r="R457" s="4"/>
      <c r="S457" s="4"/>
      <c r="T457" s="4">
        <v>28944.178682</v>
      </c>
      <c r="U457" s="4">
        <f t="shared" si="46"/>
        <v>29497.25216</v>
      </c>
      <c r="V457" s="4"/>
      <c r="W457" s="4"/>
      <c r="X457" s="4"/>
      <c r="Y457" s="4"/>
      <c r="Z457" s="13">
        <f t="shared" si="47"/>
        <v>886569.2338370001</v>
      </c>
      <c r="AC457" s="13">
        <f t="shared" si="48"/>
        <v>903510.0472224205</v>
      </c>
      <c r="AF457" s="51"/>
      <c r="AG457" s="4"/>
      <c r="AH457" s="4"/>
      <c r="AI457" s="4"/>
      <c r="AJ457" s="4"/>
      <c r="AK457" s="4"/>
      <c r="AL457" s="4">
        <v>906430.342641</v>
      </c>
      <c r="AM457" s="4">
        <f t="shared" si="49"/>
        <v>606892.9673602834</v>
      </c>
      <c r="AN457" s="4"/>
      <c r="AO457" s="4"/>
      <c r="AP457" s="4"/>
      <c r="AQ457" s="4"/>
      <c r="AR457" s="4">
        <v>53674.215079</v>
      </c>
      <c r="AS457" s="4">
        <f t="shared" si="31"/>
        <v>52618.10636816769</v>
      </c>
      <c r="AT457" s="4"/>
      <c r="AU457" s="4"/>
      <c r="AV457" s="4"/>
      <c r="AW457" s="4"/>
      <c r="AX457" s="4">
        <v>41059.625839</v>
      </c>
      <c r="AY457" s="4">
        <f t="shared" si="43"/>
        <v>40237.05648806641</v>
      </c>
      <c r="AZ457" s="4"/>
      <c r="BA457" s="4"/>
      <c r="BB457" s="4"/>
      <c r="BC457" s="4"/>
      <c r="BD457" s="4"/>
      <c r="BE457" s="4"/>
      <c r="BF457" s="4"/>
      <c r="BG457" s="4"/>
      <c r="BH457" s="4"/>
      <c r="BI457" s="4"/>
      <c r="BJ457" s="4"/>
      <c r="BK457" s="4"/>
      <c r="BL457" s="4"/>
      <c r="BM457" s="4"/>
      <c r="BN457" s="4"/>
      <c r="BO457" s="4">
        <v>2597.283602</v>
      </c>
      <c r="BP457" s="4"/>
      <c r="BQ457" s="4">
        <f aca="true" t="shared" si="56" ref="BQ457:BQ520">AG457+AI457+AL457+AN457+AP457+AR457+AT457+AV457+AX457+AZ457+BB457+BD457+BF457+BH457+BK457+BM457+BO457</f>
        <v>1003761.467161</v>
      </c>
      <c r="BT457" s="4">
        <f aca="true" t="shared" si="57" ref="BT457:BT520">AJ457+AM457+AQ457+AS457+AU457+AW457+AY457+BA457+BC457+BG457+BL457+BN457+BP457</f>
        <v>699748.1302165175</v>
      </c>
      <c r="BW457" s="52"/>
      <c r="BX457" s="4">
        <f t="shared" si="52"/>
        <v>1890330.700998</v>
      </c>
      <c r="BY457" s="4">
        <f t="shared" si="53"/>
        <v>1603258.177438938</v>
      </c>
    </row>
    <row r="458" spans="1:77" ht="12.75">
      <c r="A458" s="3" t="s">
        <v>1091</v>
      </c>
      <c r="B458" s="3" t="s">
        <v>457</v>
      </c>
      <c r="C458" s="3" t="s">
        <v>1349</v>
      </c>
      <c r="D458" s="3"/>
      <c r="E458" s="4"/>
      <c r="F458" s="4">
        <v>1428408.668683</v>
      </c>
      <c r="G458" s="4">
        <f t="shared" si="44"/>
        <v>1455703.1018425478</v>
      </c>
      <c r="H458" s="4"/>
      <c r="I458" s="4"/>
      <c r="J458" s="4">
        <v>29026.449273</v>
      </c>
      <c r="K458" s="4">
        <f t="shared" si="45"/>
        <v>29581.094800509552</v>
      </c>
      <c r="L458" s="4"/>
      <c r="M458" s="4"/>
      <c r="N458" s="4"/>
      <c r="O458" s="4"/>
      <c r="P458" s="4"/>
      <c r="Q458" s="4"/>
      <c r="R458" s="4"/>
      <c r="S458" s="4"/>
      <c r="T458" s="4">
        <v>20364.007684</v>
      </c>
      <c r="U458" s="4">
        <f t="shared" si="46"/>
        <v>20753.128849936307</v>
      </c>
      <c r="V458" s="4"/>
      <c r="W458" s="4"/>
      <c r="X458" s="4"/>
      <c r="Y458" s="4"/>
      <c r="Z458" s="13">
        <f t="shared" si="47"/>
        <v>1477799.12564</v>
      </c>
      <c r="AC458" s="13">
        <f t="shared" si="48"/>
        <v>1506037.3254929937</v>
      </c>
      <c r="AF458" s="51"/>
      <c r="AG458" s="4"/>
      <c r="AH458" s="4"/>
      <c r="AI458" s="4"/>
      <c r="AJ458" s="4"/>
      <c r="AK458" s="4"/>
      <c r="AL458" s="4">
        <v>1578075.632098</v>
      </c>
      <c r="AM458" s="4">
        <f t="shared" si="49"/>
        <v>1056587.5368784128</v>
      </c>
      <c r="AN458" s="4"/>
      <c r="AO458" s="4"/>
      <c r="AP458" s="4"/>
      <c r="AQ458" s="4"/>
      <c r="AR458" s="4">
        <v>41923.936198</v>
      </c>
      <c r="AS458" s="4">
        <f t="shared" si="31"/>
        <v>41099.029226451035</v>
      </c>
      <c r="AT458" s="4"/>
      <c r="AU458" s="4"/>
      <c r="AV458" s="4"/>
      <c r="AW458" s="4"/>
      <c r="AX458" s="4">
        <v>28887.968986</v>
      </c>
      <c r="AY458" s="4">
        <f t="shared" si="43"/>
        <v>28309.240918876858</v>
      </c>
      <c r="AZ458" s="4"/>
      <c r="BA458" s="4"/>
      <c r="BB458" s="4"/>
      <c r="BC458" s="4"/>
      <c r="BD458" s="4">
        <v>35771.411765</v>
      </c>
      <c r="BE458" s="4">
        <f>BD458/BD$680*BE$680</f>
        <v>50833.06436128348</v>
      </c>
      <c r="BF458" s="4">
        <v>7530.818213597527</v>
      </c>
      <c r="BG458" s="4">
        <f>BE458+BF458</f>
        <v>58363.88257488101</v>
      </c>
      <c r="BH458" s="4"/>
      <c r="BI458" s="4"/>
      <c r="BJ458" s="4"/>
      <c r="BK458" s="4"/>
      <c r="BL458" s="4"/>
      <c r="BM458" s="4"/>
      <c r="BN458" s="4"/>
      <c r="BO458" s="4">
        <v>4329.344274</v>
      </c>
      <c r="BP458" s="4"/>
      <c r="BQ458" s="4">
        <f t="shared" si="56"/>
        <v>1696519.1115345978</v>
      </c>
      <c r="BT458" s="4">
        <f t="shared" si="57"/>
        <v>1184359.6895986216</v>
      </c>
      <c r="BW458" s="52"/>
      <c r="BX458" s="4">
        <f t="shared" si="52"/>
        <v>3174318.2371745976</v>
      </c>
      <c r="BY458" s="4">
        <f t="shared" si="53"/>
        <v>2690397.0150916153</v>
      </c>
    </row>
    <row r="459" spans="1:77" ht="12.75">
      <c r="A459" s="3" t="s">
        <v>1092</v>
      </c>
      <c r="B459" s="3" t="s">
        <v>458</v>
      </c>
      <c r="C459" s="3" t="s">
        <v>1349</v>
      </c>
      <c r="D459" s="3"/>
      <c r="E459" s="4"/>
      <c r="F459" s="4">
        <v>975984.062554</v>
      </c>
      <c r="G459" s="4">
        <f t="shared" si="44"/>
        <v>994633.4395454776</v>
      </c>
      <c r="H459" s="4"/>
      <c r="I459" s="4"/>
      <c r="J459" s="4">
        <v>32944.891632</v>
      </c>
      <c r="K459" s="4">
        <f t="shared" si="45"/>
        <v>33574.41185426751</v>
      </c>
      <c r="L459" s="4"/>
      <c r="M459" s="4"/>
      <c r="N459" s="4"/>
      <c r="O459" s="4"/>
      <c r="P459" s="4"/>
      <c r="Q459" s="4"/>
      <c r="R459" s="4"/>
      <c r="S459" s="4"/>
      <c r="T459" s="4">
        <v>20364.007684</v>
      </c>
      <c r="U459" s="4">
        <f t="shared" si="46"/>
        <v>20753.128849936307</v>
      </c>
      <c r="V459" s="4"/>
      <c r="W459" s="4"/>
      <c r="X459" s="4"/>
      <c r="Y459" s="4"/>
      <c r="Z459" s="13">
        <f t="shared" si="47"/>
        <v>1029292.9618699999</v>
      </c>
      <c r="AC459" s="13">
        <f t="shared" si="48"/>
        <v>1048960.9802496815</v>
      </c>
      <c r="AF459" s="51"/>
      <c r="AG459" s="4"/>
      <c r="AH459" s="4"/>
      <c r="AI459" s="4"/>
      <c r="AJ459" s="4"/>
      <c r="AK459" s="4"/>
      <c r="AL459" s="4">
        <v>1078246.5132</v>
      </c>
      <c r="AM459" s="4">
        <f t="shared" si="49"/>
        <v>721931.0686745181</v>
      </c>
      <c r="AN459" s="4"/>
      <c r="AO459" s="4"/>
      <c r="AP459" s="4"/>
      <c r="AQ459" s="4"/>
      <c r="AR459" s="4">
        <v>47583.482286</v>
      </c>
      <c r="AS459" s="4">
        <f t="shared" si="31"/>
        <v>46647.21651928101</v>
      </c>
      <c r="AT459" s="4"/>
      <c r="AU459" s="4"/>
      <c r="AV459" s="4"/>
      <c r="AW459" s="4"/>
      <c r="AX459" s="4">
        <v>28887.968986</v>
      </c>
      <c r="AY459" s="4">
        <f t="shared" si="43"/>
        <v>28309.240918876858</v>
      </c>
      <c r="AZ459" s="4"/>
      <c r="BA459" s="4"/>
      <c r="BB459" s="4"/>
      <c r="BC459" s="4"/>
      <c r="BD459" s="4">
        <v>5938.058824</v>
      </c>
      <c r="BE459" s="4">
        <f>BD459/BD$680*BE$680</f>
        <v>8438.295037514277</v>
      </c>
      <c r="BF459" s="4">
        <v>1250.1167647217883</v>
      </c>
      <c r="BG459" s="4">
        <f>BE459+BF459</f>
        <v>9688.411802236065</v>
      </c>
      <c r="BH459" s="4"/>
      <c r="BI459" s="4"/>
      <c r="BJ459" s="4"/>
      <c r="BK459" s="4"/>
      <c r="BL459" s="4"/>
      <c r="BM459" s="4"/>
      <c r="BN459" s="4"/>
      <c r="BO459" s="4">
        <v>3015.405486</v>
      </c>
      <c r="BP459" s="4"/>
      <c r="BQ459" s="4">
        <f t="shared" si="56"/>
        <v>1164921.5455467214</v>
      </c>
      <c r="BT459" s="4">
        <f t="shared" si="57"/>
        <v>806575.9379149121</v>
      </c>
      <c r="BW459" s="52"/>
      <c r="BX459" s="4">
        <f t="shared" si="52"/>
        <v>2194214.5074167214</v>
      </c>
      <c r="BY459" s="4">
        <f t="shared" si="53"/>
        <v>1855536.9181645936</v>
      </c>
    </row>
    <row r="460" spans="1:77" ht="12.75">
      <c r="A460" s="3" t="s">
        <v>1093</v>
      </c>
      <c r="B460" s="3" t="s">
        <v>459</v>
      </c>
      <c r="C460" s="3" t="s">
        <v>1349</v>
      </c>
      <c r="D460" s="3"/>
      <c r="E460" s="4"/>
      <c r="F460" s="4">
        <v>2509152.144811</v>
      </c>
      <c r="G460" s="4">
        <f t="shared" si="44"/>
        <v>2557097.7271959237</v>
      </c>
      <c r="H460" s="4"/>
      <c r="I460" s="4"/>
      <c r="J460" s="4">
        <v>54932.318009</v>
      </c>
      <c r="K460" s="4">
        <f t="shared" si="45"/>
        <v>55981.98013656051</v>
      </c>
      <c r="L460" s="4"/>
      <c r="M460" s="4"/>
      <c r="N460" s="4"/>
      <c r="O460" s="4"/>
      <c r="P460" s="4"/>
      <c r="Q460" s="4"/>
      <c r="R460" s="4"/>
      <c r="S460" s="4"/>
      <c r="T460" s="4">
        <v>39716.738747</v>
      </c>
      <c r="U460" s="4">
        <f t="shared" si="46"/>
        <v>40475.657321783445</v>
      </c>
      <c r="V460" s="4"/>
      <c r="W460" s="4"/>
      <c r="X460" s="4"/>
      <c r="Y460" s="4"/>
      <c r="Z460" s="13">
        <f t="shared" si="47"/>
        <v>2603801.2015670002</v>
      </c>
      <c r="AC460" s="13">
        <f t="shared" si="48"/>
        <v>2653555.3646542677</v>
      </c>
      <c r="AF460" s="51"/>
      <c r="AG460" s="4"/>
      <c r="AH460" s="4"/>
      <c r="AI460" s="4"/>
      <c r="AJ460" s="4"/>
      <c r="AK460" s="4"/>
      <c r="AL460" s="4">
        <v>2772058.125777</v>
      </c>
      <c r="AM460" s="4">
        <f t="shared" si="49"/>
        <v>1856008.677673201</v>
      </c>
      <c r="AN460" s="4"/>
      <c r="AO460" s="4"/>
      <c r="AP460" s="4"/>
      <c r="AQ460" s="4"/>
      <c r="AR460" s="4">
        <v>79340.706599</v>
      </c>
      <c r="AS460" s="4">
        <f t="shared" si="31"/>
        <v>77779.57689753226</v>
      </c>
      <c r="AT460" s="4"/>
      <c r="AU460" s="4"/>
      <c r="AV460" s="4"/>
      <c r="AW460" s="4"/>
      <c r="AX460" s="4">
        <v>56341.361433</v>
      </c>
      <c r="AY460" s="4">
        <f t="shared" si="43"/>
        <v>55212.64493455014</v>
      </c>
      <c r="AZ460" s="4"/>
      <c r="BA460" s="4"/>
      <c r="BB460" s="4"/>
      <c r="BC460" s="4"/>
      <c r="BD460" s="4">
        <v>56537.294118</v>
      </c>
      <c r="BE460" s="4">
        <f>BD460/BD$680*BE$680</f>
        <v>80342.47934058603</v>
      </c>
      <c r="BF460" s="4">
        <v>11902.579833540287</v>
      </c>
      <c r="BG460" s="4">
        <f>BE460+BF460</f>
        <v>92245.0591741263</v>
      </c>
      <c r="BH460" s="4">
        <v>53977</v>
      </c>
      <c r="BI460" s="4"/>
      <c r="BJ460" s="4"/>
      <c r="BK460" s="4"/>
      <c r="BL460" s="4">
        <f>BH460+BK460</f>
        <v>53977</v>
      </c>
      <c r="BM460" s="4"/>
      <c r="BN460" s="4"/>
      <c r="BO460" s="4">
        <v>7628.067731</v>
      </c>
      <c r="BP460" s="4"/>
      <c r="BQ460" s="4">
        <f t="shared" si="56"/>
        <v>3037785.13549154</v>
      </c>
      <c r="BT460" s="4">
        <f t="shared" si="57"/>
        <v>2135222.9586794097</v>
      </c>
      <c r="BW460" s="52"/>
      <c r="BX460" s="4">
        <f t="shared" si="52"/>
        <v>5641586.33705854</v>
      </c>
      <c r="BY460" s="4">
        <f t="shared" si="53"/>
        <v>4788778.323333677</v>
      </c>
    </row>
    <row r="461" spans="1:77" ht="12.75">
      <c r="A461" s="3" t="s">
        <v>1094</v>
      </c>
      <c r="B461" s="3" t="s">
        <v>460</v>
      </c>
      <c r="C461" s="3" t="s">
        <v>1349</v>
      </c>
      <c r="D461" s="3"/>
      <c r="E461" s="4"/>
      <c r="F461" s="4">
        <v>1695165.390007</v>
      </c>
      <c r="G461" s="4">
        <f t="shared" si="44"/>
        <v>1727557.0853574523</v>
      </c>
      <c r="H461" s="4"/>
      <c r="I461" s="4"/>
      <c r="J461" s="4">
        <v>62658.829804</v>
      </c>
      <c r="K461" s="4">
        <f t="shared" si="45"/>
        <v>63856.13228433121</v>
      </c>
      <c r="L461" s="4"/>
      <c r="M461" s="4"/>
      <c r="N461" s="4"/>
      <c r="O461" s="4"/>
      <c r="P461" s="4"/>
      <c r="Q461" s="4"/>
      <c r="R461" s="4"/>
      <c r="S461" s="4"/>
      <c r="T461" s="4">
        <v>58305.412241</v>
      </c>
      <c r="U461" s="4">
        <f t="shared" si="46"/>
        <v>59419.52839847134</v>
      </c>
      <c r="V461" s="4"/>
      <c r="W461" s="4"/>
      <c r="X461" s="4"/>
      <c r="Y461" s="4"/>
      <c r="Z461" s="13">
        <f t="shared" si="47"/>
        <v>1816129.632052</v>
      </c>
      <c r="AC461" s="13">
        <f t="shared" si="48"/>
        <v>1850832.7460402548</v>
      </c>
      <c r="AF461" s="51"/>
      <c r="AG461" s="4"/>
      <c r="AH461" s="4"/>
      <c r="AI461" s="4"/>
      <c r="AJ461" s="4"/>
      <c r="AK461" s="4"/>
      <c r="AL461" s="4">
        <v>1872782.805787</v>
      </c>
      <c r="AM461" s="4">
        <f t="shared" si="49"/>
        <v>1253906.2967749105</v>
      </c>
      <c r="AN461" s="4"/>
      <c r="AO461" s="4"/>
      <c r="AP461" s="4"/>
      <c r="AQ461" s="4"/>
      <c r="AR461" s="4">
        <v>90500.383227</v>
      </c>
      <c r="AS461" s="4">
        <f t="shared" si="31"/>
        <v>88719.6726396347</v>
      </c>
      <c r="AT461" s="4"/>
      <c r="AU461" s="4"/>
      <c r="AV461" s="4"/>
      <c r="AW461" s="4"/>
      <c r="AX461" s="4">
        <v>82710.877283</v>
      </c>
      <c r="AY461" s="4">
        <f t="shared" si="43"/>
        <v>81053.88623031479</v>
      </c>
      <c r="AZ461" s="4"/>
      <c r="BA461" s="4"/>
      <c r="BB461" s="4"/>
      <c r="BC461" s="4"/>
      <c r="BD461" s="4"/>
      <c r="BE461" s="4"/>
      <c r="BF461" s="4"/>
      <c r="BG461" s="4"/>
      <c r="BH461" s="4"/>
      <c r="BI461" s="4"/>
      <c r="BJ461" s="4"/>
      <c r="BK461" s="4"/>
      <c r="BL461" s="4"/>
      <c r="BM461" s="4"/>
      <c r="BN461" s="4"/>
      <c r="BO461" s="4">
        <v>5320.513652</v>
      </c>
      <c r="BP461" s="4"/>
      <c r="BQ461" s="4">
        <f t="shared" si="56"/>
        <v>2051314.5799490002</v>
      </c>
      <c r="BT461" s="4">
        <f t="shared" si="57"/>
        <v>1423679.85564486</v>
      </c>
      <c r="BW461" s="52"/>
      <c r="BX461" s="4">
        <f t="shared" si="52"/>
        <v>3867444.212001</v>
      </c>
      <c r="BY461" s="4">
        <f t="shared" si="53"/>
        <v>3274512.601685115</v>
      </c>
    </row>
    <row r="462" spans="1:77" ht="12.75">
      <c r="A462" s="3" t="s">
        <v>1095</v>
      </c>
      <c r="B462" s="3" t="s">
        <v>461</v>
      </c>
      <c r="C462" s="3" t="s">
        <v>1349</v>
      </c>
      <c r="D462" s="3"/>
      <c r="E462" s="4"/>
      <c r="F462" s="4">
        <v>1126172.056119</v>
      </c>
      <c r="G462" s="4">
        <f t="shared" si="44"/>
        <v>1147691.2673824204</v>
      </c>
      <c r="H462" s="4"/>
      <c r="I462" s="4"/>
      <c r="J462" s="4">
        <v>75014.895107</v>
      </c>
      <c r="K462" s="4">
        <f t="shared" si="45"/>
        <v>76448.30074598726</v>
      </c>
      <c r="L462" s="4"/>
      <c r="M462" s="4"/>
      <c r="N462" s="4"/>
      <c r="O462" s="4"/>
      <c r="P462" s="4"/>
      <c r="Q462" s="4"/>
      <c r="R462" s="4"/>
      <c r="S462" s="4"/>
      <c r="T462" s="4">
        <v>28944.178682</v>
      </c>
      <c r="U462" s="4">
        <f t="shared" si="46"/>
        <v>29497.25216</v>
      </c>
      <c r="V462" s="4"/>
      <c r="W462" s="4"/>
      <c r="X462" s="4"/>
      <c r="Y462" s="4"/>
      <c r="Z462" s="13">
        <f t="shared" si="47"/>
        <v>1230131.129908</v>
      </c>
      <c r="AC462" s="13">
        <f t="shared" si="48"/>
        <v>1253636.8202884076</v>
      </c>
      <c r="AF462" s="51"/>
      <c r="AG462" s="4"/>
      <c r="AH462" s="4"/>
      <c r="AI462" s="4"/>
      <c r="AJ462" s="4"/>
      <c r="AK462" s="4"/>
      <c r="AL462" s="4">
        <v>1244171.026314</v>
      </c>
      <c r="AM462" s="4">
        <f t="shared" si="49"/>
        <v>833024.4592909091</v>
      </c>
      <c r="AN462" s="4"/>
      <c r="AO462" s="4"/>
      <c r="AP462" s="4"/>
      <c r="AQ462" s="4"/>
      <c r="AR462" s="4">
        <v>108346.689144</v>
      </c>
      <c r="AS462" s="4">
        <f t="shared" si="31"/>
        <v>106214.82970224753</v>
      </c>
      <c r="AT462" s="4"/>
      <c r="AU462" s="4"/>
      <c r="AV462" s="4"/>
      <c r="AW462" s="4"/>
      <c r="AX462" s="4">
        <v>41059.625839</v>
      </c>
      <c r="AY462" s="4">
        <f t="shared" si="43"/>
        <v>40237.05648806641</v>
      </c>
      <c r="AZ462" s="4"/>
      <c r="BA462" s="4"/>
      <c r="BB462" s="4"/>
      <c r="BC462" s="4"/>
      <c r="BD462" s="4"/>
      <c r="BE462" s="4"/>
      <c r="BF462" s="4"/>
      <c r="BG462" s="4"/>
      <c r="BH462" s="4"/>
      <c r="BI462" s="4"/>
      <c r="BJ462" s="4"/>
      <c r="BK462" s="4"/>
      <c r="BL462" s="4"/>
      <c r="BM462" s="4"/>
      <c r="BN462" s="4"/>
      <c r="BO462" s="4">
        <v>3603.778803</v>
      </c>
      <c r="BP462" s="4"/>
      <c r="BQ462" s="4">
        <f t="shared" si="56"/>
        <v>1397181.1201</v>
      </c>
      <c r="BT462" s="4">
        <f t="shared" si="57"/>
        <v>979476.3454812231</v>
      </c>
      <c r="BW462" s="52"/>
      <c r="BX462" s="4">
        <f t="shared" si="52"/>
        <v>2627312.250008</v>
      </c>
      <c r="BY462" s="4">
        <f t="shared" si="53"/>
        <v>2233113.1657696306</v>
      </c>
    </row>
    <row r="463" spans="1:77" ht="12.75">
      <c r="A463" s="3" t="s">
        <v>1096</v>
      </c>
      <c r="B463" s="3" t="s">
        <v>462</v>
      </c>
      <c r="C463" s="3" t="s">
        <v>1349</v>
      </c>
      <c r="D463" s="3"/>
      <c r="E463" s="4"/>
      <c r="F463" s="4">
        <v>3094434.711674</v>
      </c>
      <c r="G463" s="4">
        <f t="shared" si="44"/>
        <v>3153564.0373747773</v>
      </c>
      <c r="H463" s="4"/>
      <c r="I463" s="4"/>
      <c r="J463" s="4">
        <v>83907.042702</v>
      </c>
      <c r="K463" s="4">
        <f t="shared" si="45"/>
        <v>85510.36198929937</v>
      </c>
      <c r="L463" s="4"/>
      <c r="M463" s="4"/>
      <c r="N463" s="4"/>
      <c r="O463" s="4"/>
      <c r="P463" s="4"/>
      <c r="Q463" s="4"/>
      <c r="R463" s="4"/>
      <c r="S463" s="4"/>
      <c r="T463" s="4">
        <v>74302.154838</v>
      </c>
      <c r="U463" s="4">
        <f t="shared" si="46"/>
        <v>75721.94123617835</v>
      </c>
      <c r="V463" s="4"/>
      <c r="W463" s="4"/>
      <c r="X463" s="4"/>
      <c r="Y463" s="4"/>
      <c r="Z463" s="13">
        <f t="shared" si="47"/>
        <v>3252643.909214</v>
      </c>
      <c r="AC463" s="13">
        <f t="shared" si="48"/>
        <v>3314796.340600255</v>
      </c>
      <c r="AF463" s="51"/>
      <c r="AG463" s="4"/>
      <c r="AH463" s="4"/>
      <c r="AI463" s="4"/>
      <c r="AJ463" s="4"/>
      <c r="AK463" s="4"/>
      <c r="AL463" s="4">
        <v>3418665.904704</v>
      </c>
      <c r="AM463" s="4">
        <f t="shared" si="49"/>
        <v>2288939.5883131498</v>
      </c>
      <c r="AN463" s="4"/>
      <c r="AO463" s="4"/>
      <c r="AP463" s="4"/>
      <c r="AQ463" s="4"/>
      <c r="AR463" s="4">
        <v>121189.935142</v>
      </c>
      <c r="AS463" s="4">
        <f t="shared" si="31"/>
        <v>118805.36843747924</v>
      </c>
      <c r="AT463" s="4"/>
      <c r="AU463" s="4"/>
      <c r="AV463" s="4"/>
      <c r="AW463" s="4"/>
      <c r="AX463" s="4">
        <v>105403.53244</v>
      </c>
      <c r="AY463" s="4">
        <f t="shared" si="43"/>
        <v>103291.92734147214</v>
      </c>
      <c r="AZ463" s="4"/>
      <c r="BA463" s="4"/>
      <c r="BB463" s="4"/>
      <c r="BC463" s="4"/>
      <c r="BD463" s="4"/>
      <c r="BE463" s="4"/>
      <c r="BF463" s="4"/>
      <c r="BG463" s="4"/>
      <c r="BH463" s="4">
        <v>81204</v>
      </c>
      <c r="BI463" s="4">
        <v>85018</v>
      </c>
      <c r="BJ463" s="4"/>
      <c r="BK463" s="4">
        <f aca="true" t="shared" si="58" ref="BK463:BK470">BI463</f>
        <v>85018</v>
      </c>
      <c r="BL463" s="4">
        <f aca="true" t="shared" si="59" ref="BL463:BL470">BH463+BK463</f>
        <v>166222</v>
      </c>
      <c r="BM463" s="4"/>
      <c r="BN463" s="4"/>
      <c r="BO463" s="4">
        <v>9528.910283</v>
      </c>
      <c r="BP463" s="4"/>
      <c r="BQ463" s="4">
        <f t="shared" si="56"/>
        <v>3821010.2825690005</v>
      </c>
      <c r="BT463" s="4">
        <f t="shared" si="57"/>
        <v>2677258.8840921014</v>
      </c>
      <c r="BW463" s="52"/>
      <c r="BX463" s="4">
        <f t="shared" si="52"/>
        <v>7073654.191783001</v>
      </c>
      <c r="BY463" s="4">
        <f t="shared" si="53"/>
        <v>5992055.224692356</v>
      </c>
    </row>
    <row r="464" spans="1:77" ht="12.75">
      <c r="A464" s="3" t="s">
        <v>1097</v>
      </c>
      <c r="B464" s="3" t="s">
        <v>463</v>
      </c>
      <c r="C464" s="3" t="s">
        <v>1349</v>
      </c>
      <c r="D464" s="3"/>
      <c r="E464" s="4"/>
      <c r="F464" s="4">
        <v>3255606.892925</v>
      </c>
      <c r="G464" s="4">
        <f t="shared" si="44"/>
        <v>3317815.941834395</v>
      </c>
      <c r="H464" s="4"/>
      <c r="I464" s="4"/>
      <c r="J464" s="4">
        <v>70748.228217</v>
      </c>
      <c r="K464" s="4">
        <f t="shared" si="45"/>
        <v>72100.10518929936</v>
      </c>
      <c r="L464" s="4"/>
      <c r="M464" s="4"/>
      <c r="N464" s="4"/>
      <c r="O464" s="4"/>
      <c r="P464" s="4"/>
      <c r="Q464" s="4"/>
      <c r="R464" s="4"/>
      <c r="S464" s="4"/>
      <c r="T464" s="4">
        <v>75314.6533</v>
      </c>
      <c r="U464" s="4">
        <f t="shared" si="46"/>
        <v>76753.78680254778</v>
      </c>
      <c r="V464" s="4"/>
      <c r="W464" s="4"/>
      <c r="X464" s="4"/>
      <c r="Y464" s="4"/>
      <c r="Z464" s="13">
        <f t="shared" si="47"/>
        <v>3401669.774442</v>
      </c>
      <c r="AC464" s="13">
        <f t="shared" si="48"/>
        <v>3466669.833826242</v>
      </c>
      <c r="AF464" s="51"/>
      <c r="AG464" s="4"/>
      <c r="AH464" s="4"/>
      <c r="AI464" s="4"/>
      <c r="AJ464" s="4"/>
      <c r="AK464" s="4"/>
      <c r="AL464" s="4">
        <v>3596725.515641</v>
      </c>
      <c r="AM464" s="4">
        <f t="shared" si="49"/>
        <v>2408157.933689495</v>
      </c>
      <c r="AN464" s="4"/>
      <c r="AO464" s="4"/>
      <c r="AP464" s="4"/>
      <c r="AQ464" s="4"/>
      <c r="AR464" s="4">
        <v>102184.189942</v>
      </c>
      <c r="AS464" s="4">
        <f t="shared" si="31"/>
        <v>100173.58554008648</v>
      </c>
      <c r="AT464" s="4"/>
      <c r="AU464" s="4"/>
      <c r="AV464" s="4"/>
      <c r="AW464" s="4"/>
      <c r="AX464" s="4">
        <v>106839.842258</v>
      </c>
      <c r="AY464" s="4">
        <f t="shared" si="43"/>
        <v>104699.46279997447</v>
      </c>
      <c r="AZ464" s="4"/>
      <c r="BA464" s="4"/>
      <c r="BB464" s="4"/>
      <c r="BC464" s="4"/>
      <c r="BD464" s="4"/>
      <c r="BE464" s="4"/>
      <c r="BF464" s="4"/>
      <c r="BG464" s="4"/>
      <c r="BH464" s="4">
        <v>70121</v>
      </c>
      <c r="BI464" s="4">
        <v>69560</v>
      </c>
      <c r="BJ464" s="4"/>
      <c r="BK464" s="4">
        <f t="shared" si="58"/>
        <v>69560</v>
      </c>
      <c r="BL464" s="4">
        <f t="shared" si="59"/>
        <v>139681</v>
      </c>
      <c r="BM464" s="4">
        <v>974522</v>
      </c>
      <c r="BN464" s="4">
        <f>BM464/BM$680*BN$680</f>
        <v>974522</v>
      </c>
      <c r="BO464" s="4">
        <v>9965.494839</v>
      </c>
      <c r="BP464" s="4"/>
      <c r="BQ464" s="4">
        <f t="shared" si="56"/>
        <v>4929918.042679999</v>
      </c>
      <c r="BT464" s="4">
        <f t="shared" si="57"/>
        <v>3727233.982029556</v>
      </c>
      <c r="BW464" s="52"/>
      <c r="BX464" s="4">
        <f t="shared" si="52"/>
        <v>8331587.817121999</v>
      </c>
      <c r="BY464" s="4">
        <f t="shared" si="53"/>
        <v>7193903.815855797</v>
      </c>
    </row>
    <row r="465" spans="1:77" ht="12.75">
      <c r="A465" s="3" t="s">
        <v>1098</v>
      </c>
      <c r="B465" s="3" t="s">
        <v>464</v>
      </c>
      <c r="C465" s="3" t="s">
        <v>1349</v>
      </c>
      <c r="D465" s="3"/>
      <c r="E465" s="4"/>
      <c r="F465" s="4">
        <v>1883574.531792</v>
      </c>
      <c r="G465" s="4">
        <f t="shared" si="44"/>
        <v>1919566.401826242</v>
      </c>
      <c r="H465" s="4"/>
      <c r="I465" s="4"/>
      <c r="J465" s="4">
        <v>75461.274155</v>
      </c>
      <c r="K465" s="4">
        <f t="shared" si="45"/>
        <v>76903.20932993632</v>
      </c>
      <c r="L465" s="4"/>
      <c r="M465" s="4"/>
      <c r="N465" s="4"/>
      <c r="O465" s="4"/>
      <c r="P465" s="4"/>
      <c r="Q465" s="4"/>
      <c r="R465" s="4"/>
      <c r="S465" s="4"/>
      <c r="T465" s="4">
        <v>38461.094033</v>
      </c>
      <c r="U465" s="4">
        <f t="shared" si="46"/>
        <v>39196.0193966879</v>
      </c>
      <c r="V465" s="4"/>
      <c r="W465" s="4"/>
      <c r="X465" s="4"/>
      <c r="Y465" s="4"/>
      <c r="Z465" s="13">
        <f t="shared" si="47"/>
        <v>1997496.89998</v>
      </c>
      <c r="AC465" s="13">
        <f t="shared" si="48"/>
        <v>2035665.6305528663</v>
      </c>
      <c r="AF465" s="51"/>
      <c r="AG465" s="4"/>
      <c r="AH465" s="4"/>
      <c r="AI465" s="4"/>
      <c r="AJ465" s="4"/>
      <c r="AK465" s="4"/>
      <c r="AL465" s="4">
        <v>2080933.233625</v>
      </c>
      <c r="AM465" s="4">
        <f t="shared" si="49"/>
        <v>1393271.7006732975</v>
      </c>
      <c r="AN465" s="4"/>
      <c r="AO465" s="4"/>
      <c r="AP465" s="4"/>
      <c r="AQ465" s="4"/>
      <c r="AR465" s="4">
        <v>108991.410328</v>
      </c>
      <c r="AS465" s="4">
        <f t="shared" si="31"/>
        <v>106846.86517379736</v>
      </c>
      <c r="AT465" s="4"/>
      <c r="AU465" s="4"/>
      <c r="AV465" s="4"/>
      <c r="AW465" s="4"/>
      <c r="AX465" s="4">
        <v>54560.129265</v>
      </c>
      <c r="AY465" s="4">
        <f t="shared" si="43"/>
        <v>53467.09713917542</v>
      </c>
      <c r="AZ465" s="4"/>
      <c r="BA465" s="4"/>
      <c r="BB465" s="4"/>
      <c r="BC465" s="4"/>
      <c r="BD465" s="4"/>
      <c r="BE465" s="4"/>
      <c r="BF465" s="4"/>
      <c r="BG465" s="4"/>
      <c r="BH465" s="4">
        <v>75459</v>
      </c>
      <c r="BI465" s="4">
        <v>74915</v>
      </c>
      <c r="BJ465" s="4"/>
      <c r="BK465" s="4">
        <f t="shared" si="58"/>
        <v>74915</v>
      </c>
      <c r="BL465" s="4">
        <f t="shared" si="59"/>
        <v>150374</v>
      </c>
      <c r="BM465" s="4"/>
      <c r="BN465" s="4"/>
      <c r="BO465" s="4">
        <v>5851.845231</v>
      </c>
      <c r="BP465" s="4"/>
      <c r="BQ465" s="4">
        <f t="shared" si="56"/>
        <v>2400710.618449</v>
      </c>
      <c r="BT465" s="4">
        <f t="shared" si="57"/>
        <v>1703959.6629862704</v>
      </c>
      <c r="BW465" s="52"/>
      <c r="BX465" s="4">
        <f t="shared" si="52"/>
        <v>4398207.518429</v>
      </c>
      <c r="BY465" s="4">
        <f t="shared" si="53"/>
        <v>3739625.2935391366</v>
      </c>
    </row>
    <row r="466" spans="1:77" ht="12.75">
      <c r="A466" s="3" t="s">
        <v>1099</v>
      </c>
      <c r="B466" s="3" t="s">
        <v>465</v>
      </c>
      <c r="C466" s="3" t="s">
        <v>1349</v>
      </c>
      <c r="D466" s="3"/>
      <c r="E466" s="4"/>
      <c r="F466" s="4">
        <v>1999544.416715</v>
      </c>
      <c r="G466" s="4">
        <f t="shared" si="44"/>
        <v>2037752.271811465</v>
      </c>
      <c r="H466" s="4"/>
      <c r="I466" s="4"/>
      <c r="J466" s="4">
        <v>72877.89614</v>
      </c>
      <c r="K466" s="4">
        <f t="shared" si="45"/>
        <v>74270.46740382165</v>
      </c>
      <c r="L466" s="4"/>
      <c r="M466" s="4"/>
      <c r="N466" s="4"/>
      <c r="O466" s="4"/>
      <c r="P466" s="4"/>
      <c r="Q466" s="4"/>
      <c r="R466" s="4"/>
      <c r="S466" s="4"/>
      <c r="T466" s="4">
        <v>43118.342591</v>
      </c>
      <c r="U466" s="4">
        <f t="shared" si="46"/>
        <v>43942.25996535032</v>
      </c>
      <c r="V466" s="4"/>
      <c r="W466" s="4"/>
      <c r="X466" s="4"/>
      <c r="Y466" s="4"/>
      <c r="Z466" s="13">
        <f t="shared" si="47"/>
        <v>2115540.655446</v>
      </c>
      <c r="AC466" s="13">
        <f t="shared" si="48"/>
        <v>2155964.999180637</v>
      </c>
      <c r="AF466" s="51"/>
      <c r="AG466" s="4"/>
      <c r="AH466" s="4"/>
      <c r="AI466" s="4"/>
      <c r="AJ466" s="4"/>
      <c r="AK466" s="4"/>
      <c r="AL466" s="4">
        <v>2209054.305323</v>
      </c>
      <c r="AM466" s="4">
        <f t="shared" si="49"/>
        <v>1479054.1085719864</v>
      </c>
      <c r="AN466" s="4"/>
      <c r="AO466" s="4"/>
      <c r="AP466" s="4"/>
      <c r="AQ466" s="4"/>
      <c r="AR466" s="4">
        <v>105260.1453</v>
      </c>
      <c r="AS466" s="4">
        <f t="shared" si="31"/>
        <v>103189.01754915752</v>
      </c>
      <c r="AT466" s="4"/>
      <c r="AU466" s="4"/>
      <c r="AV466" s="4"/>
      <c r="AW466" s="4"/>
      <c r="AX466" s="4">
        <v>61166.807772</v>
      </c>
      <c r="AY466" s="4">
        <f t="shared" si="43"/>
        <v>59941.42053722633</v>
      </c>
      <c r="AZ466" s="4"/>
      <c r="BA466" s="4"/>
      <c r="BB466" s="4"/>
      <c r="BC466" s="4"/>
      <c r="BD466" s="4">
        <v>7201</v>
      </c>
      <c r="BE466" s="4">
        <f>BD466/BD$680*BE$680</f>
        <v>10233.001114699013</v>
      </c>
      <c r="BF466" s="4">
        <v>1515.9989298822072</v>
      </c>
      <c r="BG466" s="4">
        <f>BE466+BF466</f>
        <v>11749.00004458122</v>
      </c>
      <c r="BH466" s="4">
        <v>73370</v>
      </c>
      <c r="BI466" s="4">
        <v>72896</v>
      </c>
      <c r="BJ466" s="4"/>
      <c r="BK466" s="4">
        <f t="shared" si="58"/>
        <v>72896</v>
      </c>
      <c r="BL466" s="4">
        <f t="shared" si="59"/>
        <v>146266</v>
      </c>
      <c r="BM466" s="4"/>
      <c r="BN466" s="4"/>
      <c r="BO466" s="4">
        <v>6197.664936</v>
      </c>
      <c r="BP466" s="4"/>
      <c r="BQ466" s="4">
        <f t="shared" si="56"/>
        <v>2536661.9222608823</v>
      </c>
      <c r="BT466" s="4">
        <f t="shared" si="57"/>
        <v>1800199.5467029517</v>
      </c>
      <c r="BW466" s="52"/>
      <c r="BX466" s="4">
        <f t="shared" si="52"/>
        <v>4652202.577706883</v>
      </c>
      <c r="BY466" s="4">
        <f t="shared" si="53"/>
        <v>3956164.5458835885</v>
      </c>
    </row>
    <row r="467" spans="1:77" ht="12.75">
      <c r="A467" s="3" t="s">
        <v>1100</v>
      </c>
      <c r="B467" s="3" t="s">
        <v>466</v>
      </c>
      <c r="C467" s="3" t="s">
        <v>1349</v>
      </c>
      <c r="D467" s="3"/>
      <c r="E467" s="4"/>
      <c r="F467" s="4">
        <v>2475454.374946</v>
      </c>
      <c r="G467" s="4">
        <f t="shared" si="44"/>
        <v>2522756.050900382</v>
      </c>
      <c r="H467" s="4"/>
      <c r="I467" s="4"/>
      <c r="J467" s="4">
        <v>111263.236065</v>
      </c>
      <c r="K467" s="4">
        <f t="shared" si="45"/>
        <v>113389.28516178344</v>
      </c>
      <c r="L467" s="4"/>
      <c r="M467" s="4"/>
      <c r="N467" s="4"/>
      <c r="O467" s="4"/>
      <c r="P467" s="4"/>
      <c r="Q467" s="4"/>
      <c r="R467" s="4"/>
      <c r="S467" s="4"/>
      <c r="T467" s="4">
        <v>43118.342591</v>
      </c>
      <c r="U467" s="4">
        <f t="shared" si="46"/>
        <v>43942.25996535032</v>
      </c>
      <c r="V467" s="4"/>
      <c r="W467" s="4"/>
      <c r="X467" s="4"/>
      <c r="Y467" s="4"/>
      <c r="Z467" s="13">
        <f t="shared" si="47"/>
        <v>2629835.9536019997</v>
      </c>
      <c r="AC467" s="13">
        <f t="shared" si="48"/>
        <v>2680087.596027516</v>
      </c>
      <c r="AF467" s="51"/>
      <c r="AG467" s="4"/>
      <c r="AH467" s="4"/>
      <c r="AI467" s="4"/>
      <c r="AJ467" s="4"/>
      <c r="AK467" s="4"/>
      <c r="AL467" s="4">
        <v>2734829.543617</v>
      </c>
      <c r="AM467" s="4">
        <f t="shared" si="49"/>
        <v>1831082.587233787</v>
      </c>
      <c r="AN467" s="4"/>
      <c r="AO467" s="4"/>
      <c r="AP467" s="4"/>
      <c r="AQ467" s="4"/>
      <c r="AR467" s="4">
        <v>160701.461142</v>
      </c>
      <c r="AS467" s="4">
        <f t="shared" si="31"/>
        <v>157539.45471664757</v>
      </c>
      <c r="AT467" s="4"/>
      <c r="AU467" s="4"/>
      <c r="AV467" s="4"/>
      <c r="AW467" s="4"/>
      <c r="AX467" s="4">
        <v>61166.807772</v>
      </c>
      <c r="AY467" s="4">
        <f t="shared" si="43"/>
        <v>59941.42053722633</v>
      </c>
      <c r="AZ467" s="4"/>
      <c r="BA467" s="4"/>
      <c r="BB467" s="4"/>
      <c r="BC467" s="4"/>
      <c r="BD467" s="4">
        <v>24227.235294</v>
      </c>
      <c r="BE467" s="4">
        <f>BD467/BD$680*BE$680</f>
        <v>34428.18022074396</v>
      </c>
      <c r="BF467" s="4">
        <v>5100.466987877856</v>
      </c>
      <c r="BG467" s="4">
        <f>BE467+BF467</f>
        <v>39528.64720862182</v>
      </c>
      <c r="BH467" s="4">
        <v>113194</v>
      </c>
      <c r="BI467" s="4">
        <v>114312</v>
      </c>
      <c r="BJ467" s="4"/>
      <c r="BK467" s="4">
        <f t="shared" si="58"/>
        <v>114312</v>
      </c>
      <c r="BL467" s="4">
        <f t="shared" si="59"/>
        <v>227506</v>
      </c>
      <c r="BM467" s="4"/>
      <c r="BN467" s="4"/>
      <c r="BO467" s="4">
        <v>7704.338858</v>
      </c>
      <c r="BP467" s="4"/>
      <c r="BQ467" s="4">
        <f t="shared" si="56"/>
        <v>3221235.8536708774</v>
      </c>
      <c r="BT467" s="4">
        <f t="shared" si="57"/>
        <v>2315598.1096962825</v>
      </c>
      <c r="BW467" s="52"/>
      <c r="BX467" s="4">
        <f t="shared" si="52"/>
        <v>5851071.807272878</v>
      </c>
      <c r="BY467" s="4">
        <f t="shared" si="53"/>
        <v>4995685.705723798</v>
      </c>
    </row>
    <row r="468" spans="1:77" ht="12.75">
      <c r="A468" s="3" t="s">
        <v>1101</v>
      </c>
      <c r="B468" s="3" t="s">
        <v>467</v>
      </c>
      <c r="C468" s="3" t="s">
        <v>1349</v>
      </c>
      <c r="D468" s="3"/>
      <c r="E468" s="4"/>
      <c r="F468" s="4">
        <v>4831400.451408</v>
      </c>
      <c r="G468" s="4">
        <f t="shared" si="44"/>
        <v>4923720.20525656</v>
      </c>
      <c r="H468" s="4"/>
      <c r="I468" s="4"/>
      <c r="J468" s="4">
        <v>165153.73144</v>
      </c>
      <c r="K468" s="4">
        <f t="shared" si="45"/>
        <v>168309.5352254777</v>
      </c>
      <c r="L468" s="4"/>
      <c r="M468" s="4"/>
      <c r="N468" s="4"/>
      <c r="O468" s="4"/>
      <c r="P468" s="4"/>
      <c r="Q468" s="4"/>
      <c r="R468" s="4"/>
      <c r="S468" s="4"/>
      <c r="T468" s="4">
        <v>81186.818556</v>
      </c>
      <c r="U468" s="4">
        <f t="shared" si="46"/>
        <v>82738.15903796178</v>
      </c>
      <c r="V468" s="4"/>
      <c r="W468" s="4"/>
      <c r="X468" s="4"/>
      <c r="Y468" s="4"/>
      <c r="Z468" s="13">
        <f t="shared" si="47"/>
        <v>5077741.0014039995</v>
      </c>
      <c r="AC468" s="13">
        <f t="shared" si="48"/>
        <v>5174767.8995199995</v>
      </c>
      <c r="AF468" s="51"/>
      <c r="AG468" s="4"/>
      <c r="AH468" s="4"/>
      <c r="AI468" s="4"/>
      <c r="AJ468" s="4"/>
      <c r="AK468" s="4"/>
      <c r="AL468" s="4">
        <v>5337628.851206</v>
      </c>
      <c r="AM468" s="4">
        <f t="shared" si="49"/>
        <v>3573765.4178013885</v>
      </c>
      <c r="AN468" s="4"/>
      <c r="AO468" s="4"/>
      <c r="AP468" s="4"/>
      <c r="AQ468" s="4"/>
      <c r="AR468" s="4">
        <v>238537.426146</v>
      </c>
      <c r="AS468" s="4">
        <f t="shared" si="31"/>
        <v>233843.89773125708</v>
      </c>
      <c r="AT468" s="4"/>
      <c r="AU468" s="4"/>
      <c r="AV468" s="4"/>
      <c r="AW468" s="4"/>
      <c r="AX468" s="4">
        <v>115169.976995</v>
      </c>
      <c r="AY468" s="4">
        <f t="shared" si="43"/>
        <v>112862.71551153489</v>
      </c>
      <c r="AZ468" s="4"/>
      <c r="BA468" s="4"/>
      <c r="BB468" s="4"/>
      <c r="BC468" s="4"/>
      <c r="BD468" s="4"/>
      <c r="BE468" s="4"/>
      <c r="BF468" s="4"/>
      <c r="BG468" s="4"/>
      <c r="BH468" s="4">
        <v>161632</v>
      </c>
      <c r="BI468" s="4">
        <v>162367</v>
      </c>
      <c r="BJ468" s="4"/>
      <c r="BK468" s="4">
        <f t="shared" si="58"/>
        <v>162367</v>
      </c>
      <c r="BL468" s="4">
        <f t="shared" si="59"/>
        <v>323999</v>
      </c>
      <c r="BM468" s="4"/>
      <c r="BN468" s="4"/>
      <c r="BO468" s="4">
        <v>14875.694909</v>
      </c>
      <c r="BP468" s="4"/>
      <c r="BQ468" s="4">
        <f t="shared" si="56"/>
        <v>6030210.949255999</v>
      </c>
      <c r="BT468" s="4">
        <f t="shared" si="57"/>
        <v>4244471.0310441805</v>
      </c>
      <c r="BW468" s="52"/>
      <c r="BX468" s="4">
        <f t="shared" si="52"/>
        <v>11107951.950659998</v>
      </c>
      <c r="BY468" s="4">
        <f t="shared" si="53"/>
        <v>9419238.93056418</v>
      </c>
    </row>
    <row r="469" spans="1:77" ht="12.75">
      <c r="A469" s="3" t="s">
        <v>1102</v>
      </c>
      <c r="B469" s="3" t="s">
        <v>468</v>
      </c>
      <c r="C469" s="3" t="s">
        <v>1349</v>
      </c>
      <c r="D469" s="3"/>
      <c r="E469" s="4"/>
      <c r="F469" s="4">
        <v>2987685.332758</v>
      </c>
      <c r="G469" s="4">
        <f t="shared" si="44"/>
        <v>3044774.8614094267</v>
      </c>
      <c r="H469" s="4"/>
      <c r="I469" s="4"/>
      <c r="J469" s="4">
        <v>88836.354402</v>
      </c>
      <c r="K469" s="4">
        <f t="shared" si="45"/>
        <v>90533.86435872612</v>
      </c>
      <c r="L469" s="4"/>
      <c r="M469" s="4"/>
      <c r="N469" s="4"/>
      <c r="O469" s="4"/>
      <c r="P469" s="4"/>
      <c r="Q469" s="4"/>
      <c r="R469" s="4"/>
      <c r="S469" s="4"/>
      <c r="T469" s="4">
        <v>28944.178682</v>
      </c>
      <c r="U469" s="4">
        <f t="shared" si="46"/>
        <v>29497.25216</v>
      </c>
      <c r="V469" s="4"/>
      <c r="W469" s="4"/>
      <c r="X469" s="4"/>
      <c r="Y469" s="4"/>
      <c r="Z469" s="13">
        <f t="shared" si="47"/>
        <v>3105465.865842</v>
      </c>
      <c r="AC469" s="13">
        <f t="shared" si="48"/>
        <v>3164805.977928153</v>
      </c>
      <c r="AF469" s="51"/>
      <c r="AG469" s="4"/>
      <c r="AH469" s="4"/>
      <c r="AI469" s="4"/>
      <c r="AJ469" s="4"/>
      <c r="AK469" s="4"/>
      <c r="AL469" s="4">
        <v>3300731.452679</v>
      </c>
      <c r="AM469" s="4">
        <f t="shared" si="49"/>
        <v>2209977.5476836157</v>
      </c>
      <c r="AN469" s="4"/>
      <c r="AO469" s="4"/>
      <c r="AP469" s="4"/>
      <c r="AQ469" s="4"/>
      <c r="AR469" s="4">
        <v>128309.515882</v>
      </c>
      <c r="AS469" s="4">
        <f t="shared" si="31"/>
        <v>125784.8623364156</v>
      </c>
      <c r="AT469" s="4"/>
      <c r="AU469" s="4"/>
      <c r="AV469" s="4"/>
      <c r="AW469" s="4"/>
      <c r="AX469" s="4">
        <v>41059.625839</v>
      </c>
      <c r="AY469" s="4">
        <f t="shared" si="43"/>
        <v>40237.05648806641</v>
      </c>
      <c r="AZ469" s="4"/>
      <c r="BA469" s="4"/>
      <c r="BB469" s="4"/>
      <c r="BC469" s="4"/>
      <c r="BD469" s="4">
        <v>2595.176471</v>
      </c>
      <c r="BE469" s="4">
        <f>BD469/BD$680*BE$680</f>
        <v>3687.882755253944</v>
      </c>
      <c r="BF469" s="4">
        <v>546.3525556022057</v>
      </c>
      <c r="BG469" s="4">
        <f>BE469+BF469</f>
        <v>4234.23531085615</v>
      </c>
      <c r="BH469" s="4">
        <v>88257</v>
      </c>
      <c r="BI469" s="4">
        <v>87510</v>
      </c>
      <c r="BJ469" s="4"/>
      <c r="BK469" s="4">
        <f t="shared" si="58"/>
        <v>87510</v>
      </c>
      <c r="BL469" s="4">
        <f t="shared" si="59"/>
        <v>175767</v>
      </c>
      <c r="BM469" s="4"/>
      <c r="BN469" s="4"/>
      <c r="BO469" s="4">
        <v>9097.739085</v>
      </c>
      <c r="BP469" s="4"/>
      <c r="BQ469" s="4">
        <f t="shared" si="56"/>
        <v>3658106.862511602</v>
      </c>
      <c r="BT469" s="4">
        <f t="shared" si="57"/>
        <v>2556000.701818954</v>
      </c>
      <c r="BW469" s="52"/>
      <c r="BX469" s="4">
        <f t="shared" si="52"/>
        <v>6763572.728353603</v>
      </c>
      <c r="BY469" s="4">
        <f t="shared" si="53"/>
        <v>5720806.6797471065</v>
      </c>
    </row>
    <row r="470" spans="1:77" ht="12.75">
      <c r="A470" s="3" t="s">
        <v>1103</v>
      </c>
      <c r="B470" s="3" t="s">
        <v>469</v>
      </c>
      <c r="C470" s="3" t="s">
        <v>1349</v>
      </c>
      <c r="D470" s="3"/>
      <c r="E470" s="4"/>
      <c r="F470" s="4">
        <v>1399894.626473</v>
      </c>
      <c r="G470" s="4">
        <f t="shared" si="44"/>
        <v>1426644.2053228025</v>
      </c>
      <c r="H470" s="4"/>
      <c r="I470" s="4"/>
      <c r="J470" s="4">
        <v>57463.971444</v>
      </c>
      <c r="K470" s="4">
        <f t="shared" si="45"/>
        <v>58562.00911490446</v>
      </c>
      <c r="L470" s="4"/>
      <c r="M470" s="4"/>
      <c r="N470" s="4"/>
      <c r="O470" s="4"/>
      <c r="P470" s="4"/>
      <c r="Q470" s="4"/>
      <c r="R470" s="4"/>
      <c r="S470" s="4"/>
      <c r="T470" s="4">
        <v>20364.007684</v>
      </c>
      <c r="U470" s="4">
        <f t="shared" si="46"/>
        <v>20753.128849936307</v>
      </c>
      <c r="V470" s="4"/>
      <c r="W470" s="4"/>
      <c r="X470" s="4"/>
      <c r="Y470" s="4"/>
      <c r="Z470" s="13">
        <f t="shared" si="47"/>
        <v>1477722.6056010001</v>
      </c>
      <c r="AC470" s="13">
        <f t="shared" si="48"/>
        <v>1505959.3432876435</v>
      </c>
      <c r="AF470" s="51"/>
      <c r="AG470" s="4"/>
      <c r="AH470" s="4"/>
      <c r="AI470" s="4"/>
      <c r="AJ470" s="4"/>
      <c r="AK470" s="4"/>
      <c r="AL470" s="4">
        <v>1546573.922418</v>
      </c>
      <c r="AM470" s="4">
        <f t="shared" si="49"/>
        <v>1035495.8267212767</v>
      </c>
      <c r="AN470" s="4"/>
      <c r="AO470" s="4"/>
      <c r="AP470" s="4"/>
      <c r="AQ470" s="4"/>
      <c r="AR470" s="4">
        <v>82997.263972</v>
      </c>
      <c r="AS470" s="4">
        <f t="shared" si="31"/>
        <v>81364.18683566805</v>
      </c>
      <c r="AT470" s="4"/>
      <c r="AU470" s="4"/>
      <c r="AV470" s="4"/>
      <c r="AW470" s="4"/>
      <c r="AX470" s="4">
        <v>28887.968986</v>
      </c>
      <c r="AY470" s="4">
        <f t="shared" si="43"/>
        <v>28309.240918876858</v>
      </c>
      <c r="AZ470" s="4"/>
      <c r="BA470" s="4"/>
      <c r="BB470" s="4"/>
      <c r="BC470" s="4"/>
      <c r="BD470" s="4"/>
      <c r="BE470" s="4"/>
      <c r="BF470" s="4"/>
      <c r="BG470" s="4"/>
      <c r="BH470" s="4">
        <v>56708</v>
      </c>
      <c r="BI470" s="4">
        <v>56815</v>
      </c>
      <c r="BJ470" s="4"/>
      <c r="BK470" s="4">
        <f t="shared" si="58"/>
        <v>56815</v>
      </c>
      <c r="BL470" s="4">
        <f t="shared" si="59"/>
        <v>113523</v>
      </c>
      <c r="BM470" s="4"/>
      <c r="BN470" s="4"/>
      <c r="BO470" s="4">
        <v>4329.120102</v>
      </c>
      <c r="BP470" s="4"/>
      <c r="BQ470" s="4">
        <f t="shared" si="56"/>
        <v>1776311.2754779998</v>
      </c>
      <c r="BT470" s="4">
        <f t="shared" si="57"/>
        <v>1258692.2544758215</v>
      </c>
      <c r="BW470" s="52"/>
      <c r="BX470" s="4">
        <f t="shared" si="52"/>
        <v>3254033.881079</v>
      </c>
      <c r="BY470" s="4">
        <f t="shared" si="53"/>
        <v>2764651.597763465</v>
      </c>
    </row>
    <row r="471" spans="1:77" ht="12.75">
      <c r="A471" s="3" t="s">
        <v>1104</v>
      </c>
      <c r="B471" s="3" t="s">
        <v>470</v>
      </c>
      <c r="C471" s="3" t="s">
        <v>1349</v>
      </c>
      <c r="D471" s="3"/>
      <c r="E471" s="4"/>
      <c r="F471" s="4">
        <v>1906091.519687</v>
      </c>
      <c r="G471" s="4">
        <f t="shared" si="44"/>
        <v>1942513.6506364332</v>
      </c>
      <c r="H471" s="4"/>
      <c r="I471" s="4"/>
      <c r="J471" s="4">
        <v>74936.697317</v>
      </c>
      <c r="K471" s="4">
        <f t="shared" si="45"/>
        <v>76368.60873070064</v>
      </c>
      <c r="L471" s="4"/>
      <c r="M471" s="4"/>
      <c r="N471" s="4"/>
      <c r="O471" s="4"/>
      <c r="P471" s="4"/>
      <c r="Q471" s="4"/>
      <c r="R471" s="4"/>
      <c r="S471" s="4"/>
      <c r="T471" s="4">
        <v>34613.925701</v>
      </c>
      <c r="U471" s="4">
        <f t="shared" si="46"/>
        <v>35275.33829401274</v>
      </c>
      <c r="V471" s="4"/>
      <c r="W471" s="4"/>
      <c r="X471" s="4"/>
      <c r="Y471" s="4"/>
      <c r="Z471" s="13">
        <f t="shared" si="47"/>
        <v>2015642.142705</v>
      </c>
      <c r="AC471" s="13">
        <f t="shared" si="48"/>
        <v>2054157.5976611464</v>
      </c>
      <c r="AF471" s="51"/>
      <c r="AG471" s="4"/>
      <c r="AH471" s="4"/>
      <c r="AI471" s="4"/>
      <c r="AJ471" s="4"/>
      <c r="AK471" s="4"/>
      <c r="AL471" s="4">
        <v>2105809.524763</v>
      </c>
      <c r="AM471" s="4">
        <f t="shared" si="49"/>
        <v>1409927.4164359355</v>
      </c>
      <c r="AN471" s="4"/>
      <c r="AO471" s="4"/>
      <c r="AP471" s="4"/>
      <c r="AQ471" s="4"/>
      <c r="AR471" s="4">
        <v>108233.745287</v>
      </c>
      <c r="AS471" s="4">
        <f t="shared" si="31"/>
        <v>106104.10815983634</v>
      </c>
      <c r="AT471" s="4"/>
      <c r="AU471" s="4"/>
      <c r="AV471" s="4"/>
      <c r="AW471" s="4"/>
      <c r="AX471" s="4">
        <v>49102.614164</v>
      </c>
      <c r="AY471" s="4">
        <f t="shared" si="43"/>
        <v>48118.91534461963</v>
      </c>
      <c r="AZ471" s="4"/>
      <c r="BA471" s="4"/>
      <c r="BB471" s="4"/>
      <c r="BC471" s="4"/>
      <c r="BD471" s="4"/>
      <c r="BE471" s="4"/>
      <c r="BF471" s="4"/>
      <c r="BG471" s="4"/>
      <c r="BH471" s="4"/>
      <c r="BI471" s="4">
        <v>75827</v>
      </c>
      <c r="BJ471" s="4"/>
      <c r="BK471" s="4">
        <f>BI471</f>
        <v>75827</v>
      </c>
      <c r="BL471" s="4">
        <f>BH471+BK471</f>
        <v>75827</v>
      </c>
      <c r="BM471" s="4"/>
      <c r="BN471" s="4"/>
      <c r="BO471" s="4">
        <v>5905.003338</v>
      </c>
      <c r="BP471" s="4"/>
      <c r="BQ471" s="4">
        <f t="shared" si="56"/>
        <v>2344877.887552</v>
      </c>
      <c r="BT471" s="4">
        <f t="shared" si="57"/>
        <v>1639977.4399403916</v>
      </c>
      <c r="BW471" s="52"/>
      <c r="BX471" s="4">
        <f t="shared" si="52"/>
        <v>4360520.030257</v>
      </c>
      <c r="BY471" s="4">
        <f t="shared" si="53"/>
        <v>3694135.037601538</v>
      </c>
    </row>
    <row r="472" spans="1:77" ht="12.75">
      <c r="A472" s="3" t="s">
        <v>1105</v>
      </c>
      <c r="B472" s="3" t="s">
        <v>471</v>
      </c>
      <c r="C472" s="3" t="s">
        <v>1349</v>
      </c>
      <c r="D472" s="3"/>
      <c r="E472" s="4"/>
      <c r="F472" s="4">
        <v>2900626.370476</v>
      </c>
      <c r="G472" s="4">
        <f t="shared" si="44"/>
        <v>2956052.352077452</v>
      </c>
      <c r="H472" s="4"/>
      <c r="I472" s="4"/>
      <c r="J472" s="4">
        <v>108556.452163</v>
      </c>
      <c r="K472" s="4">
        <f aca="true" t="shared" si="60" ref="K472:K535">J472*RPI_inc</f>
        <v>110630.7792743949</v>
      </c>
      <c r="L472" s="4"/>
      <c r="M472" s="4"/>
      <c r="N472" s="4"/>
      <c r="O472" s="4"/>
      <c r="P472" s="4"/>
      <c r="Q472" s="4"/>
      <c r="R472" s="4"/>
      <c r="S472" s="4"/>
      <c r="T472" s="4">
        <v>26109.101532</v>
      </c>
      <c r="U472" s="4">
        <f t="shared" si="46"/>
        <v>26608.001561273886</v>
      </c>
      <c r="V472" s="4"/>
      <c r="W472" s="4"/>
      <c r="X472" s="4"/>
      <c r="Y472" s="4"/>
      <c r="Z472" s="13">
        <f t="shared" si="47"/>
        <v>3035291.9241710003</v>
      </c>
      <c r="AC472" s="13">
        <f t="shared" si="48"/>
        <v>3093291.1329131206</v>
      </c>
      <c r="AF472" s="51"/>
      <c r="AG472" s="4"/>
      <c r="AH472" s="4"/>
      <c r="AI472" s="4"/>
      <c r="AJ472" s="4"/>
      <c r="AK472" s="4"/>
      <c r="AL472" s="4">
        <v>3204550.555752</v>
      </c>
      <c r="AM472" s="4">
        <f t="shared" si="49"/>
        <v>2145580.4206309975</v>
      </c>
      <c r="AN472" s="4"/>
      <c r="AO472" s="4"/>
      <c r="AP472" s="4"/>
      <c r="AQ472" s="4"/>
      <c r="AR472" s="4">
        <v>156791.956589</v>
      </c>
      <c r="AS472" s="4">
        <f aca="true" t="shared" si="61" ref="AS472:AS535">AR472/$AR$680*$AS$680</f>
        <v>153706.8746572314</v>
      </c>
      <c r="AT472" s="4"/>
      <c r="AU472" s="4"/>
      <c r="AV472" s="4"/>
      <c r="AW472" s="4"/>
      <c r="AX472" s="4">
        <v>37037.842797</v>
      </c>
      <c r="AY472" s="4">
        <f t="shared" si="43"/>
        <v>36295.84396756666</v>
      </c>
      <c r="AZ472" s="4"/>
      <c r="BA472" s="4"/>
      <c r="BB472" s="4"/>
      <c r="BC472" s="4"/>
      <c r="BD472" s="4"/>
      <c r="BE472" s="4"/>
      <c r="BF472" s="4"/>
      <c r="BG472" s="4"/>
      <c r="BH472" s="4"/>
      <c r="BI472" s="4"/>
      <c r="BJ472" s="4"/>
      <c r="BK472" s="4"/>
      <c r="BL472" s="4"/>
      <c r="BM472" s="4"/>
      <c r="BN472" s="4"/>
      <c r="BO472" s="4">
        <v>8892.158267</v>
      </c>
      <c r="BP472" s="4"/>
      <c r="BQ472" s="4">
        <f t="shared" si="56"/>
        <v>3407272.513405</v>
      </c>
      <c r="BT472" s="4">
        <f t="shared" si="57"/>
        <v>2335583.1392557956</v>
      </c>
      <c r="BW472" s="52"/>
      <c r="BX472" s="4">
        <f t="shared" si="52"/>
        <v>6442564.437576</v>
      </c>
      <c r="BY472" s="4">
        <f t="shared" si="53"/>
        <v>5428874.272168916</v>
      </c>
    </row>
    <row r="473" spans="1:77" ht="12.75">
      <c r="A473" s="3" t="s">
        <v>1106</v>
      </c>
      <c r="B473" s="3" t="s">
        <v>472</v>
      </c>
      <c r="C473" s="3" t="s">
        <v>1349</v>
      </c>
      <c r="D473" s="3"/>
      <c r="E473" s="4"/>
      <c r="F473" s="4">
        <v>3664829.485302</v>
      </c>
      <c r="G473" s="4">
        <f t="shared" si="44"/>
        <v>3734858.074193121</v>
      </c>
      <c r="H473" s="4"/>
      <c r="I473" s="4"/>
      <c r="J473" s="4">
        <v>108752.761197</v>
      </c>
      <c r="K473" s="4">
        <f t="shared" si="60"/>
        <v>110830.83943643312</v>
      </c>
      <c r="L473" s="4"/>
      <c r="M473" s="4"/>
      <c r="N473" s="4"/>
      <c r="O473" s="4"/>
      <c r="P473" s="4"/>
      <c r="Q473" s="4"/>
      <c r="R473" s="4"/>
      <c r="S473" s="4"/>
      <c r="T473" s="4">
        <v>79971.901857</v>
      </c>
      <c r="U473" s="4">
        <f t="shared" si="46"/>
        <v>81500.02737019109</v>
      </c>
      <c r="V473" s="4"/>
      <c r="W473" s="4"/>
      <c r="X473" s="4"/>
      <c r="Y473" s="4"/>
      <c r="Z473" s="13">
        <f t="shared" si="47"/>
        <v>3853554.1483559995</v>
      </c>
      <c r="AC473" s="13">
        <f t="shared" si="48"/>
        <v>3927188.9409997454</v>
      </c>
      <c r="AF473" s="51"/>
      <c r="AG473" s="4"/>
      <c r="AH473" s="4"/>
      <c r="AI473" s="4"/>
      <c r="AJ473" s="4"/>
      <c r="AK473" s="4"/>
      <c r="AL473" s="4">
        <v>4048825.965108</v>
      </c>
      <c r="AM473" s="4">
        <f t="shared" si="49"/>
        <v>2710858.0645374036</v>
      </c>
      <c r="AN473" s="4"/>
      <c r="AO473" s="4"/>
      <c r="AP473" s="4"/>
      <c r="AQ473" s="4"/>
      <c r="AR473" s="4">
        <v>157075.492731</v>
      </c>
      <c r="AS473" s="4">
        <f t="shared" si="61"/>
        <v>153984.8318636296</v>
      </c>
      <c r="AT473" s="4"/>
      <c r="AU473" s="4"/>
      <c r="AV473" s="4"/>
      <c r="AW473" s="4"/>
      <c r="AX473" s="4">
        <v>113446.520765</v>
      </c>
      <c r="AY473" s="4">
        <f t="shared" si="43"/>
        <v>111173.78619802535</v>
      </c>
      <c r="AZ473" s="4"/>
      <c r="BA473" s="4"/>
      <c r="BB473" s="4"/>
      <c r="BC473" s="4"/>
      <c r="BD473" s="4"/>
      <c r="BE473" s="4"/>
      <c r="BF473" s="4"/>
      <c r="BG473" s="4"/>
      <c r="BH473" s="4">
        <v>106919</v>
      </c>
      <c r="BI473" s="4">
        <v>112464</v>
      </c>
      <c r="BJ473" s="4"/>
      <c r="BK473" s="4">
        <f>BI473</f>
        <v>112464</v>
      </c>
      <c r="BL473" s="4">
        <f>BH473+BK473</f>
        <v>219383</v>
      </c>
      <c r="BM473" s="4"/>
      <c r="BN473" s="4"/>
      <c r="BO473" s="4">
        <v>11289.330395</v>
      </c>
      <c r="BP473" s="4"/>
      <c r="BQ473" s="4">
        <f t="shared" si="56"/>
        <v>4550020.308999</v>
      </c>
      <c r="BT473" s="4">
        <f t="shared" si="57"/>
        <v>3195399.682599059</v>
      </c>
      <c r="BW473" s="52"/>
      <c r="BX473" s="4">
        <f t="shared" si="52"/>
        <v>8403574.457355</v>
      </c>
      <c r="BY473" s="4">
        <f t="shared" si="53"/>
        <v>7122588.623598805</v>
      </c>
    </row>
    <row r="474" spans="1:77" ht="12.75">
      <c r="A474" s="3" t="s">
        <v>1107</v>
      </c>
      <c r="B474" s="3" t="s">
        <v>473</v>
      </c>
      <c r="C474" s="3" t="s">
        <v>1349</v>
      </c>
      <c r="D474" s="3"/>
      <c r="E474" s="4"/>
      <c r="F474" s="4">
        <v>2837272.111552</v>
      </c>
      <c r="G474" s="4">
        <f t="shared" si="44"/>
        <v>2891487.502218599</v>
      </c>
      <c r="H474" s="4"/>
      <c r="I474" s="4"/>
      <c r="J474" s="4">
        <v>82720.635614</v>
      </c>
      <c r="K474" s="4">
        <f t="shared" si="60"/>
        <v>84301.2847021656</v>
      </c>
      <c r="L474" s="4"/>
      <c r="M474" s="4"/>
      <c r="N474" s="4"/>
      <c r="O474" s="4"/>
      <c r="P474" s="4"/>
      <c r="Q474" s="4"/>
      <c r="R474" s="4"/>
      <c r="S474" s="4"/>
      <c r="T474" s="4">
        <v>45953.41974</v>
      </c>
      <c r="U474" s="4">
        <f t="shared" si="46"/>
        <v>46831.51056305732</v>
      </c>
      <c r="V474" s="4"/>
      <c r="W474" s="4"/>
      <c r="X474" s="4"/>
      <c r="Y474" s="4"/>
      <c r="Z474" s="13">
        <f t="shared" si="47"/>
        <v>2965946.1669059996</v>
      </c>
      <c r="AC474" s="13">
        <f t="shared" si="48"/>
        <v>3022620.297483822</v>
      </c>
      <c r="AF474" s="51"/>
      <c r="AG474" s="4"/>
      <c r="AH474" s="4"/>
      <c r="AI474" s="4"/>
      <c r="AJ474" s="4"/>
      <c r="AK474" s="4"/>
      <c r="AL474" s="4">
        <v>3134558.11284</v>
      </c>
      <c r="AM474" s="4">
        <f t="shared" si="49"/>
        <v>2098717.557183715</v>
      </c>
      <c r="AN474" s="4"/>
      <c r="AO474" s="4"/>
      <c r="AP474" s="4"/>
      <c r="AQ474" s="4"/>
      <c r="AR474" s="4">
        <v>119476.36506</v>
      </c>
      <c r="AS474" s="4">
        <f t="shared" si="61"/>
        <v>117125.51503466231</v>
      </c>
      <c r="AT474" s="4"/>
      <c r="AU474" s="4"/>
      <c r="AV474" s="4"/>
      <c r="AW474" s="4"/>
      <c r="AX474" s="4">
        <v>65188.590814</v>
      </c>
      <c r="AY474" s="4">
        <f t="shared" si="43"/>
        <v>63882.63305772607</v>
      </c>
      <c r="AZ474" s="4"/>
      <c r="BA474" s="4"/>
      <c r="BB474" s="4"/>
      <c r="BC474" s="4"/>
      <c r="BD474" s="4"/>
      <c r="BE474" s="4"/>
      <c r="BF474" s="4"/>
      <c r="BG474" s="4"/>
      <c r="BH474" s="4">
        <v>82083</v>
      </c>
      <c r="BI474" s="4">
        <v>82730</v>
      </c>
      <c r="BJ474" s="4"/>
      <c r="BK474" s="4">
        <f>BI474</f>
        <v>82730</v>
      </c>
      <c r="BL474" s="4">
        <f>BH474+BK474</f>
        <v>164813</v>
      </c>
      <c r="BM474" s="4"/>
      <c r="BN474" s="4"/>
      <c r="BO474" s="4">
        <v>8689.003689</v>
      </c>
      <c r="BP474" s="4"/>
      <c r="BQ474" s="4">
        <f t="shared" si="56"/>
        <v>3492725.072403</v>
      </c>
      <c r="BT474" s="4">
        <f t="shared" si="57"/>
        <v>2444538.705276103</v>
      </c>
      <c r="BW474" s="52"/>
      <c r="BX474" s="4">
        <f t="shared" si="52"/>
        <v>6458671.239309</v>
      </c>
      <c r="BY474" s="4">
        <f t="shared" si="53"/>
        <v>5467159.002759925</v>
      </c>
    </row>
    <row r="475" spans="1:77" ht="12.75">
      <c r="A475" s="3" t="s">
        <v>1108</v>
      </c>
      <c r="B475" s="3" t="s">
        <v>474</v>
      </c>
      <c r="C475" s="3" t="s">
        <v>1349</v>
      </c>
      <c r="D475" s="3"/>
      <c r="E475" s="4"/>
      <c r="F475" s="4">
        <v>2635032.794265</v>
      </c>
      <c r="G475" s="4">
        <f t="shared" si="44"/>
        <v>2685383.7393783443</v>
      </c>
      <c r="H475" s="4"/>
      <c r="I475" s="4"/>
      <c r="J475" s="4">
        <v>73397.178336</v>
      </c>
      <c r="K475" s="4">
        <f t="shared" si="60"/>
        <v>74799.67218955414</v>
      </c>
      <c r="L475" s="4"/>
      <c r="M475" s="4"/>
      <c r="N475" s="4"/>
      <c r="O475" s="4"/>
      <c r="P475" s="4"/>
      <c r="Q475" s="4"/>
      <c r="R475" s="4"/>
      <c r="S475" s="4"/>
      <c r="T475" s="4">
        <v>68632.407818</v>
      </c>
      <c r="U475" s="4">
        <f t="shared" si="46"/>
        <v>69943.8551011465</v>
      </c>
      <c r="V475" s="4"/>
      <c r="W475" s="4"/>
      <c r="X475" s="4"/>
      <c r="Y475" s="4"/>
      <c r="Z475" s="13">
        <f t="shared" si="47"/>
        <v>2777062.380419</v>
      </c>
      <c r="AC475" s="13">
        <f t="shared" si="48"/>
        <v>2830127.266669045</v>
      </c>
      <c r="AF475" s="51"/>
      <c r="AG475" s="4"/>
      <c r="AH475" s="4"/>
      <c r="AI475" s="4"/>
      <c r="AJ475" s="4"/>
      <c r="AK475" s="4"/>
      <c r="AL475" s="4">
        <v>2911128.400139</v>
      </c>
      <c r="AM475" s="4">
        <f t="shared" si="49"/>
        <v>1949122.0339993476</v>
      </c>
      <c r="AN475" s="4"/>
      <c r="AO475" s="4"/>
      <c r="AP475" s="4"/>
      <c r="AQ475" s="4"/>
      <c r="AR475" s="4">
        <v>106010.163101</v>
      </c>
      <c r="AS475" s="4">
        <f t="shared" si="61"/>
        <v>103924.27779232925</v>
      </c>
      <c r="AT475" s="4"/>
      <c r="AU475" s="4"/>
      <c r="AV475" s="4"/>
      <c r="AW475" s="4"/>
      <c r="AX475" s="4">
        <v>97360.544115</v>
      </c>
      <c r="AY475" s="4">
        <f t="shared" si="43"/>
        <v>95410.06848491893</v>
      </c>
      <c r="AZ475" s="4"/>
      <c r="BA475" s="4"/>
      <c r="BB475" s="4"/>
      <c r="BC475" s="4"/>
      <c r="BD475" s="4"/>
      <c r="BE475" s="4"/>
      <c r="BF475" s="4"/>
      <c r="BG475" s="4"/>
      <c r="BH475" s="4"/>
      <c r="BI475" s="4"/>
      <c r="BJ475" s="4"/>
      <c r="BK475" s="4"/>
      <c r="BL475" s="4"/>
      <c r="BM475" s="4"/>
      <c r="BN475" s="4"/>
      <c r="BO475" s="4">
        <v>8135.651799</v>
      </c>
      <c r="BP475" s="4"/>
      <c r="BQ475" s="4">
        <f t="shared" si="56"/>
        <v>3122634.7591539994</v>
      </c>
      <c r="BT475" s="4">
        <f t="shared" si="57"/>
        <v>2148456.3802765957</v>
      </c>
      <c r="BW475" s="52"/>
      <c r="BX475" s="4">
        <f t="shared" si="52"/>
        <v>5899697.139572999</v>
      </c>
      <c r="BY475" s="4">
        <f t="shared" si="53"/>
        <v>4978583.64694564</v>
      </c>
    </row>
    <row r="476" spans="1:77" ht="12.75">
      <c r="A476" s="3" t="s">
        <v>1109</v>
      </c>
      <c r="B476" s="3" t="s">
        <v>475</v>
      </c>
      <c r="C476" s="3" t="s">
        <v>1349</v>
      </c>
      <c r="D476" s="3"/>
      <c r="E476" s="4"/>
      <c r="F476" s="4">
        <v>1295696.9837</v>
      </c>
      <c r="G476" s="4">
        <f t="shared" si="44"/>
        <v>1320455.5247898088</v>
      </c>
      <c r="H476" s="4"/>
      <c r="I476" s="4"/>
      <c r="J476" s="4">
        <v>43028.740957</v>
      </c>
      <c r="K476" s="4">
        <f t="shared" si="60"/>
        <v>43850.94619821656</v>
      </c>
      <c r="L476" s="4"/>
      <c r="M476" s="4"/>
      <c r="N476" s="4"/>
      <c r="O476" s="4"/>
      <c r="P476" s="4"/>
      <c r="Q476" s="4"/>
      <c r="R476" s="4"/>
      <c r="S476" s="4"/>
      <c r="T476" s="4">
        <v>26109.101532</v>
      </c>
      <c r="U476" s="4">
        <f t="shared" si="46"/>
        <v>26608.001561273886</v>
      </c>
      <c r="V476" s="4"/>
      <c r="W476" s="4"/>
      <c r="X476" s="4"/>
      <c r="Y476" s="4"/>
      <c r="Z476" s="13">
        <f t="shared" si="47"/>
        <v>1364834.8261890002</v>
      </c>
      <c r="AC476" s="13">
        <f t="shared" si="48"/>
        <v>1390914.4725492992</v>
      </c>
      <c r="AF476" s="51"/>
      <c r="AG476" s="4"/>
      <c r="AH476" s="4"/>
      <c r="AI476" s="4"/>
      <c r="AJ476" s="4"/>
      <c r="AK476" s="4"/>
      <c r="AL476" s="4">
        <v>1431458.574418</v>
      </c>
      <c r="AM476" s="4">
        <f t="shared" si="49"/>
        <v>958421.2939636047</v>
      </c>
      <c r="AN476" s="4"/>
      <c r="AO476" s="4"/>
      <c r="AP476" s="4"/>
      <c r="AQ476" s="4"/>
      <c r="AR476" s="4">
        <v>62147.945606</v>
      </c>
      <c r="AS476" s="4">
        <f t="shared" si="61"/>
        <v>60925.105428118964</v>
      </c>
      <c r="AT476" s="4"/>
      <c r="AU476" s="4"/>
      <c r="AV476" s="4"/>
      <c r="AW476" s="4"/>
      <c r="AX476" s="4">
        <v>37037.842797</v>
      </c>
      <c r="AY476" s="4">
        <f t="shared" si="43"/>
        <v>36295.84396756666</v>
      </c>
      <c r="AZ476" s="4"/>
      <c r="BA476" s="4"/>
      <c r="BB476" s="4"/>
      <c r="BC476" s="4"/>
      <c r="BD476" s="4">
        <v>3614.470588</v>
      </c>
      <c r="BE476" s="4">
        <f>BD476/BD$680*BE$680</f>
        <v>5136.353500354228</v>
      </c>
      <c r="BF476" s="4">
        <v>760.9406392860315</v>
      </c>
      <c r="BG476" s="4">
        <f>BE476+BF476</f>
        <v>5897.29413964026</v>
      </c>
      <c r="BH476" s="4"/>
      <c r="BI476" s="4"/>
      <c r="BJ476" s="4"/>
      <c r="BK476" s="4"/>
      <c r="BL476" s="4"/>
      <c r="BM476" s="4"/>
      <c r="BN476" s="4"/>
      <c r="BO476" s="4">
        <v>3998.405289</v>
      </c>
      <c r="BP476" s="4"/>
      <c r="BQ476" s="4">
        <f t="shared" si="56"/>
        <v>1539018.179337286</v>
      </c>
      <c r="BT476" s="4">
        <f t="shared" si="57"/>
        <v>1061539.5374989305</v>
      </c>
      <c r="BW476" s="52"/>
      <c r="BX476" s="4">
        <f t="shared" si="52"/>
        <v>2903853.005526286</v>
      </c>
      <c r="BY476" s="4">
        <f t="shared" si="53"/>
        <v>2452454.0100482297</v>
      </c>
    </row>
    <row r="477" spans="1:77" ht="12.75">
      <c r="A477" s="3" t="s">
        <v>1110</v>
      </c>
      <c r="B477" s="3" t="s">
        <v>476</v>
      </c>
      <c r="C477" s="3" t="s">
        <v>1349</v>
      </c>
      <c r="D477" s="3"/>
      <c r="E477" s="4"/>
      <c r="F477" s="4">
        <v>1463046.1597</v>
      </c>
      <c r="G477" s="4">
        <f t="shared" si="44"/>
        <v>1491002.455745223</v>
      </c>
      <c r="H477" s="4"/>
      <c r="I477" s="4"/>
      <c r="J477" s="4">
        <v>64281.433936</v>
      </c>
      <c r="K477" s="4">
        <f t="shared" si="60"/>
        <v>65509.74159082802</v>
      </c>
      <c r="L477" s="4"/>
      <c r="M477" s="4"/>
      <c r="N477" s="4"/>
      <c r="O477" s="4"/>
      <c r="P477" s="4"/>
      <c r="Q477" s="4"/>
      <c r="R477" s="4"/>
      <c r="S477" s="4"/>
      <c r="T477" s="4">
        <v>20364.007684</v>
      </c>
      <c r="U477" s="4">
        <f t="shared" si="46"/>
        <v>20753.128849936307</v>
      </c>
      <c r="V477" s="4"/>
      <c r="W477" s="4"/>
      <c r="X477" s="4"/>
      <c r="Y477" s="4"/>
      <c r="Z477" s="13">
        <f t="shared" si="47"/>
        <v>1547691.6013200001</v>
      </c>
      <c r="AC477" s="13">
        <f t="shared" si="48"/>
        <v>1577265.3261859873</v>
      </c>
      <c r="AF477" s="51"/>
      <c r="AG477" s="4"/>
      <c r="AH477" s="4"/>
      <c r="AI477" s="4"/>
      <c r="AJ477" s="4"/>
      <c r="AK477" s="4"/>
      <c r="AL477" s="4">
        <v>1616342.398276</v>
      </c>
      <c r="AM477" s="4">
        <f t="shared" si="49"/>
        <v>1082208.7348729358</v>
      </c>
      <c r="AN477" s="4"/>
      <c r="AO477" s="4"/>
      <c r="AP477" s="4"/>
      <c r="AQ477" s="4"/>
      <c r="AR477" s="4">
        <v>92843.968262</v>
      </c>
      <c r="AS477" s="4">
        <f t="shared" si="61"/>
        <v>91017.14464687272</v>
      </c>
      <c r="AT477" s="4"/>
      <c r="AU477" s="4"/>
      <c r="AV477" s="4"/>
      <c r="AW477" s="4"/>
      <c r="AX477" s="4">
        <v>28887.968986</v>
      </c>
      <c r="AY477" s="4">
        <f t="shared" si="43"/>
        <v>28309.240918876858</v>
      </c>
      <c r="AZ477" s="4"/>
      <c r="BA477" s="4"/>
      <c r="BB477" s="4"/>
      <c r="BC477" s="4"/>
      <c r="BD477" s="4"/>
      <c r="BE477" s="4"/>
      <c r="BF477" s="4"/>
      <c r="BG477" s="4"/>
      <c r="BH477" s="4"/>
      <c r="BI477" s="4"/>
      <c r="BJ477" s="4"/>
      <c r="BK477" s="4"/>
      <c r="BL477" s="4"/>
      <c r="BM477" s="4"/>
      <c r="BN477" s="4"/>
      <c r="BO477" s="4">
        <v>4534.100512</v>
      </c>
      <c r="BP477" s="4"/>
      <c r="BQ477" s="4">
        <f t="shared" si="56"/>
        <v>1742608.436036</v>
      </c>
      <c r="BT477" s="4">
        <f t="shared" si="57"/>
        <v>1201535.1204386854</v>
      </c>
      <c r="BW477" s="52"/>
      <c r="BX477" s="4">
        <f t="shared" si="52"/>
        <v>3290300.0373560004</v>
      </c>
      <c r="BY477" s="4">
        <f t="shared" si="53"/>
        <v>2778800.446624673</v>
      </c>
    </row>
    <row r="478" spans="1:77" ht="12.75">
      <c r="A478" s="3" t="s">
        <v>1111</v>
      </c>
      <c r="B478" s="3" t="s">
        <v>477</v>
      </c>
      <c r="C478" s="3" t="s">
        <v>1349</v>
      </c>
      <c r="D478" s="3"/>
      <c r="E478" s="4"/>
      <c r="F478" s="4">
        <v>4392596.216652</v>
      </c>
      <c r="G478" s="4">
        <f t="shared" si="44"/>
        <v>4476531.17620586</v>
      </c>
      <c r="H478" s="4"/>
      <c r="I478" s="4"/>
      <c r="J478" s="4">
        <v>78278.430978</v>
      </c>
      <c r="K478" s="4">
        <f t="shared" si="60"/>
        <v>79774.19717503185</v>
      </c>
      <c r="L478" s="4"/>
      <c r="M478" s="4"/>
      <c r="N478" s="4"/>
      <c r="O478" s="4"/>
      <c r="P478" s="4"/>
      <c r="Q478" s="4"/>
      <c r="R478" s="4"/>
      <c r="S478" s="4"/>
      <c r="T478" s="4">
        <v>34613.925701</v>
      </c>
      <c r="U478" s="4">
        <f t="shared" si="46"/>
        <v>35275.33829401274</v>
      </c>
      <c r="V478" s="4"/>
      <c r="W478" s="4"/>
      <c r="X478" s="4"/>
      <c r="Y478" s="4"/>
      <c r="Z478" s="13">
        <f t="shared" si="47"/>
        <v>4505488.573331</v>
      </c>
      <c r="AC478" s="13">
        <f t="shared" si="48"/>
        <v>4591580.711674904</v>
      </c>
      <c r="AF478" s="51"/>
      <c r="AG478" s="4"/>
      <c r="AH478" s="4"/>
      <c r="AI478" s="4"/>
      <c r="AJ478" s="4"/>
      <c r="AK478" s="4"/>
      <c r="AL478" s="4">
        <v>4852847.230013</v>
      </c>
      <c r="AM478" s="4">
        <f t="shared" si="49"/>
        <v>3249183.877701651</v>
      </c>
      <c r="AN478" s="4"/>
      <c r="AO478" s="4"/>
      <c r="AP478" s="4"/>
      <c r="AQ478" s="4"/>
      <c r="AR478" s="4">
        <v>113060.330429</v>
      </c>
      <c r="AS478" s="4">
        <f t="shared" si="61"/>
        <v>110835.72407677103</v>
      </c>
      <c r="AT478" s="4"/>
      <c r="AU478" s="4"/>
      <c r="AV478" s="4"/>
      <c r="AW478" s="4"/>
      <c r="AX478" s="4">
        <v>49102.614164</v>
      </c>
      <c r="AY478" s="4">
        <f t="shared" si="43"/>
        <v>48118.91534461963</v>
      </c>
      <c r="AZ478" s="4"/>
      <c r="BA478" s="4"/>
      <c r="BB478" s="4"/>
      <c r="BC478" s="4"/>
      <c r="BD478" s="4"/>
      <c r="BE478" s="4"/>
      <c r="BF478" s="4"/>
      <c r="BG478" s="4"/>
      <c r="BH478" s="4">
        <v>76317</v>
      </c>
      <c r="BI478" s="4">
        <v>76752</v>
      </c>
      <c r="BJ478" s="4"/>
      <c r="BK478" s="4">
        <f aca="true" t="shared" si="62" ref="BK478:BK512">BI478</f>
        <v>76752</v>
      </c>
      <c r="BL478" s="4">
        <f aca="true" t="shared" si="63" ref="BL478:BL486">BH478+BK478</f>
        <v>153069</v>
      </c>
      <c r="BM478" s="4"/>
      <c r="BN478" s="4"/>
      <c r="BO478" s="4">
        <v>13199.230409</v>
      </c>
      <c r="BP478" s="4"/>
      <c r="BQ478" s="4">
        <f t="shared" si="56"/>
        <v>5181278.405015</v>
      </c>
      <c r="BT478" s="4">
        <f t="shared" si="57"/>
        <v>3561207.5171230417</v>
      </c>
      <c r="BW478" s="52"/>
      <c r="BX478" s="4">
        <f t="shared" si="52"/>
        <v>9686766.978346001</v>
      </c>
      <c r="BY478" s="4">
        <f t="shared" si="53"/>
        <v>8152788.228797946</v>
      </c>
    </row>
    <row r="479" spans="1:77" ht="12.75">
      <c r="A479" s="3" t="s">
        <v>1112</v>
      </c>
      <c r="B479" s="3" t="s">
        <v>478</v>
      </c>
      <c r="C479" s="3" t="s">
        <v>1349</v>
      </c>
      <c r="D479" s="3"/>
      <c r="E479" s="4"/>
      <c r="F479" s="4">
        <v>1297742.864291</v>
      </c>
      <c r="G479" s="4">
        <f t="shared" si="44"/>
        <v>1322540.4986405096</v>
      </c>
      <c r="H479" s="4"/>
      <c r="I479" s="4"/>
      <c r="J479" s="4">
        <v>50106.048187</v>
      </c>
      <c r="K479" s="4">
        <f t="shared" si="60"/>
        <v>51063.48859821656</v>
      </c>
      <c r="L479" s="4"/>
      <c r="M479" s="4"/>
      <c r="N479" s="4"/>
      <c r="O479" s="4"/>
      <c r="P479" s="4"/>
      <c r="Q479" s="4"/>
      <c r="R479" s="4"/>
      <c r="S479" s="4"/>
      <c r="T479" s="4">
        <v>34613.925701</v>
      </c>
      <c r="U479" s="4">
        <f t="shared" si="46"/>
        <v>35275.33829401274</v>
      </c>
      <c r="V479" s="4"/>
      <c r="W479" s="4"/>
      <c r="X479" s="4"/>
      <c r="Y479" s="4"/>
      <c r="Z479" s="13">
        <f t="shared" si="47"/>
        <v>1382462.838179</v>
      </c>
      <c r="AC479" s="13">
        <f t="shared" si="48"/>
        <v>1408879.3255327388</v>
      </c>
      <c r="AF479" s="51"/>
      <c r="AG479" s="4"/>
      <c r="AH479" s="4"/>
      <c r="AI479" s="4"/>
      <c r="AJ479" s="4"/>
      <c r="AK479" s="4"/>
      <c r="AL479" s="4">
        <v>1433718.819948</v>
      </c>
      <c r="AM479" s="4">
        <f t="shared" si="49"/>
        <v>959934.6227348679</v>
      </c>
      <c r="AN479" s="4"/>
      <c r="AO479" s="4"/>
      <c r="AP479" s="4"/>
      <c r="AQ479" s="4"/>
      <c r="AR479" s="4">
        <v>72369.95292</v>
      </c>
      <c r="AS479" s="4">
        <f t="shared" si="61"/>
        <v>70945.98169715411</v>
      </c>
      <c r="AT479" s="4"/>
      <c r="AU479" s="4"/>
      <c r="AV479" s="4"/>
      <c r="AW479" s="4"/>
      <c r="AX479" s="4">
        <v>49102.614164</v>
      </c>
      <c r="AY479" s="4">
        <f t="shared" si="43"/>
        <v>48118.91534461963</v>
      </c>
      <c r="AZ479" s="4"/>
      <c r="BA479" s="4"/>
      <c r="BB479" s="4"/>
      <c r="BC479" s="4"/>
      <c r="BD479" s="4">
        <v>32777.235294</v>
      </c>
      <c r="BE479" s="4">
        <f>BD479/BD$680*BE$680</f>
        <v>46578.18154426522</v>
      </c>
      <c r="BF479" s="4">
        <v>6900.465717289448</v>
      </c>
      <c r="BG479" s="4">
        <f>BE479+BF479</f>
        <v>53478.647261554666</v>
      </c>
      <c r="BH479" s="4">
        <v>50696</v>
      </c>
      <c r="BI479" s="4">
        <v>51181</v>
      </c>
      <c r="BJ479" s="4"/>
      <c r="BK479" s="4">
        <f t="shared" si="62"/>
        <v>51181</v>
      </c>
      <c r="BL479" s="4">
        <f t="shared" si="63"/>
        <v>101877</v>
      </c>
      <c r="BM479" s="4"/>
      <c r="BN479" s="4"/>
      <c r="BO479" s="4">
        <v>4050.048121</v>
      </c>
      <c r="BP479" s="4"/>
      <c r="BQ479" s="4">
        <f t="shared" si="56"/>
        <v>1700796.1361642892</v>
      </c>
      <c r="BT479" s="4">
        <f t="shared" si="57"/>
        <v>1234355.1670381962</v>
      </c>
      <c r="BW479" s="52"/>
      <c r="BX479" s="4">
        <f t="shared" si="52"/>
        <v>3083258.974343289</v>
      </c>
      <c r="BY479" s="4">
        <f t="shared" si="53"/>
        <v>2643234.492570935</v>
      </c>
    </row>
    <row r="480" spans="1:77" ht="12.75">
      <c r="A480" s="3" t="s">
        <v>1113</v>
      </c>
      <c r="B480" s="3" t="s">
        <v>479</v>
      </c>
      <c r="C480" s="3" t="s">
        <v>1349</v>
      </c>
      <c r="D480" s="3"/>
      <c r="E480" s="4"/>
      <c r="F480" s="4">
        <v>2412510.273206</v>
      </c>
      <c r="G480" s="4">
        <f t="shared" si="44"/>
        <v>2458609.195623949</v>
      </c>
      <c r="H480" s="4"/>
      <c r="I480" s="4"/>
      <c r="J480" s="4">
        <v>80636.175788</v>
      </c>
      <c r="K480" s="4">
        <f t="shared" si="60"/>
        <v>82176.99443363056</v>
      </c>
      <c r="L480" s="4"/>
      <c r="M480" s="4"/>
      <c r="N480" s="4"/>
      <c r="O480" s="4"/>
      <c r="P480" s="4"/>
      <c r="Q480" s="4"/>
      <c r="R480" s="4"/>
      <c r="S480" s="4"/>
      <c r="T480" s="4">
        <v>37448.595571</v>
      </c>
      <c r="U480" s="4">
        <f t="shared" si="46"/>
        <v>38164.17383031847</v>
      </c>
      <c r="V480" s="4"/>
      <c r="W480" s="4"/>
      <c r="X480" s="4"/>
      <c r="Y480" s="4"/>
      <c r="Z480" s="13">
        <f t="shared" si="47"/>
        <v>2530595.0445650006</v>
      </c>
      <c r="AC480" s="13">
        <f t="shared" si="48"/>
        <v>2578950.363887898</v>
      </c>
      <c r="AF480" s="51"/>
      <c r="AG480" s="4"/>
      <c r="AH480" s="4"/>
      <c r="AI480" s="4"/>
      <c r="AJ480" s="4"/>
      <c r="AK480" s="4"/>
      <c r="AL480" s="4">
        <v>2665290.233671</v>
      </c>
      <c r="AM480" s="4">
        <f t="shared" si="49"/>
        <v>1784523.1152302895</v>
      </c>
      <c r="AN480" s="4"/>
      <c r="AO480" s="4"/>
      <c r="AP480" s="4"/>
      <c r="AQ480" s="4"/>
      <c r="AR480" s="4">
        <v>116465.70537</v>
      </c>
      <c r="AS480" s="4">
        <f t="shared" si="61"/>
        <v>114174.09391795642</v>
      </c>
      <c r="AT480" s="4"/>
      <c r="AU480" s="4"/>
      <c r="AV480" s="4"/>
      <c r="AW480" s="4"/>
      <c r="AX480" s="4">
        <v>53123.819447</v>
      </c>
      <c r="AY480" s="4">
        <f t="shared" si="43"/>
        <v>52059.561680673105</v>
      </c>
      <c r="AZ480" s="4"/>
      <c r="BA480" s="4"/>
      <c r="BB480" s="4"/>
      <c r="BC480" s="4"/>
      <c r="BD480" s="4"/>
      <c r="BE480" s="4"/>
      <c r="BF480" s="4"/>
      <c r="BG480" s="4"/>
      <c r="BH480" s="4">
        <v>78581</v>
      </c>
      <c r="BI480" s="4">
        <v>81211</v>
      </c>
      <c r="BJ480" s="4"/>
      <c r="BK480" s="4">
        <f t="shared" si="62"/>
        <v>81211</v>
      </c>
      <c r="BL480" s="4">
        <f t="shared" si="63"/>
        <v>159792</v>
      </c>
      <c r="BM480" s="4"/>
      <c r="BN480" s="4"/>
      <c r="BO480" s="4">
        <v>7413.603768</v>
      </c>
      <c r="BP480" s="4"/>
      <c r="BQ480" s="4">
        <f t="shared" si="56"/>
        <v>3002085.3622560003</v>
      </c>
      <c r="BT480" s="4">
        <f t="shared" si="57"/>
        <v>2110548.770828919</v>
      </c>
      <c r="BW480" s="52"/>
      <c r="BX480" s="4">
        <f t="shared" si="52"/>
        <v>5532680.406821001</v>
      </c>
      <c r="BY480" s="4">
        <f t="shared" si="53"/>
        <v>4689499.134716817</v>
      </c>
    </row>
    <row r="481" spans="1:77" ht="12.75">
      <c r="A481" s="3" t="s">
        <v>1114</v>
      </c>
      <c r="B481" s="3" t="s">
        <v>480</v>
      </c>
      <c r="C481" s="3" t="s">
        <v>1349</v>
      </c>
      <c r="D481" s="3"/>
      <c r="E481" s="4"/>
      <c r="F481" s="4">
        <v>1596725.373939</v>
      </c>
      <c r="G481" s="4">
        <f t="shared" si="44"/>
        <v>1627236.0498741402</v>
      </c>
      <c r="H481" s="4"/>
      <c r="I481" s="4"/>
      <c r="J481" s="4">
        <v>55667.051406</v>
      </c>
      <c r="K481" s="4">
        <f t="shared" si="60"/>
        <v>56730.753025222926</v>
      </c>
      <c r="L481" s="4"/>
      <c r="M481" s="4"/>
      <c r="N481" s="4"/>
      <c r="O481" s="4"/>
      <c r="P481" s="4"/>
      <c r="Q481" s="4"/>
      <c r="R481" s="4"/>
      <c r="S481" s="4"/>
      <c r="T481" s="4">
        <v>20439.354513</v>
      </c>
      <c r="U481" s="4">
        <f t="shared" si="46"/>
        <v>20829.915427261145</v>
      </c>
      <c r="V481" s="4"/>
      <c r="W481" s="4"/>
      <c r="X481" s="4"/>
      <c r="Y481" s="4"/>
      <c r="Z481" s="13">
        <f t="shared" si="47"/>
        <v>1672831.779858</v>
      </c>
      <c r="AC481" s="13">
        <f t="shared" si="48"/>
        <v>1704796.7183266243</v>
      </c>
      <c r="AF481" s="51"/>
      <c r="AG481" s="4"/>
      <c r="AH481" s="4"/>
      <c r="AI481" s="4"/>
      <c r="AJ481" s="4"/>
      <c r="AK481" s="4"/>
      <c r="AL481" s="4">
        <v>1764028.361778</v>
      </c>
      <c r="AM481" s="4">
        <f t="shared" si="49"/>
        <v>1181090.6548735881</v>
      </c>
      <c r="AN481" s="4"/>
      <c r="AO481" s="4"/>
      <c r="AP481" s="4"/>
      <c r="AQ481" s="4"/>
      <c r="AR481" s="4">
        <v>80401.908256</v>
      </c>
      <c r="AS481" s="4">
        <f t="shared" si="61"/>
        <v>78819.89805702971</v>
      </c>
      <c r="AT481" s="4"/>
      <c r="AU481" s="4"/>
      <c r="AV481" s="4"/>
      <c r="AW481" s="4"/>
      <c r="AX481" s="4">
        <v>28994.854471</v>
      </c>
      <c r="AY481" s="4">
        <f t="shared" si="43"/>
        <v>28413.985110033478</v>
      </c>
      <c r="AZ481" s="4"/>
      <c r="BA481" s="4"/>
      <c r="BB481" s="4"/>
      <c r="BC481" s="4"/>
      <c r="BD481" s="4">
        <v>70655.411765</v>
      </c>
      <c r="BE481" s="4">
        <f>BD481/BD$680*BE$680</f>
        <v>100405.06976125021</v>
      </c>
      <c r="BF481" s="4">
        <v>14874.813029596822</v>
      </c>
      <c r="BG481" s="4">
        <f>BE481+BF481</f>
        <v>115279.88279084704</v>
      </c>
      <c r="BH481" s="4">
        <v>54612</v>
      </c>
      <c r="BI481" s="4">
        <v>52173</v>
      </c>
      <c r="BJ481" s="4"/>
      <c r="BK481" s="4">
        <f t="shared" si="62"/>
        <v>52173</v>
      </c>
      <c r="BL481" s="4">
        <f t="shared" si="63"/>
        <v>106785</v>
      </c>
      <c r="BM481" s="4"/>
      <c r="BN481" s="4"/>
      <c r="BO481" s="4">
        <v>4900.70982</v>
      </c>
      <c r="BP481" s="4"/>
      <c r="BQ481" s="4">
        <f t="shared" si="56"/>
        <v>2070641.0591195966</v>
      </c>
      <c r="BT481" s="4">
        <f t="shared" si="57"/>
        <v>1510389.4208314985</v>
      </c>
      <c r="BW481" s="52"/>
      <c r="BX481" s="4">
        <f t="shared" si="52"/>
        <v>3743472.8389775967</v>
      </c>
      <c r="BY481" s="4">
        <f t="shared" si="53"/>
        <v>3215186.1391581227</v>
      </c>
    </row>
    <row r="482" spans="1:77" ht="12.75">
      <c r="A482" s="3" t="s">
        <v>1115</v>
      </c>
      <c r="B482" s="3" t="s">
        <v>481</v>
      </c>
      <c r="C482" s="3" t="s">
        <v>1349</v>
      </c>
      <c r="D482" s="3"/>
      <c r="E482" s="4"/>
      <c r="F482" s="4">
        <v>2239838.379936</v>
      </c>
      <c r="G482" s="4">
        <f t="shared" si="44"/>
        <v>2282637.839425223</v>
      </c>
      <c r="H482" s="4"/>
      <c r="I482" s="4"/>
      <c r="J482" s="4">
        <v>48391.80602</v>
      </c>
      <c r="K482" s="4">
        <f t="shared" si="60"/>
        <v>49316.490211464974</v>
      </c>
      <c r="L482" s="4"/>
      <c r="M482" s="4"/>
      <c r="N482" s="4"/>
      <c r="O482" s="4"/>
      <c r="P482" s="4"/>
      <c r="Q482" s="4"/>
      <c r="R482" s="4"/>
      <c r="S482" s="4"/>
      <c r="T482" s="4">
        <v>20364.007684</v>
      </c>
      <c r="U482" s="4">
        <f t="shared" si="46"/>
        <v>20753.128849936307</v>
      </c>
      <c r="V482" s="4"/>
      <c r="W482" s="4"/>
      <c r="X482" s="4"/>
      <c r="Y482" s="4"/>
      <c r="Z482" s="13">
        <f t="shared" si="47"/>
        <v>2308594.1936399997</v>
      </c>
      <c r="AC482" s="13">
        <f t="shared" si="48"/>
        <v>2352707.458486624</v>
      </c>
      <c r="AF482" s="51"/>
      <c r="AG482" s="4"/>
      <c r="AH482" s="4"/>
      <c r="AI482" s="4"/>
      <c r="AJ482" s="4"/>
      <c r="AK482" s="4"/>
      <c r="AL482" s="4">
        <v>2474525.984552</v>
      </c>
      <c r="AM482" s="4">
        <f t="shared" si="49"/>
        <v>1656798.4840393637</v>
      </c>
      <c r="AN482" s="4"/>
      <c r="AO482" s="4"/>
      <c r="AP482" s="4"/>
      <c r="AQ482" s="4"/>
      <c r="AR482" s="4">
        <v>69894.011803</v>
      </c>
      <c r="AS482" s="4">
        <f t="shared" si="61"/>
        <v>68518.75788281654</v>
      </c>
      <c r="AT482" s="4"/>
      <c r="AU482" s="4"/>
      <c r="AV482" s="4"/>
      <c r="AW482" s="4"/>
      <c r="AX482" s="4">
        <v>28887.968986</v>
      </c>
      <c r="AY482" s="4">
        <f t="shared" si="43"/>
        <v>28309.240918876858</v>
      </c>
      <c r="AZ482" s="4"/>
      <c r="BA482" s="4"/>
      <c r="BB482" s="4"/>
      <c r="BC482" s="4"/>
      <c r="BD482" s="4">
        <v>14688.117647</v>
      </c>
      <c r="BE482" s="4">
        <f>BD482/BD$680*BE$680</f>
        <v>20872.59050889894</v>
      </c>
      <c r="BF482" s="4">
        <v>3092.2331113506407</v>
      </c>
      <c r="BG482" s="4">
        <f>BE482+BF482</f>
        <v>23964.82362024958</v>
      </c>
      <c r="BH482" s="4">
        <v>48390</v>
      </c>
      <c r="BI482" s="4">
        <v>49446</v>
      </c>
      <c r="BJ482" s="4"/>
      <c r="BK482" s="4">
        <f t="shared" si="62"/>
        <v>49446</v>
      </c>
      <c r="BL482" s="4">
        <f t="shared" si="63"/>
        <v>97836</v>
      </c>
      <c r="BM482" s="4"/>
      <c r="BN482" s="4"/>
      <c r="BO482" s="4">
        <v>6763.232485</v>
      </c>
      <c r="BP482" s="4"/>
      <c r="BQ482" s="4">
        <f t="shared" si="56"/>
        <v>2695687.548584351</v>
      </c>
      <c r="BT482" s="4">
        <f t="shared" si="57"/>
        <v>1875427.3064613065</v>
      </c>
      <c r="BW482" s="52"/>
      <c r="BX482" s="4">
        <f t="shared" si="52"/>
        <v>5004281.742224351</v>
      </c>
      <c r="BY482" s="4">
        <f t="shared" si="53"/>
        <v>4228134.76494793</v>
      </c>
    </row>
    <row r="483" spans="1:77" ht="12.75">
      <c r="A483" s="3" t="s">
        <v>1116</v>
      </c>
      <c r="B483" s="3" t="s">
        <v>482</v>
      </c>
      <c r="C483" s="3" t="s">
        <v>1349</v>
      </c>
      <c r="D483" s="3"/>
      <c r="E483" s="4"/>
      <c r="F483" s="4">
        <v>3073672.222079</v>
      </c>
      <c r="G483" s="4">
        <f t="shared" si="44"/>
        <v>3132404.812309809</v>
      </c>
      <c r="H483" s="4"/>
      <c r="I483" s="4"/>
      <c r="J483" s="4">
        <v>71904.496573</v>
      </c>
      <c r="K483" s="4">
        <f t="shared" si="60"/>
        <v>73278.46784509554</v>
      </c>
      <c r="L483" s="4"/>
      <c r="M483" s="4"/>
      <c r="N483" s="4"/>
      <c r="O483" s="4"/>
      <c r="P483" s="4"/>
      <c r="Q483" s="4"/>
      <c r="R483" s="4"/>
      <c r="S483" s="4"/>
      <c r="T483" s="4">
        <v>153678.61311</v>
      </c>
      <c r="U483" s="4">
        <f t="shared" si="46"/>
        <v>156615.14711847133</v>
      </c>
      <c r="V483" s="4"/>
      <c r="W483" s="4"/>
      <c r="X483" s="4"/>
      <c r="Y483" s="4"/>
      <c r="Z483" s="13">
        <f t="shared" si="47"/>
        <v>3299255.331762</v>
      </c>
      <c r="AC483" s="13">
        <f t="shared" si="48"/>
        <v>3362298.427273376</v>
      </c>
      <c r="AF483" s="51"/>
      <c r="AG483" s="4"/>
      <c r="AH483" s="4"/>
      <c r="AI483" s="4"/>
      <c r="AJ483" s="4"/>
      <c r="AK483" s="4"/>
      <c r="AL483" s="4">
        <v>3395727.946114</v>
      </c>
      <c r="AM483" s="4">
        <f t="shared" si="49"/>
        <v>2273581.6671370864</v>
      </c>
      <c r="AN483" s="4"/>
      <c r="AO483" s="4"/>
      <c r="AP483" s="4"/>
      <c r="AQ483" s="4"/>
      <c r="AR483" s="4">
        <v>103854.229579</v>
      </c>
      <c r="AS483" s="4">
        <f t="shared" si="61"/>
        <v>101810.76501498677</v>
      </c>
      <c r="AT483" s="4"/>
      <c r="AU483" s="4"/>
      <c r="AV483" s="4"/>
      <c r="AW483" s="4"/>
      <c r="AX483" s="4">
        <v>218005.368992</v>
      </c>
      <c r="AY483" s="4">
        <f t="shared" si="43"/>
        <v>213637.95133517717</v>
      </c>
      <c r="AZ483" s="4"/>
      <c r="BA483" s="4"/>
      <c r="BB483" s="4"/>
      <c r="BC483" s="4"/>
      <c r="BD483" s="4"/>
      <c r="BE483" s="4"/>
      <c r="BF483" s="4"/>
      <c r="BG483" s="4"/>
      <c r="BH483" s="4">
        <v>72525</v>
      </c>
      <c r="BI483" s="4">
        <v>72927</v>
      </c>
      <c r="BJ483" s="4"/>
      <c r="BK483" s="4">
        <f t="shared" si="62"/>
        <v>72927</v>
      </c>
      <c r="BL483" s="4">
        <f t="shared" si="63"/>
        <v>145452</v>
      </c>
      <c r="BM483" s="4"/>
      <c r="BN483" s="4"/>
      <c r="BO483" s="4">
        <v>9665.4626</v>
      </c>
      <c r="BP483" s="4"/>
      <c r="BQ483" s="4">
        <f t="shared" si="56"/>
        <v>3872705.007285</v>
      </c>
      <c r="BT483" s="4">
        <f t="shared" si="57"/>
        <v>2734482.3834872507</v>
      </c>
      <c r="BW483" s="52"/>
      <c r="BX483" s="4">
        <f t="shared" si="52"/>
        <v>7171960.339047</v>
      </c>
      <c r="BY483" s="4">
        <f t="shared" si="53"/>
        <v>6096780.810760627</v>
      </c>
    </row>
    <row r="484" spans="1:77" ht="12.75">
      <c r="A484" s="3" t="s">
        <v>1117</v>
      </c>
      <c r="B484" s="3" t="s">
        <v>483</v>
      </c>
      <c r="C484" s="3" t="s">
        <v>1349</v>
      </c>
      <c r="D484" s="3"/>
      <c r="E484" s="4"/>
      <c r="F484" s="4">
        <v>2088728.235279</v>
      </c>
      <c r="G484" s="4">
        <f t="shared" si="44"/>
        <v>2128640.239774777</v>
      </c>
      <c r="H484" s="4"/>
      <c r="I484" s="4"/>
      <c r="J484" s="4">
        <v>82260.409041</v>
      </c>
      <c r="K484" s="4">
        <f t="shared" si="60"/>
        <v>83832.26399082803</v>
      </c>
      <c r="L484" s="4"/>
      <c r="M484" s="4"/>
      <c r="N484" s="4"/>
      <c r="O484" s="4"/>
      <c r="P484" s="4"/>
      <c r="Q484" s="4"/>
      <c r="R484" s="4"/>
      <c r="S484" s="4"/>
      <c r="T484" s="4">
        <v>28944.178682</v>
      </c>
      <c r="U484" s="4">
        <f t="shared" si="46"/>
        <v>29497.25216</v>
      </c>
      <c r="V484" s="4"/>
      <c r="W484" s="4"/>
      <c r="X484" s="4"/>
      <c r="Y484" s="4"/>
      <c r="Z484" s="13">
        <f t="shared" si="47"/>
        <v>2199932.823002</v>
      </c>
      <c r="AC484" s="13">
        <f t="shared" si="48"/>
        <v>2241969.755925605</v>
      </c>
      <c r="AF484" s="51"/>
      <c r="AG484" s="4"/>
      <c r="AH484" s="4"/>
      <c r="AI484" s="4"/>
      <c r="AJ484" s="4"/>
      <c r="AK484" s="4"/>
      <c r="AL484" s="4">
        <v>2307582.69845</v>
      </c>
      <c r="AM484" s="4">
        <f t="shared" si="49"/>
        <v>1545022.9823630622</v>
      </c>
      <c r="AN484" s="4"/>
      <c r="AO484" s="4"/>
      <c r="AP484" s="4"/>
      <c r="AQ484" s="4"/>
      <c r="AR484" s="4">
        <v>118811.643401</v>
      </c>
      <c r="AS484" s="4">
        <f t="shared" si="61"/>
        <v>116473.87262299393</v>
      </c>
      <c r="AT484" s="4"/>
      <c r="AU484" s="4"/>
      <c r="AV484" s="4"/>
      <c r="AW484" s="4"/>
      <c r="AX484" s="4">
        <v>41059.625839</v>
      </c>
      <c r="AY484" s="4">
        <f t="shared" si="43"/>
        <v>40237.05648806641</v>
      </c>
      <c r="AZ484" s="4"/>
      <c r="BA484" s="4"/>
      <c r="BB484" s="4"/>
      <c r="BC484" s="4"/>
      <c r="BD484" s="4"/>
      <c r="BE484" s="4"/>
      <c r="BF484" s="4"/>
      <c r="BG484" s="4"/>
      <c r="BH484" s="4">
        <v>81425</v>
      </c>
      <c r="BI484" s="4">
        <v>82799</v>
      </c>
      <c r="BJ484" s="4"/>
      <c r="BK484" s="4">
        <f t="shared" si="62"/>
        <v>82799</v>
      </c>
      <c r="BL484" s="4">
        <f t="shared" si="63"/>
        <v>164224</v>
      </c>
      <c r="BM484" s="4"/>
      <c r="BN484" s="4"/>
      <c r="BO484" s="4">
        <v>6444.899314</v>
      </c>
      <c r="BP484" s="4"/>
      <c r="BQ484" s="4">
        <f t="shared" si="56"/>
        <v>2638122.867004</v>
      </c>
      <c r="BT484" s="4">
        <f t="shared" si="57"/>
        <v>1865957.9114741227</v>
      </c>
      <c r="BW484" s="52"/>
      <c r="BX484" s="4">
        <f t="shared" si="52"/>
        <v>4838055.690006</v>
      </c>
      <c r="BY484" s="4">
        <f t="shared" si="53"/>
        <v>4107927.6673997277</v>
      </c>
    </row>
    <row r="485" spans="1:77" ht="12.75">
      <c r="A485" s="3" t="s">
        <v>1118</v>
      </c>
      <c r="B485" s="3" t="s">
        <v>484</v>
      </c>
      <c r="C485" s="3" t="s">
        <v>1349</v>
      </c>
      <c r="D485" s="3"/>
      <c r="E485" s="4"/>
      <c r="F485" s="4">
        <v>1591627.140774</v>
      </c>
      <c r="G485" s="4">
        <f t="shared" si="44"/>
        <v>1622040.398241019</v>
      </c>
      <c r="H485" s="4"/>
      <c r="I485" s="4"/>
      <c r="J485" s="4">
        <v>32268.399296</v>
      </c>
      <c r="K485" s="4">
        <f t="shared" si="60"/>
        <v>32884.992913121016</v>
      </c>
      <c r="L485" s="4"/>
      <c r="M485" s="4"/>
      <c r="N485" s="4"/>
      <c r="O485" s="4"/>
      <c r="P485" s="4"/>
      <c r="Q485" s="4"/>
      <c r="R485" s="4"/>
      <c r="S485" s="4"/>
      <c r="T485" s="4">
        <v>20364.007684</v>
      </c>
      <c r="U485" s="4">
        <f t="shared" si="46"/>
        <v>20753.128849936307</v>
      </c>
      <c r="V485" s="4"/>
      <c r="W485" s="4"/>
      <c r="X485" s="4"/>
      <c r="Y485" s="4"/>
      <c r="Z485" s="13">
        <f t="shared" si="47"/>
        <v>1644259.547754</v>
      </c>
      <c r="AC485" s="13">
        <f t="shared" si="48"/>
        <v>1675678.5200040767</v>
      </c>
      <c r="AF485" s="51"/>
      <c r="AG485" s="4"/>
      <c r="AH485" s="4"/>
      <c r="AI485" s="4"/>
      <c r="AJ485" s="4"/>
      <c r="AK485" s="4"/>
      <c r="AL485" s="4">
        <v>1758395.941798</v>
      </c>
      <c r="AM485" s="4">
        <f t="shared" si="49"/>
        <v>1177319.5144844414</v>
      </c>
      <c r="AN485" s="4"/>
      <c r="AO485" s="4"/>
      <c r="AP485" s="4"/>
      <c r="AQ485" s="4"/>
      <c r="AR485" s="4">
        <v>46606.400272</v>
      </c>
      <c r="AS485" s="4">
        <f t="shared" si="61"/>
        <v>45689.35984140683</v>
      </c>
      <c r="AT485" s="4"/>
      <c r="AU485" s="4"/>
      <c r="AV485" s="4"/>
      <c r="AW485" s="4"/>
      <c r="AX485" s="4">
        <v>28887.968986</v>
      </c>
      <c r="AY485" s="4">
        <f t="shared" si="43"/>
        <v>28309.240918876858</v>
      </c>
      <c r="AZ485" s="4"/>
      <c r="BA485" s="4"/>
      <c r="BB485" s="4"/>
      <c r="BC485" s="4"/>
      <c r="BD485" s="4">
        <v>1616.117647</v>
      </c>
      <c r="BE485" s="4">
        <f>BD485/BD$680*BE$680</f>
        <v>2296.5884853819953</v>
      </c>
      <c r="BF485" s="4">
        <v>340.2350539391405</v>
      </c>
      <c r="BG485" s="4">
        <f>BE485+BF485</f>
        <v>2636.8235393211357</v>
      </c>
      <c r="BH485" s="4">
        <v>32151</v>
      </c>
      <c r="BI485" s="4">
        <v>32875</v>
      </c>
      <c r="BJ485" s="4"/>
      <c r="BK485" s="4">
        <f t="shared" si="62"/>
        <v>32875</v>
      </c>
      <c r="BL485" s="4">
        <f t="shared" si="63"/>
        <v>65026</v>
      </c>
      <c r="BM485" s="4"/>
      <c r="BN485" s="4"/>
      <c r="BO485" s="4">
        <v>4817.004919</v>
      </c>
      <c r="BP485" s="4"/>
      <c r="BQ485" s="4">
        <f t="shared" si="56"/>
        <v>1905689.6686759386</v>
      </c>
      <c r="BT485" s="4">
        <f t="shared" si="57"/>
        <v>1318980.938784046</v>
      </c>
      <c r="BW485" s="52"/>
      <c r="BX485" s="4">
        <f t="shared" si="52"/>
        <v>3549949.2164299386</v>
      </c>
      <c r="BY485" s="4">
        <f t="shared" si="53"/>
        <v>2994659.458788123</v>
      </c>
    </row>
    <row r="486" spans="1:77" ht="12.75">
      <c r="A486" s="3" t="s">
        <v>1119</v>
      </c>
      <c r="B486" s="3" t="s">
        <v>485</v>
      </c>
      <c r="C486" s="3" t="s">
        <v>1349</v>
      </c>
      <c r="D486" s="3"/>
      <c r="E486" s="4"/>
      <c r="F486" s="4">
        <v>2608224.684289</v>
      </c>
      <c r="G486" s="4">
        <f t="shared" si="44"/>
        <v>2658063.3725238214</v>
      </c>
      <c r="H486" s="4"/>
      <c r="I486" s="4"/>
      <c r="J486" s="4">
        <v>68754.591864</v>
      </c>
      <c r="K486" s="4">
        <f t="shared" si="60"/>
        <v>70068.37387414013</v>
      </c>
      <c r="L486" s="4"/>
      <c r="M486" s="4"/>
      <c r="N486" s="4"/>
      <c r="O486" s="4"/>
      <c r="P486" s="4"/>
      <c r="Q486" s="4"/>
      <c r="R486" s="4"/>
      <c r="S486" s="4"/>
      <c r="T486" s="4">
        <v>41296.171183</v>
      </c>
      <c r="U486" s="4">
        <f t="shared" si="46"/>
        <v>42085.26999541401</v>
      </c>
      <c r="V486" s="4"/>
      <c r="W486" s="4"/>
      <c r="X486" s="4"/>
      <c r="Y486" s="4"/>
      <c r="Z486" s="13">
        <f t="shared" si="47"/>
        <v>2718275.447336</v>
      </c>
      <c r="AC486" s="13">
        <f t="shared" si="48"/>
        <v>2770217.0163933756</v>
      </c>
      <c r="AF486" s="51"/>
      <c r="AG486" s="4"/>
      <c r="AH486" s="4"/>
      <c r="AI486" s="4"/>
      <c r="AJ486" s="4"/>
      <c r="AK486" s="4"/>
      <c r="AL486" s="4">
        <v>2881511.368248</v>
      </c>
      <c r="AM486" s="4">
        <f t="shared" si="49"/>
        <v>1929292.194326988</v>
      </c>
      <c r="AN486" s="4"/>
      <c r="AO486" s="4"/>
      <c r="AP486" s="4"/>
      <c r="AQ486" s="4"/>
      <c r="AR486" s="4">
        <v>99304.709836</v>
      </c>
      <c r="AS486" s="4">
        <f t="shared" si="61"/>
        <v>97350.76288158039</v>
      </c>
      <c r="AT486" s="4"/>
      <c r="AU486" s="4"/>
      <c r="AV486" s="4"/>
      <c r="AW486" s="4"/>
      <c r="AX486" s="4">
        <v>58581.912307</v>
      </c>
      <c r="AY486" s="4">
        <f t="shared" si="43"/>
        <v>57408.309659675164</v>
      </c>
      <c r="AZ486" s="4"/>
      <c r="BA486" s="4"/>
      <c r="BB486" s="4"/>
      <c r="BC486" s="4"/>
      <c r="BD486" s="4"/>
      <c r="BE486" s="4"/>
      <c r="BF486" s="4"/>
      <c r="BG486" s="4"/>
      <c r="BH486" s="4">
        <v>69056</v>
      </c>
      <c r="BI486" s="4">
        <v>69370</v>
      </c>
      <c r="BJ486" s="4"/>
      <c r="BK486" s="4">
        <f t="shared" si="62"/>
        <v>69370</v>
      </c>
      <c r="BL486" s="4">
        <f t="shared" si="63"/>
        <v>138426</v>
      </c>
      <c r="BM486" s="4"/>
      <c r="BN486" s="4"/>
      <c r="BO486" s="4">
        <v>7963.430238</v>
      </c>
      <c r="BP486" s="4"/>
      <c r="BQ486" s="4">
        <f t="shared" si="56"/>
        <v>3185787.420629</v>
      </c>
      <c r="BT486" s="4">
        <f t="shared" si="57"/>
        <v>2222477.2668682435</v>
      </c>
      <c r="BW486" s="52"/>
      <c r="BX486" s="4">
        <f t="shared" si="52"/>
        <v>5904062.867965</v>
      </c>
      <c r="BY486" s="4">
        <f t="shared" si="53"/>
        <v>4992694.2832616195</v>
      </c>
    </row>
    <row r="487" spans="1:77" ht="12.75">
      <c r="A487" s="3" t="s">
        <v>1120</v>
      </c>
      <c r="B487" s="3" t="s">
        <v>486</v>
      </c>
      <c r="C487" s="3" t="s">
        <v>1349</v>
      </c>
      <c r="D487" s="3"/>
      <c r="E487" s="4"/>
      <c r="F487" s="4">
        <v>1580017.098065</v>
      </c>
      <c r="G487" s="4">
        <f t="shared" si="44"/>
        <v>1610208.5075821655</v>
      </c>
      <c r="H487" s="4"/>
      <c r="I487" s="4"/>
      <c r="J487" s="4">
        <v>64630.065748</v>
      </c>
      <c r="K487" s="4">
        <f t="shared" si="60"/>
        <v>65865.03515719745</v>
      </c>
      <c r="L487" s="4"/>
      <c r="M487" s="4"/>
      <c r="N487" s="4"/>
      <c r="O487" s="4"/>
      <c r="P487" s="4"/>
      <c r="Q487" s="4"/>
      <c r="R487" s="4"/>
      <c r="S487" s="4"/>
      <c r="T487" s="4">
        <v>43685.276564</v>
      </c>
      <c r="U487" s="4">
        <f t="shared" si="46"/>
        <v>44520.027071592354</v>
      </c>
      <c r="V487" s="4"/>
      <c r="W487" s="4"/>
      <c r="X487" s="4"/>
      <c r="Y487" s="4"/>
      <c r="Z487" s="13">
        <f t="shared" si="47"/>
        <v>1688332.440377</v>
      </c>
      <c r="AC487" s="13">
        <f t="shared" si="48"/>
        <v>1720593.5698109553</v>
      </c>
      <c r="AF487" s="51"/>
      <c r="AG487" s="4"/>
      <c r="AH487" s="4"/>
      <c r="AI487" s="4"/>
      <c r="AJ487" s="4"/>
      <c r="AK487" s="4"/>
      <c r="AL487" s="4">
        <v>1745569.412606</v>
      </c>
      <c r="AM487" s="4">
        <f t="shared" si="49"/>
        <v>1168731.6175484392</v>
      </c>
      <c r="AN487" s="4"/>
      <c r="AO487" s="4"/>
      <c r="AP487" s="4"/>
      <c r="AQ487" s="4"/>
      <c r="AR487" s="4">
        <v>93347.509624</v>
      </c>
      <c r="AS487" s="4">
        <f t="shared" si="61"/>
        <v>91510.77818967332</v>
      </c>
      <c r="AT487" s="4"/>
      <c r="AU487" s="4"/>
      <c r="AV487" s="4"/>
      <c r="AW487" s="4"/>
      <c r="AX487" s="4">
        <v>61971.048829</v>
      </c>
      <c r="AY487" s="4">
        <f t="shared" si="43"/>
        <v>60729.54980482901</v>
      </c>
      <c r="AZ487" s="4"/>
      <c r="BA487" s="4"/>
      <c r="BB487" s="4"/>
      <c r="BC487" s="4"/>
      <c r="BD487" s="4"/>
      <c r="BE487" s="4"/>
      <c r="BF487" s="4"/>
      <c r="BG487" s="4"/>
      <c r="BH487" s="4"/>
      <c r="BI487" s="4">
        <v>69205</v>
      </c>
      <c r="BJ487" s="4"/>
      <c r="BK487" s="4">
        <f>BI487</f>
        <v>69205</v>
      </c>
      <c r="BL487" s="4">
        <f>BH487+BK487</f>
        <v>69205</v>
      </c>
      <c r="BM487" s="4"/>
      <c r="BN487" s="4"/>
      <c r="BO487" s="4">
        <v>4946.120387</v>
      </c>
      <c r="BP487" s="4"/>
      <c r="BQ487" s="4">
        <f t="shared" si="56"/>
        <v>1975039.091446</v>
      </c>
      <c r="BT487" s="4">
        <f t="shared" si="57"/>
        <v>1390176.9455429416</v>
      </c>
      <c r="BW487" s="52"/>
      <c r="BX487" s="4">
        <f t="shared" si="52"/>
        <v>3663371.531823</v>
      </c>
      <c r="BY487" s="4">
        <f t="shared" si="53"/>
        <v>3110770.5153538967</v>
      </c>
    </row>
    <row r="488" spans="1:77" ht="12.75">
      <c r="A488" s="3" t="s">
        <v>1121</v>
      </c>
      <c r="B488" s="3" t="s">
        <v>487</v>
      </c>
      <c r="C488" s="3" t="s">
        <v>1349</v>
      </c>
      <c r="D488" s="3"/>
      <c r="E488" s="4"/>
      <c r="F488" s="4">
        <v>2219736.153032</v>
      </c>
      <c r="G488" s="4">
        <f t="shared" si="44"/>
        <v>2262151.493535796</v>
      </c>
      <c r="H488" s="4"/>
      <c r="I488" s="4"/>
      <c r="J488" s="4">
        <v>60869.648089</v>
      </c>
      <c r="K488" s="4">
        <f t="shared" si="60"/>
        <v>62032.762383694266</v>
      </c>
      <c r="L488" s="4"/>
      <c r="M488" s="4"/>
      <c r="N488" s="4"/>
      <c r="O488" s="4"/>
      <c r="P488" s="4"/>
      <c r="Q488" s="4"/>
      <c r="R488" s="4"/>
      <c r="S488" s="4"/>
      <c r="T488" s="4">
        <v>20364.007684</v>
      </c>
      <c r="U488" s="4">
        <f t="shared" si="46"/>
        <v>20753.128849936307</v>
      </c>
      <c r="V488" s="4"/>
      <c r="W488" s="4"/>
      <c r="X488" s="4"/>
      <c r="Y488" s="4"/>
      <c r="Z488" s="13">
        <f t="shared" si="47"/>
        <v>2300969.808805</v>
      </c>
      <c r="AC488" s="13">
        <f t="shared" si="48"/>
        <v>2344937.3847694267</v>
      </c>
      <c r="AF488" s="51"/>
      <c r="AG488" s="4"/>
      <c r="AH488" s="4"/>
      <c r="AI488" s="4"/>
      <c r="AJ488" s="4"/>
      <c r="AK488" s="4"/>
      <c r="AL488" s="4">
        <v>2452317.470193</v>
      </c>
      <c r="AM488" s="4">
        <f t="shared" si="49"/>
        <v>1641928.956237893</v>
      </c>
      <c r="AN488" s="4"/>
      <c r="AO488" s="4"/>
      <c r="AP488" s="4"/>
      <c r="AQ488" s="4"/>
      <c r="AR488" s="4">
        <v>87916.204247</v>
      </c>
      <c r="AS488" s="4">
        <f t="shared" si="61"/>
        <v>86186.34068044556</v>
      </c>
      <c r="AT488" s="4"/>
      <c r="AU488" s="4"/>
      <c r="AV488" s="4"/>
      <c r="AW488" s="4"/>
      <c r="AX488" s="4">
        <v>28887.968986</v>
      </c>
      <c r="AY488" s="4">
        <f t="shared" si="43"/>
        <v>28309.240918876858</v>
      </c>
      <c r="AZ488" s="4"/>
      <c r="BA488" s="4"/>
      <c r="BB488" s="4"/>
      <c r="BC488" s="4"/>
      <c r="BD488" s="4"/>
      <c r="BE488" s="4"/>
      <c r="BF488" s="4"/>
      <c r="BG488" s="4"/>
      <c r="BH488" s="4">
        <v>60087</v>
      </c>
      <c r="BI488" s="4">
        <v>61091</v>
      </c>
      <c r="BJ488" s="4"/>
      <c r="BK488" s="4">
        <f t="shared" si="62"/>
        <v>61091</v>
      </c>
      <c r="BL488" s="4">
        <f aca="true" t="shared" si="64" ref="BL488:BL515">BH488+BK488</f>
        <v>121178</v>
      </c>
      <c r="BM488" s="4"/>
      <c r="BN488" s="4"/>
      <c r="BO488" s="4">
        <v>6740.89617</v>
      </c>
      <c r="BP488" s="4"/>
      <c r="BQ488" s="4">
        <f t="shared" si="56"/>
        <v>2697040.539596</v>
      </c>
      <c r="BT488" s="4">
        <f t="shared" si="57"/>
        <v>1877602.5378372155</v>
      </c>
      <c r="BW488" s="52"/>
      <c r="BX488" s="4">
        <f t="shared" si="52"/>
        <v>4998010.348401001</v>
      </c>
      <c r="BY488" s="4">
        <f t="shared" si="53"/>
        <v>4222539.922606642</v>
      </c>
    </row>
    <row r="489" spans="1:77" ht="12.75">
      <c r="A489" s="3" t="s">
        <v>1122</v>
      </c>
      <c r="B489" s="3" t="s">
        <v>488</v>
      </c>
      <c r="C489" s="3" t="s">
        <v>1349</v>
      </c>
      <c r="D489" s="3"/>
      <c r="E489" s="4"/>
      <c r="F489" s="4">
        <v>1633250.022339</v>
      </c>
      <c r="G489" s="4">
        <f t="shared" si="44"/>
        <v>1664458.6214919745</v>
      </c>
      <c r="H489" s="4"/>
      <c r="I489" s="4"/>
      <c r="J489" s="4">
        <v>61100.983216</v>
      </c>
      <c r="K489" s="4">
        <f t="shared" si="60"/>
        <v>62268.517927133755</v>
      </c>
      <c r="L489" s="4"/>
      <c r="M489" s="4"/>
      <c r="N489" s="4"/>
      <c r="O489" s="4"/>
      <c r="P489" s="4"/>
      <c r="Q489" s="4"/>
      <c r="R489" s="4"/>
      <c r="S489" s="4"/>
      <c r="T489" s="4">
        <v>23274.431663</v>
      </c>
      <c r="U489" s="4">
        <f t="shared" si="46"/>
        <v>23719.16602598726</v>
      </c>
      <c r="V489" s="4"/>
      <c r="W489" s="4"/>
      <c r="X489" s="4"/>
      <c r="Y489" s="4"/>
      <c r="Z489" s="13">
        <f t="shared" si="47"/>
        <v>1717625.437218</v>
      </c>
      <c r="AC489" s="13">
        <f t="shared" si="48"/>
        <v>1750446.3054450955</v>
      </c>
      <c r="AF489" s="51"/>
      <c r="AG489" s="4"/>
      <c r="AH489" s="4"/>
      <c r="AI489" s="4"/>
      <c r="AJ489" s="4"/>
      <c r="AK489" s="4"/>
      <c r="AL489" s="4">
        <v>1804380.019447</v>
      </c>
      <c r="AM489" s="4">
        <f t="shared" si="49"/>
        <v>1208107.774787396</v>
      </c>
      <c r="AN489" s="4"/>
      <c r="AO489" s="4"/>
      <c r="AP489" s="4"/>
      <c r="AQ489" s="4"/>
      <c r="AR489" s="4">
        <v>88250.329825</v>
      </c>
      <c r="AS489" s="4">
        <f t="shared" si="61"/>
        <v>86513.89191109984</v>
      </c>
      <c r="AT489" s="4"/>
      <c r="AU489" s="4"/>
      <c r="AV489" s="4"/>
      <c r="AW489" s="4"/>
      <c r="AX489" s="4">
        <v>33016.637514</v>
      </c>
      <c r="AY489" s="4">
        <f t="shared" si="43"/>
        <v>32355.197631513187</v>
      </c>
      <c r="AZ489" s="4"/>
      <c r="BA489" s="4"/>
      <c r="BB489" s="4"/>
      <c r="BC489" s="4"/>
      <c r="BD489" s="4"/>
      <c r="BE489" s="4"/>
      <c r="BF489" s="4"/>
      <c r="BG489" s="4"/>
      <c r="BH489" s="4">
        <v>60997</v>
      </c>
      <c r="BI489" s="4">
        <v>61312</v>
      </c>
      <c r="BJ489" s="4"/>
      <c r="BK489" s="4">
        <f t="shared" si="62"/>
        <v>61312</v>
      </c>
      <c r="BL489" s="4">
        <f t="shared" si="64"/>
        <v>122309</v>
      </c>
      <c r="BM489" s="4"/>
      <c r="BN489" s="4"/>
      <c r="BO489" s="4">
        <v>5031.936833</v>
      </c>
      <c r="BP489" s="4"/>
      <c r="BQ489" s="4">
        <f t="shared" si="56"/>
        <v>2052987.923619</v>
      </c>
      <c r="BT489" s="4">
        <f t="shared" si="57"/>
        <v>1449285.864330009</v>
      </c>
      <c r="BW489" s="52"/>
      <c r="BX489" s="4">
        <f t="shared" si="52"/>
        <v>3770613.360837</v>
      </c>
      <c r="BY489" s="4">
        <f t="shared" si="53"/>
        <v>3199732.1697751046</v>
      </c>
    </row>
    <row r="490" spans="1:77" ht="12.75">
      <c r="A490" s="3" t="s">
        <v>1123</v>
      </c>
      <c r="B490" s="3" t="s">
        <v>489</v>
      </c>
      <c r="C490" s="3" t="s">
        <v>1349</v>
      </c>
      <c r="D490" s="3"/>
      <c r="E490" s="4"/>
      <c r="F490" s="4">
        <v>2138731.120363</v>
      </c>
      <c r="G490" s="4">
        <f t="shared" si="44"/>
        <v>2179598.5940005095</v>
      </c>
      <c r="H490" s="4"/>
      <c r="I490" s="4"/>
      <c r="J490" s="4">
        <v>56984.195423</v>
      </c>
      <c r="K490" s="4">
        <f t="shared" si="60"/>
        <v>58073.06539923567</v>
      </c>
      <c r="L490" s="4"/>
      <c r="M490" s="4"/>
      <c r="N490" s="4"/>
      <c r="O490" s="4"/>
      <c r="P490" s="4"/>
      <c r="Q490" s="4"/>
      <c r="R490" s="4"/>
      <c r="S490" s="4"/>
      <c r="T490" s="4">
        <v>35180.859675</v>
      </c>
      <c r="U490" s="4">
        <f aca="true" t="shared" si="65" ref="U490:U553">T490*RPI_inc</f>
        <v>35853.10540127388</v>
      </c>
      <c r="V490" s="4"/>
      <c r="W490" s="4"/>
      <c r="X490" s="4"/>
      <c r="Y490" s="4"/>
      <c r="Z490" s="13">
        <f t="shared" si="47"/>
        <v>2230896.175461</v>
      </c>
      <c r="AC490" s="13">
        <f t="shared" si="48"/>
        <v>2273524.764801019</v>
      </c>
      <c r="AF490" s="51"/>
      <c r="AG490" s="4"/>
      <c r="AH490" s="4"/>
      <c r="AI490" s="4"/>
      <c r="AJ490" s="4"/>
      <c r="AK490" s="4"/>
      <c r="AL490" s="4">
        <v>2362824.826432</v>
      </c>
      <c r="AM490" s="4">
        <f t="shared" si="49"/>
        <v>1582009.8939845443</v>
      </c>
      <c r="AN490" s="4"/>
      <c r="AO490" s="4"/>
      <c r="AP490" s="4"/>
      <c r="AQ490" s="4"/>
      <c r="AR490" s="4">
        <v>82304.306349</v>
      </c>
      <c r="AS490" s="4">
        <f t="shared" si="61"/>
        <v>80684.86403864197</v>
      </c>
      <c r="AT490" s="4"/>
      <c r="AU490" s="4"/>
      <c r="AV490" s="4"/>
      <c r="AW490" s="4"/>
      <c r="AX490" s="4">
        <v>49906.855221</v>
      </c>
      <c r="AY490" s="4">
        <f aca="true" t="shared" si="66" ref="AY490:AY553">AX490/$AX$680*$AY$680</f>
        <v>48907.044612222315</v>
      </c>
      <c r="AZ490" s="4"/>
      <c r="BA490" s="4"/>
      <c r="BB490" s="4"/>
      <c r="BC490" s="4"/>
      <c r="BD490" s="4"/>
      <c r="BE490" s="4"/>
      <c r="BF490" s="4"/>
      <c r="BG490" s="4"/>
      <c r="BH490" s="4">
        <v>56241</v>
      </c>
      <c r="BI490" s="4">
        <v>56769</v>
      </c>
      <c r="BJ490" s="4"/>
      <c r="BK490" s="4">
        <f t="shared" si="62"/>
        <v>56769</v>
      </c>
      <c r="BL490" s="4">
        <f t="shared" si="64"/>
        <v>113010</v>
      </c>
      <c r="BM490" s="4"/>
      <c r="BN490" s="4"/>
      <c r="BO490" s="4">
        <v>6535.609215</v>
      </c>
      <c r="BP490" s="4"/>
      <c r="BQ490" s="4">
        <f t="shared" si="56"/>
        <v>2614581.597217</v>
      </c>
      <c r="BT490" s="4">
        <f t="shared" si="57"/>
        <v>1824611.8026354087</v>
      </c>
      <c r="BW490" s="52"/>
      <c r="BX490" s="4">
        <f t="shared" si="52"/>
        <v>4845477.772678</v>
      </c>
      <c r="BY490" s="4">
        <f t="shared" si="53"/>
        <v>4098136.567436428</v>
      </c>
    </row>
    <row r="491" spans="1:77" ht="12.75">
      <c r="A491" s="3" t="s">
        <v>1124</v>
      </c>
      <c r="B491" s="3" t="s">
        <v>490</v>
      </c>
      <c r="C491" s="3" t="s">
        <v>1349</v>
      </c>
      <c r="D491" s="3"/>
      <c r="E491" s="4"/>
      <c r="F491" s="4">
        <v>1099559.004769</v>
      </c>
      <c r="G491" s="4">
        <f aca="true" t="shared" si="67" ref="G491:G554">F491*RPI_inc</f>
        <v>1120569.68638879</v>
      </c>
      <c r="H491" s="4"/>
      <c r="I491" s="4"/>
      <c r="J491" s="4">
        <v>58698.43759</v>
      </c>
      <c r="K491" s="4">
        <f t="shared" si="60"/>
        <v>59820.063785987266</v>
      </c>
      <c r="L491" s="4"/>
      <c r="M491" s="4"/>
      <c r="N491" s="4"/>
      <c r="O491" s="4"/>
      <c r="P491" s="4"/>
      <c r="Q491" s="4"/>
      <c r="R491" s="4"/>
      <c r="S491" s="4"/>
      <c r="T491" s="4">
        <v>72601.352916</v>
      </c>
      <c r="U491" s="4">
        <f t="shared" si="65"/>
        <v>73988.63991439491</v>
      </c>
      <c r="V491" s="4"/>
      <c r="W491" s="4"/>
      <c r="X491" s="4"/>
      <c r="Y491" s="4"/>
      <c r="Z491" s="13">
        <f aca="true" t="shared" si="68" ref="Z491:Z554">D491+F491+H491+J491+L491+N491+P491+R491+T491+V491+X491</f>
        <v>1230858.795275</v>
      </c>
      <c r="AC491" s="13">
        <f aca="true" t="shared" si="69" ref="AC491:AC554">E491+G491+I491+K491+M491+O491+Q491+S491+U491+W491+Y491</f>
        <v>1254378.390089172</v>
      </c>
      <c r="AF491" s="51"/>
      <c r="AG491" s="4"/>
      <c r="AH491" s="4"/>
      <c r="AI491" s="4"/>
      <c r="AJ491" s="4"/>
      <c r="AK491" s="4"/>
      <c r="AL491" s="4">
        <v>1214769.491058</v>
      </c>
      <c r="AM491" s="4">
        <f aca="true" t="shared" si="70" ref="AM491:AM554">AL491/$AL$680*$AM$680</f>
        <v>813338.9036149237</v>
      </c>
      <c r="AN491" s="4"/>
      <c r="AO491" s="4"/>
      <c r="AP491" s="4"/>
      <c r="AQ491" s="4"/>
      <c r="AR491" s="4">
        <v>84780.247466</v>
      </c>
      <c r="AS491" s="4">
        <f t="shared" si="61"/>
        <v>83112.08785297954</v>
      </c>
      <c r="AT491" s="4"/>
      <c r="AU491" s="4"/>
      <c r="AV491" s="4"/>
      <c r="AW491" s="4"/>
      <c r="AX491" s="4">
        <v>102990.80927</v>
      </c>
      <c r="AY491" s="4">
        <f t="shared" si="66"/>
        <v>100927.53953964406</v>
      </c>
      <c r="AZ491" s="4"/>
      <c r="BA491" s="4"/>
      <c r="BB491" s="4"/>
      <c r="BC491" s="4"/>
      <c r="BD491" s="4"/>
      <c r="BE491" s="4"/>
      <c r="BF491" s="4"/>
      <c r="BG491" s="4"/>
      <c r="BH491" s="4">
        <v>58745</v>
      </c>
      <c r="BI491" s="4">
        <v>59121</v>
      </c>
      <c r="BJ491" s="4"/>
      <c r="BK491" s="4">
        <f t="shared" si="62"/>
        <v>59121</v>
      </c>
      <c r="BL491" s="4">
        <f t="shared" si="64"/>
        <v>117866</v>
      </c>
      <c r="BM491" s="4"/>
      <c r="BN491" s="4"/>
      <c r="BO491" s="4">
        <v>3605.910563</v>
      </c>
      <c r="BP491" s="4"/>
      <c r="BQ491" s="4">
        <f t="shared" si="56"/>
        <v>1524012.458357</v>
      </c>
      <c r="BT491" s="4">
        <f t="shared" si="57"/>
        <v>1115244.5310075474</v>
      </c>
      <c r="BW491" s="52"/>
      <c r="BX491" s="4">
        <f t="shared" si="52"/>
        <v>2754871.2536319997</v>
      </c>
      <c r="BY491" s="4">
        <f t="shared" si="53"/>
        <v>2369622.9210967193</v>
      </c>
    </row>
    <row r="492" spans="1:77" ht="12.75">
      <c r="A492" s="3" t="s">
        <v>1125</v>
      </c>
      <c r="B492" s="3" t="s">
        <v>491</v>
      </c>
      <c r="C492" s="3" t="s">
        <v>1349</v>
      </c>
      <c r="D492" s="3"/>
      <c r="E492" s="4"/>
      <c r="F492" s="4">
        <v>2856472.256091</v>
      </c>
      <c r="G492" s="4">
        <f t="shared" si="67"/>
        <v>2911054.5285003823</v>
      </c>
      <c r="H492" s="4"/>
      <c r="I492" s="4"/>
      <c r="J492" s="4">
        <v>84256.896354</v>
      </c>
      <c r="K492" s="4">
        <f t="shared" si="60"/>
        <v>85866.90074292994</v>
      </c>
      <c r="L492" s="4"/>
      <c r="M492" s="4"/>
      <c r="N492" s="4"/>
      <c r="O492" s="4"/>
      <c r="P492" s="4"/>
      <c r="Q492" s="4"/>
      <c r="R492" s="4"/>
      <c r="S492" s="4"/>
      <c r="T492" s="4">
        <v>40850.606695</v>
      </c>
      <c r="U492" s="4">
        <f t="shared" si="65"/>
        <v>41631.191536305734</v>
      </c>
      <c r="V492" s="4"/>
      <c r="W492" s="4"/>
      <c r="X492" s="4"/>
      <c r="Y492" s="4"/>
      <c r="Z492" s="13">
        <f t="shared" si="68"/>
        <v>2981579.75914</v>
      </c>
      <c r="AC492" s="13">
        <f t="shared" si="69"/>
        <v>3038552.620779618</v>
      </c>
      <c r="AF492" s="51"/>
      <c r="AG492" s="4"/>
      <c r="AH492" s="4"/>
      <c r="AI492" s="4"/>
      <c r="AJ492" s="4"/>
      <c r="AK492" s="4"/>
      <c r="AL492" s="4">
        <v>3155770.025715</v>
      </c>
      <c r="AM492" s="4">
        <f t="shared" si="70"/>
        <v>2112919.8186730957</v>
      </c>
      <c r="AN492" s="4"/>
      <c r="AO492" s="4"/>
      <c r="AP492" s="4"/>
      <c r="AQ492" s="4"/>
      <c r="AR492" s="4">
        <v>121695.241252</v>
      </c>
      <c r="AS492" s="4">
        <f t="shared" si="61"/>
        <v>119300.73200460979</v>
      </c>
      <c r="AT492" s="4"/>
      <c r="AU492" s="4"/>
      <c r="AV492" s="4"/>
      <c r="AW492" s="4"/>
      <c r="AX492" s="4">
        <v>57949.843546</v>
      </c>
      <c r="AY492" s="4">
        <f t="shared" si="66"/>
        <v>56788.90346877553</v>
      </c>
      <c r="AZ492" s="4"/>
      <c r="BA492" s="4"/>
      <c r="BB492" s="4"/>
      <c r="BC492" s="4"/>
      <c r="BD492" s="4"/>
      <c r="BE492" s="4"/>
      <c r="BF492" s="4"/>
      <c r="BG492" s="4"/>
      <c r="BH492" s="4">
        <v>83225</v>
      </c>
      <c r="BI492" s="4">
        <v>84736</v>
      </c>
      <c r="BJ492" s="4"/>
      <c r="BK492" s="4">
        <f t="shared" si="62"/>
        <v>84736</v>
      </c>
      <c r="BL492" s="4">
        <f t="shared" si="64"/>
        <v>167961</v>
      </c>
      <c r="BM492" s="4"/>
      <c r="BN492" s="4"/>
      <c r="BO492" s="4">
        <v>8734.803691</v>
      </c>
      <c r="BP492" s="4"/>
      <c r="BQ492" s="4">
        <f t="shared" si="56"/>
        <v>3512110.914204</v>
      </c>
      <c r="BT492" s="4">
        <f t="shared" si="57"/>
        <v>2456970.454146481</v>
      </c>
      <c r="BW492" s="52"/>
      <c r="BX492" s="4">
        <f t="shared" si="52"/>
        <v>6493690.673344</v>
      </c>
      <c r="BY492" s="4">
        <f t="shared" si="53"/>
        <v>5495523.074926099</v>
      </c>
    </row>
    <row r="493" spans="1:77" ht="12.75">
      <c r="A493" s="3" t="s">
        <v>1126</v>
      </c>
      <c r="B493" s="3" t="s">
        <v>492</v>
      </c>
      <c r="C493" s="3" t="s">
        <v>1349</v>
      </c>
      <c r="D493" s="3"/>
      <c r="E493" s="4"/>
      <c r="F493" s="4">
        <v>3412461.804481</v>
      </c>
      <c r="G493" s="4">
        <f t="shared" si="67"/>
        <v>3477668.0809997455</v>
      </c>
      <c r="H493" s="4"/>
      <c r="I493" s="4"/>
      <c r="J493" s="4">
        <v>115849.617875</v>
      </c>
      <c r="K493" s="4">
        <f t="shared" si="60"/>
        <v>118063.30484076432</v>
      </c>
      <c r="L493" s="4"/>
      <c r="M493" s="4"/>
      <c r="N493" s="4"/>
      <c r="O493" s="4"/>
      <c r="P493" s="4"/>
      <c r="Q493" s="4"/>
      <c r="R493" s="4"/>
      <c r="S493" s="4"/>
      <c r="T493" s="4">
        <v>31778.848552</v>
      </c>
      <c r="U493" s="4">
        <f t="shared" si="65"/>
        <v>32386.08769630573</v>
      </c>
      <c r="V493" s="4"/>
      <c r="W493" s="4"/>
      <c r="X493" s="4"/>
      <c r="Y493" s="4"/>
      <c r="Z493" s="13">
        <f t="shared" si="68"/>
        <v>3560090.270908</v>
      </c>
      <c r="AC493" s="13">
        <f t="shared" si="69"/>
        <v>3628117.473536816</v>
      </c>
      <c r="AF493" s="51"/>
      <c r="AG493" s="4"/>
      <c r="AH493" s="4"/>
      <c r="AI493" s="4"/>
      <c r="AJ493" s="4"/>
      <c r="AK493" s="4"/>
      <c r="AL493" s="4">
        <v>3770015.498493</v>
      </c>
      <c r="AM493" s="4">
        <f t="shared" si="70"/>
        <v>2524182.8138809954</v>
      </c>
      <c r="AN493" s="4"/>
      <c r="AO493" s="4"/>
      <c r="AP493" s="4"/>
      <c r="AQ493" s="4"/>
      <c r="AR493" s="4">
        <v>167325.73601</v>
      </c>
      <c r="AS493" s="4">
        <f t="shared" si="61"/>
        <v>164033.3885190028</v>
      </c>
      <c r="AT493" s="4"/>
      <c r="AU493" s="4"/>
      <c r="AV493" s="4"/>
      <c r="AW493" s="4"/>
      <c r="AX493" s="4">
        <v>45080.831122</v>
      </c>
      <c r="AY493" s="4">
        <f t="shared" si="66"/>
        <v>44177.70282411989</v>
      </c>
      <c r="AZ493" s="4"/>
      <c r="BA493" s="4"/>
      <c r="BB493" s="4"/>
      <c r="BC493" s="4"/>
      <c r="BD493" s="4"/>
      <c r="BE493" s="4"/>
      <c r="BF493" s="4"/>
      <c r="BG493" s="4"/>
      <c r="BH493" s="4">
        <v>115751</v>
      </c>
      <c r="BI493" s="4">
        <v>116214</v>
      </c>
      <c r="BJ493" s="4"/>
      <c r="BK493" s="4">
        <f t="shared" si="62"/>
        <v>116214</v>
      </c>
      <c r="BL493" s="4">
        <f t="shared" si="64"/>
        <v>231965</v>
      </c>
      <c r="BM493" s="4"/>
      <c r="BN493" s="4"/>
      <c r="BO493" s="4">
        <v>10429.601806</v>
      </c>
      <c r="BP493" s="4"/>
      <c r="BQ493" s="4">
        <f t="shared" si="56"/>
        <v>4224816.667431</v>
      </c>
      <c r="BT493" s="4">
        <f t="shared" si="57"/>
        <v>2964358.905224118</v>
      </c>
      <c r="BW493" s="52"/>
      <c r="BX493" s="4">
        <f t="shared" si="52"/>
        <v>7784906.938339</v>
      </c>
      <c r="BY493" s="4">
        <f t="shared" si="53"/>
        <v>6592476.378760934</v>
      </c>
    </row>
    <row r="494" spans="1:77" ht="12.75">
      <c r="A494" s="3" t="s">
        <v>1127</v>
      </c>
      <c r="B494" s="3" t="s">
        <v>493</v>
      </c>
      <c r="C494" s="3" t="s">
        <v>1349</v>
      </c>
      <c r="D494" s="3"/>
      <c r="E494" s="4"/>
      <c r="F494" s="4">
        <v>2020823.340687</v>
      </c>
      <c r="G494" s="4">
        <f t="shared" si="67"/>
        <v>2059437.799426242</v>
      </c>
      <c r="H494" s="4"/>
      <c r="I494" s="4"/>
      <c r="J494" s="4">
        <v>59359.453279</v>
      </c>
      <c r="K494" s="4">
        <f t="shared" si="60"/>
        <v>60493.71034802548</v>
      </c>
      <c r="L494" s="4"/>
      <c r="M494" s="4"/>
      <c r="N494" s="4"/>
      <c r="O494" s="4"/>
      <c r="P494" s="4"/>
      <c r="Q494" s="4"/>
      <c r="R494" s="4"/>
      <c r="S494" s="4"/>
      <c r="T494" s="4">
        <v>40283.672721</v>
      </c>
      <c r="U494" s="4">
        <f t="shared" si="65"/>
        <v>41053.424429044586</v>
      </c>
      <c r="V494" s="4"/>
      <c r="W494" s="4"/>
      <c r="X494" s="4"/>
      <c r="Y494" s="4"/>
      <c r="Z494" s="13">
        <f t="shared" si="68"/>
        <v>2120466.466687</v>
      </c>
      <c r="AC494" s="13">
        <f t="shared" si="69"/>
        <v>2160984.9342033123</v>
      </c>
      <c r="AF494" s="51"/>
      <c r="AG494" s="4"/>
      <c r="AH494" s="4"/>
      <c r="AI494" s="4"/>
      <c r="AJ494" s="4"/>
      <c r="AK494" s="4"/>
      <c r="AL494" s="4">
        <v>2232562.809671</v>
      </c>
      <c r="AM494" s="4">
        <f t="shared" si="70"/>
        <v>1494794.033959293</v>
      </c>
      <c r="AN494" s="4"/>
      <c r="AO494" s="4"/>
      <c r="AP494" s="4"/>
      <c r="AQ494" s="4"/>
      <c r="AR494" s="4">
        <v>85734.976008</v>
      </c>
      <c r="AS494" s="4">
        <f t="shared" si="61"/>
        <v>84048.03089195536</v>
      </c>
      <c r="AT494" s="4"/>
      <c r="AU494" s="4"/>
      <c r="AV494" s="4"/>
      <c r="AW494" s="4"/>
      <c r="AX494" s="4">
        <v>57145.602489</v>
      </c>
      <c r="AY494" s="4">
        <f t="shared" si="66"/>
        <v>56000.77420117285</v>
      </c>
      <c r="AZ494" s="4"/>
      <c r="BA494" s="4"/>
      <c r="BB494" s="4"/>
      <c r="BC494" s="4"/>
      <c r="BD494" s="4"/>
      <c r="BE494" s="4"/>
      <c r="BF494" s="4"/>
      <c r="BG494" s="4"/>
      <c r="BH494" s="4">
        <v>59051</v>
      </c>
      <c r="BI494" s="4">
        <v>62495</v>
      </c>
      <c r="BJ494" s="4"/>
      <c r="BK494" s="4">
        <f t="shared" si="62"/>
        <v>62495</v>
      </c>
      <c r="BL494" s="4">
        <f t="shared" si="64"/>
        <v>121546</v>
      </c>
      <c r="BM494" s="4"/>
      <c r="BN494" s="4"/>
      <c r="BO494" s="4">
        <v>6212.095539</v>
      </c>
      <c r="BP494" s="4"/>
      <c r="BQ494" s="4">
        <f t="shared" si="56"/>
        <v>2503201.483707</v>
      </c>
      <c r="BT494" s="4">
        <f t="shared" si="57"/>
        <v>1756388.8390524213</v>
      </c>
      <c r="BW494" s="52"/>
      <c r="BX494" s="4">
        <f t="shared" si="52"/>
        <v>4623667.950394</v>
      </c>
      <c r="BY494" s="4">
        <f t="shared" si="53"/>
        <v>3917373.773255734</v>
      </c>
    </row>
    <row r="495" spans="1:77" ht="12.75">
      <c r="A495" s="3" t="s">
        <v>1128</v>
      </c>
      <c r="B495" s="3" t="s">
        <v>494</v>
      </c>
      <c r="C495" s="3" t="s">
        <v>1349</v>
      </c>
      <c r="D495" s="3"/>
      <c r="E495" s="4"/>
      <c r="F495" s="4">
        <v>2024900.708036</v>
      </c>
      <c r="G495" s="4">
        <f t="shared" si="67"/>
        <v>2063593.0782532482</v>
      </c>
      <c r="H495" s="4"/>
      <c r="I495" s="4"/>
      <c r="J495" s="4">
        <v>60125.139968</v>
      </c>
      <c r="K495" s="4">
        <f t="shared" si="60"/>
        <v>61274.02799286624</v>
      </c>
      <c r="L495" s="4"/>
      <c r="M495" s="4"/>
      <c r="N495" s="4"/>
      <c r="O495" s="4"/>
      <c r="P495" s="4"/>
      <c r="Q495" s="4"/>
      <c r="R495" s="4"/>
      <c r="S495" s="4"/>
      <c r="T495" s="4">
        <v>35747.793649</v>
      </c>
      <c r="U495" s="4">
        <f t="shared" si="65"/>
        <v>36430.87250853503</v>
      </c>
      <c r="V495" s="4"/>
      <c r="W495" s="4"/>
      <c r="X495" s="4"/>
      <c r="Y495" s="4"/>
      <c r="Z495" s="13">
        <f t="shared" si="68"/>
        <v>2120773.641653</v>
      </c>
      <c r="AC495" s="13">
        <f t="shared" si="69"/>
        <v>2161297.97875465</v>
      </c>
      <c r="AF495" s="51"/>
      <c r="AG495" s="4"/>
      <c r="AH495" s="4"/>
      <c r="AI495" s="4"/>
      <c r="AJ495" s="4"/>
      <c r="AK495" s="4"/>
      <c r="AL495" s="4">
        <v>2237067.398727</v>
      </c>
      <c r="AM495" s="4">
        <f t="shared" si="70"/>
        <v>1497810.044446066</v>
      </c>
      <c r="AN495" s="4"/>
      <c r="AO495" s="4"/>
      <c r="AP495" s="4"/>
      <c r="AQ495" s="4"/>
      <c r="AR495" s="4">
        <v>86840.884608</v>
      </c>
      <c r="AS495" s="4">
        <f t="shared" si="61"/>
        <v>85132.17932826922</v>
      </c>
      <c r="AT495" s="4"/>
      <c r="AU495" s="4"/>
      <c r="AV495" s="4"/>
      <c r="AW495" s="4"/>
      <c r="AX495" s="4">
        <v>50711.096277</v>
      </c>
      <c r="AY495" s="4">
        <f t="shared" si="66"/>
        <v>49695.173878845024</v>
      </c>
      <c r="AZ495" s="4"/>
      <c r="BA495" s="4"/>
      <c r="BB495" s="4"/>
      <c r="BC495" s="4"/>
      <c r="BD495" s="4"/>
      <c r="BE495" s="4"/>
      <c r="BF495" s="4"/>
      <c r="BG495" s="4"/>
      <c r="BH495" s="4"/>
      <c r="BI495" s="4">
        <v>63725</v>
      </c>
      <c r="BJ495" s="4"/>
      <c r="BK495" s="4">
        <f t="shared" si="62"/>
        <v>63725</v>
      </c>
      <c r="BL495" s="4">
        <f t="shared" si="64"/>
        <v>63725</v>
      </c>
      <c r="BM495" s="4"/>
      <c r="BN495" s="4"/>
      <c r="BO495" s="4">
        <v>6212.995435</v>
      </c>
      <c r="BP495" s="4"/>
      <c r="BQ495" s="4">
        <f t="shared" si="56"/>
        <v>2444557.375047</v>
      </c>
      <c r="BT495" s="4">
        <f t="shared" si="57"/>
        <v>1696362.3976531804</v>
      </c>
      <c r="BW495" s="52"/>
      <c r="BX495" s="4">
        <f t="shared" si="52"/>
        <v>4565331.0167</v>
      </c>
      <c r="BY495" s="4">
        <f t="shared" si="53"/>
        <v>3857660.37640783</v>
      </c>
    </row>
    <row r="496" spans="1:77" ht="12.75">
      <c r="A496" s="3" t="s">
        <v>1129</v>
      </c>
      <c r="B496" s="3" t="s">
        <v>495</v>
      </c>
      <c r="C496" s="3" t="s">
        <v>1349</v>
      </c>
      <c r="D496" s="3"/>
      <c r="E496" s="4"/>
      <c r="F496" s="4">
        <v>1822210.301125</v>
      </c>
      <c r="G496" s="4">
        <f t="shared" si="67"/>
        <v>1857029.6062420383</v>
      </c>
      <c r="H496" s="4"/>
      <c r="I496" s="4"/>
      <c r="J496" s="4">
        <v>70534.813416</v>
      </c>
      <c r="K496" s="4">
        <f t="shared" si="60"/>
        <v>71882.61239847135</v>
      </c>
      <c r="L496" s="4"/>
      <c r="M496" s="4"/>
      <c r="N496" s="4"/>
      <c r="O496" s="4"/>
      <c r="P496" s="4"/>
      <c r="Q496" s="4"/>
      <c r="R496" s="4"/>
      <c r="S496" s="4"/>
      <c r="T496" s="4">
        <v>93336.39282</v>
      </c>
      <c r="U496" s="4">
        <f t="shared" si="65"/>
        <v>95119.89077197452</v>
      </c>
      <c r="V496" s="4"/>
      <c r="W496" s="4"/>
      <c r="X496" s="4"/>
      <c r="Y496" s="4"/>
      <c r="Z496" s="13">
        <f t="shared" si="68"/>
        <v>1986081.507361</v>
      </c>
      <c r="AC496" s="13">
        <f t="shared" si="69"/>
        <v>2024032.1094124843</v>
      </c>
      <c r="AF496" s="51"/>
      <c r="AG496" s="4"/>
      <c r="AH496" s="4"/>
      <c r="AI496" s="4"/>
      <c r="AJ496" s="4"/>
      <c r="AK496" s="4"/>
      <c r="AL496" s="4">
        <v>2013139.331768</v>
      </c>
      <c r="AM496" s="4">
        <f t="shared" si="70"/>
        <v>1347880.8522744572</v>
      </c>
      <c r="AN496" s="4"/>
      <c r="AO496" s="4"/>
      <c r="AP496" s="4"/>
      <c r="AQ496" s="4"/>
      <c r="AR496" s="4">
        <v>101875.947332</v>
      </c>
      <c r="AS496" s="4">
        <f t="shared" si="61"/>
        <v>99871.40799699043</v>
      </c>
      <c r="AT496" s="4"/>
      <c r="AU496" s="4"/>
      <c r="AV496" s="4"/>
      <c r="AW496" s="4"/>
      <c r="AX496" s="4">
        <v>132405.117051</v>
      </c>
      <c r="AY496" s="4">
        <f t="shared" si="66"/>
        <v>129752.57482813644</v>
      </c>
      <c r="AZ496" s="4"/>
      <c r="BA496" s="4"/>
      <c r="BB496" s="4"/>
      <c r="BC496" s="4"/>
      <c r="BD496" s="4">
        <v>5431.764706</v>
      </c>
      <c r="BE496" s="4">
        <f>BD496/BD$680*BE$680</f>
        <v>7718.824370404216</v>
      </c>
      <c r="BF496" s="4">
        <v>1143.528604592132</v>
      </c>
      <c r="BG496" s="4">
        <f>BE496+BF496</f>
        <v>8862.352974996349</v>
      </c>
      <c r="BH496" s="4">
        <v>70907</v>
      </c>
      <c r="BI496" s="4">
        <v>70744</v>
      </c>
      <c r="BJ496" s="4"/>
      <c r="BK496" s="4">
        <f t="shared" si="62"/>
        <v>70744</v>
      </c>
      <c r="BL496" s="4">
        <f t="shared" si="64"/>
        <v>141651</v>
      </c>
      <c r="BM496" s="4"/>
      <c r="BN496" s="4"/>
      <c r="BO496" s="4">
        <v>5818.402821</v>
      </c>
      <c r="BP496" s="4"/>
      <c r="BQ496" s="4">
        <f t="shared" si="56"/>
        <v>2401465.0922825923</v>
      </c>
      <c r="BT496" s="4">
        <f t="shared" si="57"/>
        <v>1728018.1880745806</v>
      </c>
      <c r="BW496" s="52"/>
      <c r="BX496" s="4">
        <f t="shared" si="52"/>
        <v>4387546.599643592</v>
      </c>
      <c r="BY496" s="4">
        <f t="shared" si="53"/>
        <v>3752050.297487065</v>
      </c>
    </row>
    <row r="497" spans="1:77" ht="12.75">
      <c r="A497" s="3" t="s">
        <v>1130</v>
      </c>
      <c r="B497" s="3" t="s">
        <v>496</v>
      </c>
      <c r="C497" s="3" t="s">
        <v>1349</v>
      </c>
      <c r="D497" s="3"/>
      <c r="E497" s="4"/>
      <c r="F497" s="4">
        <v>1437426.16683</v>
      </c>
      <c r="G497" s="4">
        <f t="shared" si="67"/>
        <v>1464892.9088713375</v>
      </c>
      <c r="H497" s="4"/>
      <c r="I497" s="4"/>
      <c r="J497" s="4">
        <v>71766.428601</v>
      </c>
      <c r="K497" s="4">
        <f t="shared" si="60"/>
        <v>73137.76163159237</v>
      </c>
      <c r="L497" s="4"/>
      <c r="M497" s="4"/>
      <c r="N497" s="4"/>
      <c r="O497" s="4"/>
      <c r="P497" s="4"/>
      <c r="Q497" s="4"/>
      <c r="R497" s="4"/>
      <c r="S497" s="4"/>
      <c r="T497" s="4">
        <v>45953.41974</v>
      </c>
      <c r="U497" s="4">
        <f t="shared" si="65"/>
        <v>46831.51056305732</v>
      </c>
      <c r="V497" s="4"/>
      <c r="W497" s="4"/>
      <c r="X497" s="4"/>
      <c r="Y497" s="4"/>
      <c r="Z497" s="13">
        <f t="shared" si="68"/>
        <v>1555146.015171</v>
      </c>
      <c r="AC497" s="13">
        <f t="shared" si="69"/>
        <v>1584862.1810659873</v>
      </c>
      <c r="AF497" s="51"/>
      <c r="AG497" s="4"/>
      <c r="AH497" s="4"/>
      <c r="AI497" s="4"/>
      <c r="AJ497" s="4"/>
      <c r="AK497" s="4"/>
      <c r="AL497" s="4">
        <v>1588037.972989</v>
      </c>
      <c r="AM497" s="4">
        <f t="shared" si="70"/>
        <v>1063257.7401370301</v>
      </c>
      <c r="AN497" s="4"/>
      <c r="AO497" s="4"/>
      <c r="AP497" s="4"/>
      <c r="AQ497" s="4"/>
      <c r="AR497" s="4">
        <v>103654.813081</v>
      </c>
      <c r="AS497" s="4">
        <f t="shared" si="61"/>
        <v>101615.27229119216</v>
      </c>
      <c r="AT497" s="4"/>
      <c r="AU497" s="4"/>
      <c r="AV497" s="4"/>
      <c r="AW497" s="4"/>
      <c r="AX497" s="4">
        <v>65188.590814</v>
      </c>
      <c r="AY497" s="4">
        <f t="shared" si="66"/>
        <v>63882.63305772607</v>
      </c>
      <c r="AZ497" s="4"/>
      <c r="BA497" s="4"/>
      <c r="BB497" s="4"/>
      <c r="BC497" s="4"/>
      <c r="BD497" s="4"/>
      <c r="BE497" s="4"/>
      <c r="BF497" s="4"/>
      <c r="BG497" s="4"/>
      <c r="BH497" s="4"/>
      <c r="BI497" s="4"/>
      <c r="BJ497" s="4"/>
      <c r="BK497" s="4"/>
      <c r="BL497" s="4"/>
      <c r="BM497" s="4"/>
      <c r="BN497" s="4"/>
      <c r="BO497" s="4">
        <v>4555.938882</v>
      </c>
      <c r="BP497" s="4"/>
      <c r="BQ497" s="4">
        <f t="shared" si="56"/>
        <v>1761437.315766</v>
      </c>
      <c r="BT497" s="4">
        <f t="shared" si="57"/>
        <v>1228755.6454859483</v>
      </c>
      <c r="BW497" s="52"/>
      <c r="BX497" s="4">
        <f t="shared" si="52"/>
        <v>3316583.330937</v>
      </c>
      <c r="BY497" s="4">
        <f t="shared" si="53"/>
        <v>2813617.8265519356</v>
      </c>
    </row>
    <row r="498" spans="1:77" ht="12.75">
      <c r="A498" s="3" t="s">
        <v>1131</v>
      </c>
      <c r="B498" s="3" t="s">
        <v>497</v>
      </c>
      <c r="C498" s="3" t="s">
        <v>1349</v>
      </c>
      <c r="D498" s="3"/>
      <c r="E498" s="4"/>
      <c r="F498" s="4">
        <v>1866005.540782</v>
      </c>
      <c r="G498" s="4">
        <f t="shared" si="67"/>
        <v>1901661.6976122293</v>
      </c>
      <c r="H498" s="4"/>
      <c r="I498" s="4"/>
      <c r="J498" s="4">
        <v>58718.801597</v>
      </c>
      <c r="K498" s="4">
        <f t="shared" si="60"/>
        <v>59840.81691414012</v>
      </c>
      <c r="L498" s="4"/>
      <c r="M498" s="4"/>
      <c r="N498" s="4"/>
      <c r="O498" s="4"/>
      <c r="P498" s="4"/>
      <c r="Q498" s="4"/>
      <c r="R498" s="4"/>
      <c r="S498" s="4"/>
      <c r="T498" s="4">
        <v>40283.672721</v>
      </c>
      <c r="U498" s="4">
        <f t="shared" si="65"/>
        <v>41053.424429044586</v>
      </c>
      <c r="V498" s="4"/>
      <c r="W498" s="4"/>
      <c r="X498" s="4"/>
      <c r="Y498" s="4"/>
      <c r="Z498" s="13">
        <f t="shared" si="68"/>
        <v>1965008.0151</v>
      </c>
      <c r="AC498" s="13">
        <f t="shared" si="69"/>
        <v>2002555.9389554139</v>
      </c>
      <c r="AF498" s="51"/>
      <c r="AG498" s="4"/>
      <c r="AH498" s="4"/>
      <c r="AI498" s="4"/>
      <c r="AJ498" s="4"/>
      <c r="AK498" s="4"/>
      <c r="AL498" s="4">
        <v>2061523.384608</v>
      </c>
      <c r="AM498" s="4">
        <f t="shared" si="70"/>
        <v>1380275.9961918914</v>
      </c>
      <c r="AN498" s="4"/>
      <c r="AO498" s="4"/>
      <c r="AP498" s="4"/>
      <c r="AQ498" s="4"/>
      <c r="AR498" s="4">
        <v>84809.659929</v>
      </c>
      <c r="AS498" s="4">
        <f t="shared" si="61"/>
        <v>83140.92158821732</v>
      </c>
      <c r="AT498" s="4"/>
      <c r="AU498" s="4"/>
      <c r="AV498" s="4"/>
      <c r="AW498" s="4"/>
      <c r="AX498" s="4">
        <v>57145.602489</v>
      </c>
      <c r="AY498" s="4">
        <f t="shared" si="66"/>
        <v>56000.77420117285</v>
      </c>
      <c r="AZ498" s="4"/>
      <c r="BA498" s="4"/>
      <c r="BB498" s="4"/>
      <c r="BC498" s="4"/>
      <c r="BD498" s="4"/>
      <c r="BE498" s="4"/>
      <c r="BF498" s="4"/>
      <c r="BG498" s="4"/>
      <c r="BH498" s="4">
        <v>58191</v>
      </c>
      <c r="BI498" s="4"/>
      <c r="BJ498" s="4"/>
      <c r="BK498" s="4"/>
      <c r="BL498" s="4">
        <f t="shared" si="64"/>
        <v>58191</v>
      </c>
      <c r="BM498" s="4"/>
      <c r="BN498" s="4"/>
      <c r="BO498" s="4">
        <v>5756.666147</v>
      </c>
      <c r="BP498" s="4"/>
      <c r="BQ498" s="4">
        <f t="shared" si="56"/>
        <v>2267426.3131730002</v>
      </c>
      <c r="BT498" s="4">
        <f t="shared" si="57"/>
        <v>1577608.6919812816</v>
      </c>
      <c r="BW498" s="52"/>
      <c r="BX498" s="4">
        <f t="shared" si="52"/>
        <v>4232434.328273</v>
      </c>
      <c r="BY498" s="4">
        <f t="shared" si="53"/>
        <v>3580164.6309366953</v>
      </c>
    </row>
    <row r="499" spans="1:77" ht="12.75">
      <c r="A499" s="3" t="s">
        <v>1132</v>
      </c>
      <c r="B499" s="3" t="s">
        <v>498</v>
      </c>
      <c r="C499" s="3" t="s">
        <v>1349</v>
      </c>
      <c r="D499" s="3"/>
      <c r="E499" s="4"/>
      <c r="F499" s="4">
        <v>2208829.25283</v>
      </c>
      <c r="G499" s="4">
        <f t="shared" si="67"/>
        <v>2251036.181228026</v>
      </c>
      <c r="H499" s="4"/>
      <c r="I499" s="4"/>
      <c r="J499" s="4">
        <v>54451.727427</v>
      </c>
      <c r="K499" s="4">
        <f t="shared" si="60"/>
        <v>55492.20629503184</v>
      </c>
      <c r="L499" s="4"/>
      <c r="M499" s="4"/>
      <c r="N499" s="4"/>
      <c r="O499" s="4"/>
      <c r="P499" s="4"/>
      <c r="Q499" s="4"/>
      <c r="R499" s="4"/>
      <c r="S499" s="4"/>
      <c r="T499" s="4">
        <v>65797.330668</v>
      </c>
      <c r="U499" s="4">
        <f t="shared" si="65"/>
        <v>67054.60450242038</v>
      </c>
      <c r="V499" s="4"/>
      <c r="W499" s="4"/>
      <c r="X499" s="4"/>
      <c r="Y499" s="4"/>
      <c r="Z499" s="13">
        <f t="shared" si="68"/>
        <v>2329078.3109250003</v>
      </c>
      <c r="AC499" s="13">
        <f t="shared" si="69"/>
        <v>2373582.9920254783</v>
      </c>
      <c r="AF499" s="51"/>
      <c r="AG499" s="4"/>
      <c r="AH499" s="4"/>
      <c r="AI499" s="4"/>
      <c r="AJ499" s="4"/>
      <c r="AK499" s="4"/>
      <c r="AL499" s="4">
        <v>2440267.757945</v>
      </c>
      <c r="AM499" s="4">
        <f t="shared" si="70"/>
        <v>1633861.1706861437</v>
      </c>
      <c r="AN499" s="4"/>
      <c r="AO499" s="4"/>
      <c r="AP499" s="4"/>
      <c r="AQ499" s="4"/>
      <c r="AR499" s="4">
        <v>78646.572478</v>
      </c>
      <c r="AS499" s="4">
        <f t="shared" si="61"/>
        <v>77099.10075160641</v>
      </c>
      <c r="AT499" s="4"/>
      <c r="AU499" s="4"/>
      <c r="AV499" s="4"/>
      <c r="AW499" s="4"/>
      <c r="AX499" s="4">
        <v>93338.761073</v>
      </c>
      <c r="AY499" s="4">
        <f t="shared" si="66"/>
        <v>91468.85596441918</v>
      </c>
      <c r="AZ499" s="4"/>
      <c r="BA499" s="4"/>
      <c r="BB499" s="4"/>
      <c r="BC499" s="4"/>
      <c r="BD499" s="4"/>
      <c r="BE499" s="4"/>
      <c r="BF499" s="4"/>
      <c r="BG499" s="4"/>
      <c r="BH499" s="4">
        <v>53809</v>
      </c>
      <c r="BI499" s="4"/>
      <c r="BJ499" s="4"/>
      <c r="BK499" s="4"/>
      <c r="BL499" s="4">
        <f t="shared" si="64"/>
        <v>53809</v>
      </c>
      <c r="BM499" s="4"/>
      <c r="BN499" s="4"/>
      <c r="BO499" s="4">
        <v>6823.242533</v>
      </c>
      <c r="BP499" s="4"/>
      <c r="BQ499" s="4">
        <f t="shared" si="56"/>
        <v>2672885.3340290003</v>
      </c>
      <c r="BT499" s="4">
        <f t="shared" si="57"/>
        <v>1856238.1274021694</v>
      </c>
      <c r="BW499" s="52"/>
      <c r="BX499" s="4">
        <f t="shared" si="52"/>
        <v>5001963.644954001</v>
      </c>
      <c r="BY499" s="4">
        <f t="shared" si="53"/>
        <v>4229821.119427647</v>
      </c>
    </row>
    <row r="500" spans="1:77" ht="12.75">
      <c r="A500" s="3" t="s">
        <v>1133</v>
      </c>
      <c r="B500" s="3" t="s">
        <v>499</v>
      </c>
      <c r="C500" s="3" t="s">
        <v>1349</v>
      </c>
      <c r="D500" s="3"/>
      <c r="E500" s="4"/>
      <c r="F500" s="4">
        <v>2273051.656824</v>
      </c>
      <c r="G500" s="4">
        <f t="shared" si="67"/>
        <v>2316485.7649161783</v>
      </c>
      <c r="H500" s="4"/>
      <c r="I500" s="4"/>
      <c r="J500" s="4">
        <v>53303.197394</v>
      </c>
      <c r="K500" s="4">
        <f t="shared" si="60"/>
        <v>54321.72982828026</v>
      </c>
      <c r="L500" s="4"/>
      <c r="M500" s="4"/>
      <c r="N500" s="4"/>
      <c r="O500" s="4"/>
      <c r="P500" s="4"/>
      <c r="Q500" s="4"/>
      <c r="R500" s="4"/>
      <c r="S500" s="4"/>
      <c r="T500" s="4">
        <v>35747.793649</v>
      </c>
      <c r="U500" s="4">
        <f t="shared" si="65"/>
        <v>36430.87250853503</v>
      </c>
      <c r="V500" s="4"/>
      <c r="W500" s="4"/>
      <c r="X500" s="4"/>
      <c r="Y500" s="4"/>
      <c r="Z500" s="13">
        <f t="shared" si="68"/>
        <v>2362102.647867</v>
      </c>
      <c r="AC500" s="13">
        <f t="shared" si="69"/>
        <v>2407238.367252994</v>
      </c>
      <c r="AF500" s="51"/>
      <c r="AG500" s="4"/>
      <c r="AH500" s="4"/>
      <c r="AI500" s="4"/>
      <c r="AJ500" s="4"/>
      <c r="AK500" s="4"/>
      <c r="AL500" s="4">
        <v>2511219.309136</v>
      </c>
      <c r="AM500" s="4">
        <f t="shared" si="70"/>
        <v>1681366.1971790346</v>
      </c>
      <c r="AN500" s="4"/>
      <c r="AO500" s="4"/>
      <c r="AP500" s="4"/>
      <c r="AQ500" s="4"/>
      <c r="AR500" s="4">
        <v>76987.709577</v>
      </c>
      <c r="AS500" s="4">
        <f t="shared" si="61"/>
        <v>75472.8780961553</v>
      </c>
      <c r="AT500" s="4"/>
      <c r="AU500" s="4"/>
      <c r="AV500" s="4"/>
      <c r="AW500" s="4"/>
      <c r="AX500" s="4">
        <v>50711.096277</v>
      </c>
      <c r="AY500" s="4">
        <f t="shared" si="66"/>
        <v>49695.173878845024</v>
      </c>
      <c r="AZ500" s="4"/>
      <c r="BA500" s="4"/>
      <c r="BB500" s="4"/>
      <c r="BC500" s="4"/>
      <c r="BD500" s="4">
        <v>6470.058824</v>
      </c>
      <c r="BE500" s="4">
        <f>BD500/BD$680*BE$680</f>
        <v>9194.29511986671</v>
      </c>
      <c r="BF500" s="4">
        <v>1362.1166856629538</v>
      </c>
      <c r="BG500" s="4">
        <f>BE500+BF500</f>
        <v>10556.411805529664</v>
      </c>
      <c r="BH500" s="4">
        <v>53046</v>
      </c>
      <c r="BI500" s="4"/>
      <c r="BJ500" s="4"/>
      <c r="BK500" s="4"/>
      <c r="BL500" s="4">
        <f t="shared" si="64"/>
        <v>53046</v>
      </c>
      <c r="BM500" s="4"/>
      <c r="BN500" s="4"/>
      <c r="BO500" s="4">
        <v>6919.990272</v>
      </c>
      <c r="BP500" s="4"/>
      <c r="BQ500" s="4">
        <f t="shared" si="56"/>
        <v>2706716.280771663</v>
      </c>
      <c r="BT500" s="4">
        <f t="shared" si="57"/>
        <v>1870136.6609595646</v>
      </c>
      <c r="BW500" s="52"/>
      <c r="BX500" s="4">
        <f t="shared" si="52"/>
        <v>5068818.928638663</v>
      </c>
      <c r="BY500" s="4">
        <f t="shared" si="53"/>
        <v>4277375.0282125585</v>
      </c>
    </row>
    <row r="501" spans="1:77" ht="12.75">
      <c r="A501" s="3" t="s">
        <v>1134</v>
      </c>
      <c r="B501" s="3" t="s">
        <v>500</v>
      </c>
      <c r="C501" s="3" t="s">
        <v>1349</v>
      </c>
      <c r="D501" s="3"/>
      <c r="E501" s="4"/>
      <c r="F501" s="4">
        <v>2417280.303417</v>
      </c>
      <c r="G501" s="4">
        <f t="shared" si="67"/>
        <v>2463470.3729090444</v>
      </c>
      <c r="H501" s="4"/>
      <c r="I501" s="4"/>
      <c r="J501" s="4">
        <v>70637.040735</v>
      </c>
      <c r="K501" s="4">
        <f t="shared" si="60"/>
        <v>71986.79310573249</v>
      </c>
      <c r="L501" s="4"/>
      <c r="M501" s="4"/>
      <c r="N501" s="4"/>
      <c r="O501" s="4"/>
      <c r="P501" s="4"/>
      <c r="Q501" s="4"/>
      <c r="R501" s="4"/>
      <c r="S501" s="4"/>
      <c r="T501" s="4">
        <v>44252.210538</v>
      </c>
      <c r="U501" s="4">
        <f t="shared" si="65"/>
        <v>45097.7941788535</v>
      </c>
      <c r="V501" s="4"/>
      <c r="W501" s="4"/>
      <c r="X501" s="4"/>
      <c r="Y501" s="4"/>
      <c r="Z501" s="13">
        <f t="shared" si="68"/>
        <v>2532169.5546899997</v>
      </c>
      <c r="AC501" s="13">
        <f t="shared" si="69"/>
        <v>2580554.9601936303</v>
      </c>
      <c r="AF501" s="51"/>
      <c r="AG501" s="4"/>
      <c r="AH501" s="4"/>
      <c r="AI501" s="4"/>
      <c r="AJ501" s="4"/>
      <c r="AK501" s="4"/>
      <c r="AL501" s="4">
        <v>2670560.061981</v>
      </c>
      <c r="AM501" s="4">
        <f t="shared" si="70"/>
        <v>1788051.4853543707</v>
      </c>
      <c r="AN501" s="4"/>
      <c r="AO501" s="4"/>
      <c r="AP501" s="4"/>
      <c r="AQ501" s="4"/>
      <c r="AR501" s="4">
        <v>102023.597895</v>
      </c>
      <c r="AS501" s="4">
        <f t="shared" si="61"/>
        <v>100016.1533466489</v>
      </c>
      <c r="AT501" s="4"/>
      <c r="AU501" s="4"/>
      <c r="AV501" s="4"/>
      <c r="AW501" s="4"/>
      <c r="AX501" s="4">
        <v>62775.289885</v>
      </c>
      <c r="AY501" s="4">
        <f t="shared" si="66"/>
        <v>61517.67907145173</v>
      </c>
      <c r="AZ501" s="4"/>
      <c r="BA501" s="4"/>
      <c r="BB501" s="4"/>
      <c r="BC501" s="4"/>
      <c r="BD501" s="4"/>
      <c r="BE501" s="4"/>
      <c r="BF501" s="4"/>
      <c r="BG501" s="4"/>
      <c r="BH501" s="4">
        <v>69428</v>
      </c>
      <c r="BI501" s="4"/>
      <c r="BJ501" s="4"/>
      <c r="BK501" s="4"/>
      <c r="BL501" s="4">
        <f t="shared" si="64"/>
        <v>69428</v>
      </c>
      <c r="BM501" s="4"/>
      <c r="BN501" s="4"/>
      <c r="BO501" s="4">
        <v>7418.216436</v>
      </c>
      <c r="BP501" s="4"/>
      <c r="BQ501" s="4">
        <f t="shared" si="56"/>
        <v>2912205.166197</v>
      </c>
      <c r="BT501" s="4">
        <f t="shared" si="57"/>
        <v>2019013.3177724713</v>
      </c>
      <c r="BW501" s="52"/>
      <c r="BX501" s="4">
        <f t="shared" si="52"/>
        <v>5444374.720887</v>
      </c>
      <c r="BY501" s="4">
        <f t="shared" si="53"/>
        <v>4599568.277966102</v>
      </c>
    </row>
    <row r="502" spans="1:77" ht="12.75">
      <c r="A502" s="3" t="s">
        <v>1135</v>
      </c>
      <c r="B502" s="3" t="s">
        <v>501</v>
      </c>
      <c r="C502" s="3" t="s">
        <v>1349</v>
      </c>
      <c r="D502" s="3"/>
      <c r="E502" s="4"/>
      <c r="F502" s="4">
        <v>2027754.502759</v>
      </c>
      <c r="G502" s="4">
        <f t="shared" si="67"/>
        <v>2066501.4040856052</v>
      </c>
      <c r="H502" s="4"/>
      <c r="I502" s="4"/>
      <c r="J502" s="4">
        <v>42722.059001</v>
      </c>
      <c r="K502" s="4">
        <f t="shared" si="60"/>
        <v>43538.40407745223</v>
      </c>
      <c r="L502" s="4"/>
      <c r="M502" s="4"/>
      <c r="N502" s="4"/>
      <c r="O502" s="4"/>
      <c r="P502" s="4"/>
      <c r="Q502" s="4"/>
      <c r="R502" s="4"/>
      <c r="S502" s="4"/>
      <c r="T502" s="4">
        <v>26109.101532</v>
      </c>
      <c r="U502" s="4">
        <f t="shared" si="65"/>
        <v>26608.001561273886</v>
      </c>
      <c r="V502" s="4"/>
      <c r="W502" s="4"/>
      <c r="X502" s="4"/>
      <c r="Y502" s="4"/>
      <c r="Z502" s="13">
        <f t="shared" si="68"/>
        <v>2096585.663292</v>
      </c>
      <c r="AC502" s="13">
        <f t="shared" si="69"/>
        <v>2136647.8097243314</v>
      </c>
      <c r="AF502" s="51"/>
      <c r="AG502" s="4"/>
      <c r="AH502" s="4"/>
      <c r="AI502" s="4"/>
      <c r="AJ502" s="4"/>
      <c r="AK502" s="4"/>
      <c r="AL502" s="4">
        <v>2240220.210671</v>
      </c>
      <c r="AM502" s="4">
        <f t="shared" si="70"/>
        <v>1499920.9837055</v>
      </c>
      <c r="AN502" s="4"/>
      <c r="AO502" s="4"/>
      <c r="AP502" s="4"/>
      <c r="AQ502" s="4"/>
      <c r="AR502" s="4">
        <v>61704.993916</v>
      </c>
      <c r="AS502" s="4">
        <f t="shared" si="61"/>
        <v>60490.869378163225</v>
      </c>
      <c r="AT502" s="4"/>
      <c r="AU502" s="4"/>
      <c r="AV502" s="4"/>
      <c r="AW502" s="4"/>
      <c r="AX502" s="4">
        <v>37037.842797</v>
      </c>
      <c r="AY502" s="4">
        <f t="shared" si="66"/>
        <v>36295.84396756666</v>
      </c>
      <c r="AZ502" s="4"/>
      <c r="BA502" s="4"/>
      <c r="BB502" s="4"/>
      <c r="BC502" s="4"/>
      <c r="BD502" s="4"/>
      <c r="BE502" s="4"/>
      <c r="BF502" s="4"/>
      <c r="BG502" s="4"/>
      <c r="BH502" s="4">
        <v>42458</v>
      </c>
      <c r="BI502" s="4">
        <v>42240</v>
      </c>
      <c r="BJ502" s="4"/>
      <c r="BK502" s="4">
        <f t="shared" si="62"/>
        <v>42240</v>
      </c>
      <c r="BL502" s="4">
        <f t="shared" si="64"/>
        <v>84698</v>
      </c>
      <c r="BM502" s="4"/>
      <c r="BN502" s="4"/>
      <c r="BO502" s="4">
        <v>6142.134597</v>
      </c>
      <c r="BP502" s="4"/>
      <c r="BQ502" s="4">
        <f t="shared" si="56"/>
        <v>2429803.181981</v>
      </c>
      <c r="BT502" s="4">
        <f t="shared" si="57"/>
        <v>1681405.69705123</v>
      </c>
      <c r="BW502" s="52"/>
      <c r="BX502" s="4">
        <f t="shared" si="52"/>
        <v>4526388.845273</v>
      </c>
      <c r="BY502" s="4">
        <f t="shared" si="53"/>
        <v>3818053.5067755613</v>
      </c>
    </row>
    <row r="503" spans="1:77" ht="12.75">
      <c r="A503" s="3" t="s">
        <v>1136</v>
      </c>
      <c r="B503" s="3" t="s">
        <v>502</v>
      </c>
      <c r="C503" s="3" t="s">
        <v>1349</v>
      </c>
      <c r="D503" s="3"/>
      <c r="E503" s="4"/>
      <c r="F503" s="4">
        <v>2565128.208891</v>
      </c>
      <c r="G503" s="4">
        <f t="shared" si="67"/>
        <v>2614143.397595924</v>
      </c>
      <c r="H503" s="4"/>
      <c r="I503" s="4"/>
      <c r="J503" s="4">
        <v>101574.448489</v>
      </c>
      <c r="K503" s="4">
        <f t="shared" si="60"/>
        <v>103515.36151745223</v>
      </c>
      <c r="L503" s="4"/>
      <c r="M503" s="4"/>
      <c r="N503" s="4"/>
      <c r="O503" s="4"/>
      <c r="P503" s="4"/>
      <c r="Q503" s="4"/>
      <c r="R503" s="4"/>
      <c r="S503" s="4"/>
      <c r="T503" s="4">
        <v>20364.007684</v>
      </c>
      <c r="U503" s="4">
        <f t="shared" si="65"/>
        <v>20753.128849936307</v>
      </c>
      <c r="V503" s="4"/>
      <c r="W503" s="4"/>
      <c r="X503" s="4"/>
      <c r="Y503" s="4"/>
      <c r="Z503" s="13">
        <f t="shared" si="68"/>
        <v>2687066.665064</v>
      </c>
      <c r="AC503" s="13">
        <f t="shared" si="69"/>
        <v>2738411.887963312</v>
      </c>
      <c r="AF503" s="51"/>
      <c r="AG503" s="4"/>
      <c r="AH503" s="4"/>
      <c r="AI503" s="4"/>
      <c r="AJ503" s="4"/>
      <c r="AK503" s="4"/>
      <c r="AL503" s="4">
        <v>2833899.295354</v>
      </c>
      <c r="AM503" s="4">
        <f t="shared" si="70"/>
        <v>1897413.9232216505</v>
      </c>
      <c r="AN503" s="4"/>
      <c r="AO503" s="4"/>
      <c r="AP503" s="4"/>
      <c r="AQ503" s="4"/>
      <c r="AR503" s="4">
        <v>146707.599601</v>
      </c>
      <c r="AS503" s="4">
        <f t="shared" si="61"/>
        <v>143820.94026828557</v>
      </c>
      <c r="AT503" s="4"/>
      <c r="AU503" s="4"/>
      <c r="AV503" s="4"/>
      <c r="AW503" s="4"/>
      <c r="AX503" s="4">
        <v>28887.968986</v>
      </c>
      <c r="AY503" s="4">
        <f t="shared" si="66"/>
        <v>28309.240918876858</v>
      </c>
      <c r="AZ503" s="4"/>
      <c r="BA503" s="4"/>
      <c r="BB503" s="4"/>
      <c r="BC503" s="4"/>
      <c r="BD503" s="4"/>
      <c r="BE503" s="4"/>
      <c r="BF503" s="4"/>
      <c r="BG503" s="4"/>
      <c r="BH503" s="4"/>
      <c r="BI503" s="4"/>
      <c r="BJ503" s="4"/>
      <c r="BK503" s="4"/>
      <c r="BL503" s="4"/>
      <c r="BM503" s="4"/>
      <c r="BN503" s="4"/>
      <c r="BO503" s="4">
        <v>7872.001329</v>
      </c>
      <c r="BP503" s="4"/>
      <c r="BQ503" s="4">
        <f t="shared" si="56"/>
        <v>3017366.86527</v>
      </c>
      <c r="BT503" s="4">
        <f t="shared" si="57"/>
        <v>2069544.104408813</v>
      </c>
      <c r="BW503" s="52"/>
      <c r="BX503" s="4">
        <f t="shared" si="52"/>
        <v>5704433.530334</v>
      </c>
      <c r="BY503" s="4">
        <f t="shared" si="53"/>
        <v>4807955.992372125</v>
      </c>
    </row>
    <row r="504" spans="1:77" ht="12.75">
      <c r="A504" s="3" t="s">
        <v>1137</v>
      </c>
      <c r="B504" s="3" t="s">
        <v>503</v>
      </c>
      <c r="C504" s="3" t="s">
        <v>1349</v>
      </c>
      <c r="D504" s="3"/>
      <c r="E504" s="4"/>
      <c r="F504" s="4">
        <v>2308359.788144</v>
      </c>
      <c r="G504" s="4">
        <f t="shared" si="67"/>
        <v>2352468.573904713</v>
      </c>
      <c r="H504" s="4"/>
      <c r="I504" s="4"/>
      <c r="J504" s="4">
        <v>94174.575376</v>
      </c>
      <c r="K504" s="4">
        <f t="shared" si="60"/>
        <v>95974.08955515923</v>
      </c>
      <c r="L504" s="4"/>
      <c r="M504" s="4"/>
      <c r="N504" s="4"/>
      <c r="O504" s="4"/>
      <c r="P504" s="4"/>
      <c r="Q504" s="4"/>
      <c r="R504" s="4"/>
      <c r="S504" s="4"/>
      <c r="T504" s="4">
        <v>20364.007684</v>
      </c>
      <c r="U504" s="4">
        <f t="shared" si="65"/>
        <v>20753.128849936307</v>
      </c>
      <c r="V504" s="4"/>
      <c r="W504" s="4"/>
      <c r="X504" s="4"/>
      <c r="Y504" s="4"/>
      <c r="Z504" s="13">
        <f t="shared" si="68"/>
        <v>2422898.3712039995</v>
      </c>
      <c r="AC504" s="13">
        <f t="shared" si="69"/>
        <v>2469195.7923098085</v>
      </c>
      <c r="AF504" s="51"/>
      <c r="AG504" s="4"/>
      <c r="AH504" s="4"/>
      <c r="AI504" s="4"/>
      <c r="AJ504" s="4"/>
      <c r="AK504" s="4"/>
      <c r="AL504" s="4">
        <v>2550226.984511</v>
      </c>
      <c r="AM504" s="4">
        <f t="shared" si="70"/>
        <v>1707483.4648216697</v>
      </c>
      <c r="AN504" s="4"/>
      <c r="AO504" s="4"/>
      <c r="AP504" s="4"/>
      <c r="AQ504" s="4"/>
      <c r="AR504" s="4">
        <v>136019.698875</v>
      </c>
      <c r="AS504" s="4">
        <f t="shared" si="61"/>
        <v>133343.33763496616</v>
      </c>
      <c r="AT504" s="4"/>
      <c r="AU504" s="4"/>
      <c r="AV504" s="4"/>
      <c r="AW504" s="4"/>
      <c r="AX504" s="4">
        <v>28887.968986</v>
      </c>
      <c r="AY504" s="4">
        <f t="shared" si="66"/>
        <v>28309.240918876858</v>
      </c>
      <c r="AZ504" s="4"/>
      <c r="BA504" s="4"/>
      <c r="BB504" s="4"/>
      <c r="BC504" s="4"/>
      <c r="BD504" s="4"/>
      <c r="BE504" s="4"/>
      <c r="BF504" s="4"/>
      <c r="BG504" s="4"/>
      <c r="BH504" s="4">
        <v>93296</v>
      </c>
      <c r="BI504" s="4">
        <v>94290</v>
      </c>
      <c r="BJ504" s="4"/>
      <c r="BK504" s="4">
        <f t="shared" si="62"/>
        <v>94290</v>
      </c>
      <c r="BL504" s="4">
        <f t="shared" si="64"/>
        <v>187586</v>
      </c>
      <c r="BM504" s="4"/>
      <c r="BN504" s="4"/>
      <c r="BO504" s="4">
        <v>7098.096763</v>
      </c>
      <c r="BP504" s="4"/>
      <c r="BQ504" s="4">
        <f t="shared" si="56"/>
        <v>2909818.7491349997</v>
      </c>
      <c r="BT504" s="4">
        <f t="shared" si="57"/>
        <v>2056722.0433755128</v>
      </c>
      <c r="BW504" s="52"/>
      <c r="BX504" s="4">
        <f t="shared" si="52"/>
        <v>5332717.120338999</v>
      </c>
      <c r="BY504" s="4">
        <f t="shared" si="53"/>
        <v>4525917.835685321</v>
      </c>
    </row>
    <row r="505" spans="1:77" ht="12.75">
      <c r="A505" s="3" t="s">
        <v>1138</v>
      </c>
      <c r="B505" s="3" t="s">
        <v>504</v>
      </c>
      <c r="C505" s="3" t="s">
        <v>1349</v>
      </c>
      <c r="D505" s="3"/>
      <c r="E505" s="4"/>
      <c r="F505" s="4">
        <v>2328903.280249</v>
      </c>
      <c r="G505" s="4">
        <f t="shared" si="67"/>
        <v>2373404.6168142674</v>
      </c>
      <c r="H505" s="4"/>
      <c r="I505" s="4"/>
      <c r="J505" s="4">
        <v>67056.233623</v>
      </c>
      <c r="K505" s="4">
        <f t="shared" si="60"/>
        <v>68337.56292789808</v>
      </c>
      <c r="L505" s="4"/>
      <c r="M505" s="4"/>
      <c r="N505" s="4"/>
      <c r="O505" s="4"/>
      <c r="P505" s="4"/>
      <c r="Q505" s="4"/>
      <c r="R505" s="4"/>
      <c r="S505" s="4"/>
      <c r="T505" s="4">
        <v>28944.178682</v>
      </c>
      <c r="U505" s="4">
        <f t="shared" si="65"/>
        <v>29497.25216</v>
      </c>
      <c r="V505" s="4"/>
      <c r="W505" s="4"/>
      <c r="X505" s="4"/>
      <c r="Y505" s="4"/>
      <c r="Z505" s="13">
        <f t="shared" si="68"/>
        <v>2424903.692554</v>
      </c>
      <c r="AC505" s="13">
        <f t="shared" si="69"/>
        <v>2471239.4319021655</v>
      </c>
      <c r="AF505" s="51"/>
      <c r="AG505" s="4"/>
      <c r="AH505" s="4"/>
      <c r="AI505" s="4"/>
      <c r="AJ505" s="4"/>
      <c r="AK505" s="4"/>
      <c r="AL505" s="4">
        <v>2572922.999314</v>
      </c>
      <c r="AM505" s="4">
        <f t="shared" si="70"/>
        <v>1722679.3945286486</v>
      </c>
      <c r="AN505" s="4"/>
      <c r="AO505" s="4"/>
      <c r="AP505" s="4"/>
      <c r="AQ505" s="4"/>
      <c r="AR505" s="4">
        <v>96851.71044</v>
      </c>
      <c r="AS505" s="4">
        <f t="shared" si="61"/>
        <v>94946.02938059103</v>
      </c>
      <c r="AT505" s="4"/>
      <c r="AU505" s="4"/>
      <c r="AV505" s="4"/>
      <c r="AW505" s="4"/>
      <c r="AX505" s="4">
        <v>41059.625839</v>
      </c>
      <c r="AY505" s="4">
        <f t="shared" si="66"/>
        <v>40237.05648806641</v>
      </c>
      <c r="AZ505" s="4"/>
      <c r="BA505" s="4"/>
      <c r="BB505" s="4"/>
      <c r="BC505" s="4"/>
      <c r="BD505" s="4"/>
      <c r="BE505" s="4"/>
      <c r="BF505" s="4"/>
      <c r="BG505" s="4"/>
      <c r="BH505" s="4">
        <v>65265</v>
      </c>
      <c r="BI505" s="4">
        <v>66588</v>
      </c>
      <c r="BJ505" s="4"/>
      <c r="BK505" s="4">
        <f t="shared" si="62"/>
        <v>66588</v>
      </c>
      <c r="BL505" s="4">
        <f t="shared" si="64"/>
        <v>131853</v>
      </c>
      <c r="BM505" s="4"/>
      <c r="BN505" s="4"/>
      <c r="BO505" s="4">
        <v>7103.971531</v>
      </c>
      <c r="BP505" s="4"/>
      <c r="BQ505" s="4">
        <f t="shared" si="56"/>
        <v>2849791.307124</v>
      </c>
      <c r="BT505" s="4">
        <f t="shared" si="57"/>
        <v>1989715.4803973061</v>
      </c>
      <c r="BW505" s="52"/>
      <c r="BX505" s="4">
        <f t="shared" si="52"/>
        <v>5274694.999678</v>
      </c>
      <c r="BY505" s="4">
        <f t="shared" si="53"/>
        <v>4460954.912299472</v>
      </c>
    </row>
    <row r="506" spans="1:77" ht="12.75">
      <c r="A506" s="3" t="s">
        <v>1139</v>
      </c>
      <c r="B506" s="3" t="s">
        <v>505</v>
      </c>
      <c r="C506" s="3" t="s">
        <v>1349</v>
      </c>
      <c r="D506" s="3"/>
      <c r="E506" s="4"/>
      <c r="F506" s="4">
        <v>2291341.758995</v>
      </c>
      <c r="G506" s="4">
        <f t="shared" si="67"/>
        <v>2335125.35948535</v>
      </c>
      <c r="H506" s="4"/>
      <c r="I506" s="4"/>
      <c r="J506" s="4">
        <v>100648.700699</v>
      </c>
      <c r="K506" s="4">
        <f t="shared" si="60"/>
        <v>102571.92427923567</v>
      </c>
      <c r="L506" s="4"/>
      <c r="M506" s="4"/>
      <c r="N506" s="4"/>
      <c r="O506" s="4"/>
      <c r="P506" s="4"/>
      <c r="Q506" s="4"/>
      <c r="R506" s="4"/>
      <c r="S506" s="4"/>
      <c r="T506" s="4">
        <v>35747.793649</v>
      </c>
      <c r="U506" s="4">
        <f t="shared" si="65"/>
        <v>36430.87250853503</v>
      </c>
      <c r="V506" s="4"/>
      <c r="W506" s="4"/>
      <c r="X506" s="4"/>
      <c r="Y506" s="4"/>
      <c r="Z506" s="13">
        <f t="shared" si="68"/>
        <v>2427738.253343</v>
      </c>
      <c r="AC506" s="13">
        <f t="shared" si="69"/>
        <v>2474128.156273121</v>
      </c>
      <c r="AF506" s="51"/>
      <c r="AG506" s="4"/>
      <c r="AH506" s="4"/>
      <c r="AI506" s="4"/>
      <c r="AJ506" s="4"/>
      <c r="AK506" s="4"/>
      <c r="AL506" s="4">
        <v>2531425.826485</v>
      </c>
      <c r="AM506" s="4">
        <f t="shared" si="70"/>
        <v>1694895.3043779633</v>
      </c>
      <c r="AN506" s="4"/>
      <c r="AO506" s="4"/>
      <c r="AP506" s="4"/>
      <c r="AQ506" s="4"/>
      <c r="AR506" s="4">
        <v>145370.509043</v>
      </c>
      <c r="AS506" s="4">
        <f t="shared" si="61"/>
        <v>142510.15867415955</v>
      </c>
      <c r="AT506" s="4"/>
      <c r="AU506" s="4"/>
      <c r="AV506" s="4"/>
      <c r="AW506" s="4"/>
      <c r="AX506" s="4">
        <v>50711.096277</v>
      </c>
      <c r="AY506" s="4">
        <f t="shared" si="66"/>
        <v>49695.173878845024</v>
      </c>
      <c r="AZ506" s="4"/>
      <c r="BA506" s="4"/>
      <c r="BB506" s="4"/>
      <c r="BC506" s="4"/>
      <c r="BD506" s="4"/>
      <c r="BE506" s="4"/>
      <c r="BF506" s="4"/>
      <c r="BG506" s="4"/>
      <c r="BH506" s="4"/>
      <c r="BI506" s="4"/>
      <c r="BJ506" s="4"/>
      <c r="BK506" s="4"/>
      <c r="BL506" s="4"/>
      <c r="BM506" s="4"/>
      <c r="BN506" s="4"/>
      <c r="BO506" s="4">
        <v>7112.275629</v>
      </c>
      <c r="BP506" s="4"/>
      <c r="BQ506" s="4">
        <f t="shared" si="56"/>
        <v>2734619.707434</v>
      </c>
      <c r="BT506" s="4">
        <f t="shared" si="57"/>
        <v>1887100.636930968</v>
      </c>
      <c r="BW506" s="52"/>
      <c r="BX506" s="4">
        <f t="shared" si="52"/>
        <v>5162357.960777</v>
      </c>
      <c r="BY506" s="4">
        <f t="shared" si="53"/>
        <v>4361228.793204089</v>
      </c>
    </row>
    <row r="507" spans="1:77" ht="12.75">
      <c r="A507" s="3" t="s">
        <v>1140</v>
      </c>
      <c r="B507" s="3" t="s">
        <v>506</v>
      </c>
      <c r="C507" s="3" t="s">
        <v>1349</v>
      </c>
      <c r="D507" s="3"/>
      <c r="E507" s="4"/>
      <c r="F507" s="4">
        <v>2110662.287902</v>
      </c>
      <c r="G507" s="4">
        <f t="shared" si="67"/>
        <v>2150993.4144224203</v>
      </c>
      <c r="H507" s="4"/>
      <c r="I507" s="4"/>
      <c r="J507" s="4">
        <v>106379.947022</v>
      </c>
      <c r="K507" s="4">
        <f t="shared" si="60"/>
        <v>108412.68486318471</v>
      </c>
      <c r="L507" s="4"/>
      <c r="M507" s="4"/>
      <c r="N507" s="4"/>
      <c r="O507" s="4"/>
      <c r="P507" s="4"/>
      <c r="Q507" s="4"/>
      <c r="R507" s="4"/>
      <c r="S507" s="4"/>
      <c r="T507" s="4">
        <v>31778.848552</v>
      </c>
      <c r="U507" s="4">
        <f t="shared" si="65"/>
        <v>32386.08769630573</v>
      </c>
      <c r="V507" s="4"/>
      <c r="W507" s="4"/>
      <c r="X507" s="4"/>
      <c r="Y507" s="4"/>
      <c r="Z507" s="13">
        <f t="shared" si="68"/>
        <v>2248821.0834759995</v>
      </c>
      <c r="AC507" s="13">
        <f t="shared" si="69"/>
        <v>2291792.186981911</v>
      </c>
      <c r="AF507" s="51"/>
      <c r="AG507" s="4"/>
      <c r="AH507" s="4"/>
      <c r="AI507" s="4"/>
      <c r="AJ507" s="4"/>
      <c r="AK507" s="4"/>
      <c r="AL507" s="4">
        <v>2331814.97505</v>
      </c>
      <c r="AM507" s="4">
        <f t="shared" si="70"/>
        <v>1561247.5034981559</v>
      </c>
      <c r="AN507" s="4"/>
      <c r="AO507" s="4"/>
      <c r="AP507" s="4"/>
      <c r="AQ507" s="4"/>
      <c r="AR507" s="4">
        <v>153648.352567</v>
      </c>
      <c r="AS507" s="4">
        <f t="shared" si="61"/>
        <v>150625.12505799576</v>
      </c>
      <c r="AT507" s="4"/>
      <c r="AU507" s="4"/>
      <c r="AV507" s="4"/>
      <c r="AW507" s="4"/>
      <c r="AX507" s="4">
        <v>45080.831122</v>
      </c>
      <c r="AY507" s="4">
        <f t="shared" si="66"/>
        <v>44177.70282411989</v>
      </c>
      <c r="AZ507" s="4"/>
      <c r="BA507" s="4"/>
      <c r="BB507" s="4"/>
      <c r="BC507" s="4"/>
      <c r="BD507" s="4"/>
      <c r="BE507" s="4"/>
      <c r="BF507" s="4"/>
      <c r="BG507" s="4"/>
      <c r="BH507" s="4">
        <v>104768</v>
      </c>
      <c r="BI507" s="4">
        <v>106933</v>
      </c>
      <c r="BJ507" s="4"/>
      <c r="BK507" s="4">
        <f t="shared" si="62"/>
        <v>106933</v>
      </c>
      <c r="BL507" s="4">
        <f t="shared" si="64"/>
        <v>211701</v>
      </c>
      <c r="BM507" s="4"/>
      <c r="BN507" s="4"/>
      <c r="BO507" s="4">
        <v>6588.121831</v>
      </c>
      <c r="BP507" s="4"/>
      <c r="BQ507" s="4">
        <f t="shared" si="56"/>
        <v>2748833.2805699995</v>
      </c>
      <c r="BT507" s="4">
        <f t="shared" si="57"/>
        <v>1967751.3313802716</v>
      </c>
      <c r="BW507" s="52"/>
      <c r="BX507" s="4">
        <f t="shared" si="52"/>
        <v>4997654.364045999</v>
      </c>
      <c r="BY507" s="4">
        <f t="shared" si="53"/>
        <v>4259543.518362182</v>
      </c>
    </row>
    <row r="508" spans="1:77" ht="12.75">
      <c r="A508" s="3" t="s">
        <v>1141</v>
      </c>
      <c r="B508" s="3" t="s">
        <v>507</v>
      </c>
      <c r="C508" s="3" t="s">
        <v>1349</v>
      </c>
      <c r="D508" s="3"/>
      <c r="E508" s="4"/>
      <c r="F508" s="4">
        <v>2206797.946554</v>
      </c>
      <c r="G508" s="4">
        <f t="shared" si="67"/>
        <v>2248966.0601824205</v>
      </c>
      <c r="H508" s="4"/>
      <c r="I508" s="4"/>
      <c r="J508" s="4">
        <v>55276.877019</v>
      </c>
      <c r="K508" s="4">
        <f t="shared" si="60"/>
        <v>56333.123076687894</v>
      </c>
      <c r="L508" s="4"/>
      <c r="M508" s="4"/>
      <c r="N508" s="4"/>
      <c r="O508" s="4"/>
      <c r="P508" s="4"/>
      <c r="Q508" s="4"/>
      <c r="R508" s="4"/>
      <c r="S508" s="4"/>
      <c r="T508" s="4">
        <v>28944.178682</v>
      </c>
      <c r="U508" s="4">
        <f t="shared" si="65"/>
        <v>29497.25216</v>
      </c>
      <c r="V508" s="4"/>
      <c r="W508" s="4"/>
      <c r="X508" s="4"/>
      <c r="Y508" s="4"/>
      <c r="Z508" s="13">
        <f t="shared" si="68"/>
        <v>2291019.0022549997</v>
      </c>
      <c r="AC508" s="13">
        <f t="shared" si="69"/>
        <v>2334796.4354191087</v>
      </c>
      <c r="AF508" s="51"/>
      <c r="AG508" s="4"/>
      <c r="AH508" s="4"/>
      <c r="AI508" s="4"/>
      <c r="AJ508" s="4"/>
      <c r="AK508" s="4"/>
      <c r="AL508" s="4">
        <v>2438023.613811</v>
      </c>
      <c r="AM508" s="4">
        <f t="shared" si="70"/>
        <v>1632358.6224719041</v>
      </c>
      <c r="AN508" s="4"/>
      <c r="AO508" s="4"/>
      <c r="AP508" s="4"/>
      <c r="AQ508" s="4"/>
      <c r="AR508" s="4">
        <v>79838.365469</v>
      </c>
      <c r="AS508" s="4">
        <f t="shared" si="61"/>
        <v>78267.44369387349</v>
      </c>
      <c r="AT508" s="4"/>
      <c r="AU508" s="4"/>
      <c r="AV508" s="4"/>
      <c r="AW508" s="4"/>
      <c r="AX508" s="4">
        <v>41059.625839</v>
      </c>
      <c r="AY508" s="4">
        <f t="shared" si="66"/>
        <v>40237.05648806641</v>
      </c>
      <c r="AZ508" s="4"/>
      <c r="BA508" s="4"/>
      <c r="BB508" s="4"/>
      <c r="BC508" s="4"/>
      <c r="BD508" s="4"/>
      <c r="BE508" s="4"/>
      <c r="BF508" s="4"/>
      <c r="BG508" s="4"/>
      <c r="BH508" s="4">
        <v>54830</v>
      </c>
      <c r="BI508" s="4">
        <v>55538</v>
      </c>
      <c r="BJ508" s="4"/>
      <c r="BK508" s="4">
        <f t="shared" si="62"/>
        <v>55538</v>
      </c>
      <c r="BL508" s="4">
        <f t="shared" si="64"/>
        <v>110368</v>
      </c>
      <c r="BM508" s="4"/>
      <c r="BN508" s="4"/>
      <c r="BO508" s="4">
        <v>6711.744395</v>
      </c>
      <c r="BP508" s="4"/>
      <c r="BQ508" s="4">
        <f t="shared" si="56"/>
        <v>2676001.3495139997</v>
      </c>
      <c r="BT508" s="4">
        <f t="shared" si="57"/>
        <v>1861231.122653844</v>
      </c>
      <c r="BW508" s="52"/>
      <c r="BX508" s="4">
        <f t="shared" si="52"/>
        <v>4967020.351768999</v>
      </c>
      <c r="BY508" s="4">
        <f t="shared" si="53"/>
        <v>4196027.558072953</v>
      </c>
    </row>
    <row r="509" spans="1:77" ht="12.75">
      <c r="A509" s="3" t="s">
        <v>1142</v>
      </c>
      <c r="B509" s="3" t="s">
        <v>508</v>
      </c>
      <c r="C509" s="3" t="s">
        <v>1349</v>
      </c>
      <c r="D509" s="3"/>
      <c r="E509" s="4"/>
      <c r="F509" s="4">
        <v>1692181.737231</v>
      </c>
      <c r="G509" s="4">
        <f t="shared" si="67"/>
        <v>1724516.4201080257</v>
      </c>
      <c r="H509" s="4"/>
      <c r="I509" s="4"/>
      <c r="J509" s="4">
        <v>61116.052582</v>
      </c>
      <c r="K509" s="4">
        <f t="shared" si="60"/>
        <v>62283.87524280255</v>
      </c>
      <c r="L509" s="4"/>
      <c r="M509" s="4"/>
      <c r="N509" s="4"/>
      <c r="O509" s="4"/>
      <c r="P509" s="4"/>
      <c r="Q509" s="4"/>
      <c r="R509" s="4"/>
      <c r="S509" s="4"/>
      <c r="T509" s="4">
        <v>23274.431663</v>
      </c>
      <c r="U509" s="4">
        <f t="shared" si="65"/>
        <v>23719.16602598726</v>
      </c>
      <c r="V509" s="4"/>
      <c r="W509" s="4"/>
      <c r="X509" s="4"/>
      <c r="Y509" s="4"/>
      <c r="Z509" s="13">
        <f t="shared" si="68"/>
        <v>1776572.221476</v>
      </c>
      <c r="AC509" s="13">
        <f t="shared" si="69"/>
        <v>1810519.4613768156</v>
      </c>
      <c r="AF509" s="51"/>
      <c r="AG509" s="4"/>
      <c r="AH509" s="4"/>
      <c r="AI509" s="4"/>
      <c r="AJ509" s="4"/>
      <c r="AK509" s="4"/>
      <c r="AL509" s="4">
        <v>1869486.529417</v>
      </c>
      <c r="AM509" s="4">
        <f t="shared" si="70"/>
        <v>1251699.3020911268</v>
      </c>
      <c r="AN509" s="4"/>
      <c r="AO509" s="4"/>
      <c r="AP509" s="4"/>
      <c r="AQ509" s="4"/>
      <c r="AR509" s="4">
        <v>88272.095047</v>
      </c>
      <c r="AS509" s="4">
        <f t="shared" si="61"/>
        <v>86535.228874568</v>
      </c>
      <c r="AT509" s="4"/>
      <c r="AU509" s="4"/>
      <c r="AV509" s="4"/>
      <c r="AW509" s="4"/>
      <c r="AX509" s="4">
        <v>33016.637514</v>
      </c>
      <c r="AY509" s="4">
        <f t="shared" si="66"/>
        <v>32355.197631513187</v>
      </c>
      <c r="AZ509" s="4"/>
      <c r="BA509" s="4"/>
      <c r="BB509" s="4"/>
      <c r="BC509" s="4"/>
      <c r="BD509" s="4"/>
      <c r="BE509" s="4"/>
      <c r="BF509" s="4"/>
      <c r="BG509" s="4"/>
      <c r="BH509" s="4">
        <v>60753</v>
      </c>
      <c r="BI509" s="4">
        <v>61178</v>
      </c>
      <c r="BJ509" s="4"/>
      <c r="BK509" s="4">
        <f t="shared" si="62"/>
        <v>61178</v>
      </c>
      <c r="BL509" s="4">
        <f t="shared" si="64"/>
        <v>121931</v>
      </c>
      <c r="BM509" s="4"/>
      <c r="BN509" s="4"/>
      <c r="BO509" s="4">
        <v>5204.626692</v>
      </c>
      <c r="BP509" s="4"/>
      <c r="BQ509" s="4">
        <f t="shared" si="56"/>
        <v>2117910.8886700002</v>
      </c>
      <c r="BT509" s="4">
        <f t="shared" si="57"/>
        <v>1492520.728597208</v>
      </c>
      <c r="BW509" s="52"/>
      <c r="BX509" s="4">
        <f t="shared" si="52"/>
        <v>3894483.110146</v>
      </c>
      <c r="BY509" s="4">
        <f t="shared" si="53"/>
        <v>3303040.1899740235</v>
      </c>
    </row>
    <row r="510" spans="1:77" ht="12.75">
      <c r="A510" s="3" t="s">
        <v>1143</v>
      </c>
      <c r="B510" s="3" t="s">
        <v>509</v>
      </c>
      <c r="C510" s="3" t="s">
        <v>1349</v>
      </c>
      <c r="D510" s="3"/>
      <c r="E510" s="4"/>
      <c r="F510" s="4">
        <v>2331173.917477</v>
      </c>
      <c r="G510" s="4">
        <f t="shared" si="67"/>
        <v>2375718.6420147773</v>
      </c>
      <c r="H510" s="4"/>
      <c r="I510" s="4"/>
      <c r="J510" s="4">
        <v>83365.360098</v>
      </c>
      <c r="K510" s="4">
        <f t="shared" si="60"/>
        <v>84958.328762293</v>
      </c>
      <c r="L510" s="4"/>
      <c r="M510" s="4"/>
      <c r="N510" s="4"/>
      <c r="O510" s="4"/>
      <c r="P510" s="4"/>
      <c r="Q510" s="4"/>
      <c r="R510" s="4"/>
      <c r="S510" s="4"/>
      <c r="T510" s="4">
        <v>113990.383974</v>
      </c>
      <c r="U510" s="4">
        <f t="shared" si="65"/>
        <v>116168.54417732483</v>
      </c>
      <c r="V510" s="4"/>
      <c r="W510" s="4"/>
      <c r="X510" s="4"/>
      <c r="Y510" s="4"/>
      <c r="Z510" s="13">
        <f t="shared" si="68"/>
        <v>2528529.661549</v>
      </c>
      <c r="AC510" s="13">
        <f t="shared" si="69"/>
        <v>2576845.514954395</v>
      </c>
      <c r="AF510" s="51"/>
      <c r="AG510" s="4"/>
      <c r="AH510" s="4"/>
      <c r="AI510" s="4"/>
      <c r="AJ510" s="4"/>
      <c r="AK510" s="4"/>
      <c r="AL510" s="4">
        <v>2575431.551213</v>
      </c>
      <c r="AM510" s="4">
        <f t="shared" si="70"/>
        <v>1724358.9747833493</v>
      </c>
      <c r="AN510" s="4"/>
      <c r="AO510" s="4"/>
      <c r="AP510" s="4"/>
      <c r="AQ510" s="4"/>
      <c r="AR510" s="4">
        <v>120407.563632</v>
      </c>
      <c r="AS510" s="4">
        <f t="shared" si="61"/>
        <v>118038.39108584005</v>
      </c>
      <c r="AT510" s="4"/>
      <c r="AU510" s="4"/>
      <c r="AV510" s="4"/>
      <c r="AW510" s="4"/>
      <c r="AX510" s="4">
        <v>161704.450716</v>
      </c>
      <c r="AY510" s="4">
        <f t="shared" si="66"/>
        <v>158464.93933832465</v>
      </c>
      <c r="AZ510" s="4"/>
      <c r="BA510" s="4"/>
      <c r="BB510" s="4"/>
      <c r="BC510" s="4"/>
      <c r="BD510" s="4"/>
      <c r="BE510" s="4"/>
      <c r="BF510" s="4"/>
      <c r="BG510" s="4"/>
      <c r="BH510" s="4">
        <v>82349</v>
      </c>
      <c r="BI510" s="4">
        <v>82961</v>
      </c>
      <c r="BJ510" s="4"/>
      <c r="BK510" s="4">
        <f t="shared" si="62"/>
        <v>82961</v>
      </c>
      <c r="BL510" s="4">
        <f t="shared" si="64"/>
        <v>165310</v>
      </c>
      <c r="BM510" s="4"/>
      <c r="BN510" s="4"/>
      <c r="BO510" s="4">
        <v>7407.553044</v>
      </c>
      <c r="BP510" s="4"/>
      <c r="BQ510" s="4">
        <f t="shared" si="56"/>
        <v>3030261.1186050004</v>
      </c>
      <c r="BT510" s="4">
        <f t="shared" si="57"/>
        <v>2166172.305207514</v>
      </c>
      <c r="BW510" s="52"/>
      <c r="BX510" s="4">
        <f t="shared" si="52"/>
        <v>5558790.780154001</v>
      </c>
      <c r="BY510" s="4">
        <f t="shared" si="53"/>
        <v>4743017.820161909</v>
      </c>
    </row>
    <row r="511" spans="1:77" ht="12.75">
      <c r="A511" s="3" t="s">
        <v>1144</v>
      </c>
      <c r="B511" s="3" t="s">
        <v>510</v>
      </c>
      <c r="C511" s="3" t="s">
        <v>1349</v>
      </c>
      <c r="D511" s="3"/>
      <c r="E511" s="4"/>
      <c r="F511" s="4">
        <v>2464590.608681</v>
      </c>
      <c r="G511" s="4">
        <f t="shared" si="67"/>
        <v>2511684.696744968</v>
      </c>
      <c r="H511" s="4"/>
      <c r="I511" s="4"/>
      <c r="J511" s="4">
        <v>83948.585278</v>
      </c>
      <c r="K511" s="4">
        <f t="shared" si="60"/>
        <v>85552.69837248407</v>
      </c>
      <c r="L511" s="4"/>
      <c r="M511" s="4"/>
      <c r="N511" s="4"/>
      <c r="O511" s="4"/>
      <c r="P511" s="4"/>
      <c r="Q511" s="4"/>
      <c r="R511" s="4"/>
      <c r="S511" s="4"/>
      <c r="T511" s="4">
        <v>43928.422816</v>
      </c>
      <c r="U511" s="4">
        <f t="shared" si="65"/>
        <v>44767.81943031847</v>
      </c>
      <c r="V511" s="4"/>
      <c r="W511" s="4"/>
      <c r="X511" s="4"/>
      <c r="Y511" s="4"/>
      <c r="Z511" s="13">
        <f t="shared" si="68"/>
        <v>2592467.616775</v>
      </c>
      <c r="AC511" s="13">
        <f t="shared" si="69"/>
        <v>2642005.214547771</v>
      </c>
      <c r="AF511" s="51"/>
      <c r="AG511" s="4"/>
      <c r="AH511" s="4"/>
      <c r="AI511" s="4"/>
      <c r="AJ511" s="4"/>
      <c r="AK511" s="4"/>
      <c r="AL511" s="4">
        <v>2722827.484829</v>
      </c>
      <c r="AM511" s="4">
        <f t="shared" si="70"/>
        <v>1823046.7076635389</v>
      </c>
      <c r="AN511" s="4"/>
      <c r="AO511" s="4"/>
      <c r="AP511" s="4"/>
      <c r="AQ511" s="4"/>
      <c r="AR511" s="4">
        <v>121249.936566</v>
      </c>
      <c r="AS511" s="4">
        <f t="shared" si="61"/>
        <v>118864.18925685457</v>
      </c>
      <c r="AT511" s="4"/>
      <c r="AU511" s="4"/>
      <c r="AV511" s="4"/>
      <c r="AW511" s="4"/>
      <c r="AX511" s="4">
        <v>62315.971178</v>
      </c>
      <c r="AY511" s="4">
        <f t="shared" si="66"/>
        <v>61067.56214072144</v>
      </c>
      <c r="AZ511" s="4"/>
      <c r="BA511" s="4"/>
      <c r="BB511" s="4"/>
      <c r="BC511" s="4"/>
      <c r="BD511" s="4"/>
      <c r="BE511" s="4"/>
      <c r="BF511" s="4"/>
      <c r="BG511" s="4"/>
      <c r="BH511" s="4">
        <v>80726</v>
      </c>
      <c r="BI511" s="4">
        <v>83263</v>
      </c>
      <c r="BJ511" s="4"/>
      <c r="BK511" s="4">
        <f t="shared" si="62"/>
        <v>83263</v>
      </c>
      <c r="BL511" s="4">
        <f t="shared" si="64"/>
        <v>163989</v>
      </c>
      <c r="BM511" s="4"/>
      <c r="BN511" s="4"/>
      <c r="BO511" s="4">
        <v>7594.864984</v>
      </c>
      <c r="BP511" s="4"/>
      <c r="BQ511" s="4">
        <f t="shared" si="56"/>
        <v>3077977.257557</v>
      </c>
      <c r="BT511" s="4">
        <f t="shared" si="57"/>
        <v>2166967.459061115</v>
      </c>
      <c r="BW511" s="52"/>
      <c r="BX511" s="4">
        <f t="shared" si="52"/>
        <v>5670444.874332</v>
      </c>
      <c r="BY511" s="4">
        <f t="shared" si="53"/>
        <v>4808972.673608886</v>
      </c>
    </row>
    <row r="512" spans="1:77" ht="12.75">
      <c r="A512" s="3" t="s">
        <v>1145</v>
      </c>
      <c r="B512" s="3" t="s">
        <v>511</v>
      </c>
      <c r="C512" s="3" t="s">
        <v>1349</v>
      </c>
      <c r="D512" s="3"/>
      <c r="E512" s="4"/>
      <c r="F512" s="4">
        <v>2477509.017471</v>
      </c>
      <c r="G512" s="4">
        <f t="shared" si="67"/>
        <v>2524849.9541105735</v>
      </c>
      <c r="H512" s="4"/>
      <c r="I512" s="4"/>
      <c r="J512" s="4">
        <v>64948.558828</v>
      </c>
      <c r="K512" s="4">
        <f t="shared" si="60"/>
        <v>66189.6140922293</v>
      </c>
      <c r="L512" s="4"/>
      <c r="M512" s="4"/>
      <c r="N512" s="4"/>
      <c r="O512" s="4"/>
      <c r="P512" s="4"/>
      <c r="Q512" s="4"/>
      <c r="R512" s="4"/>
      <c r="S512" s="4"/>
      <c r="T512" s="4">
        <v>20364.007684</v>
      </c>
      <c r="U512" s="4">
        <f t="shared" si="65"/>
        <v>20753.128849936307</v>
      </c>
      <c r="V512" s="4"/>
      <c r="W512" s="4"/>
      <c r="X512" s="4"/>
      <c r="Y512" s="4"/>
      <c r="Z512" s="13">
        <f t="shared" si="68"/>
        <v>2562821.583983</v>
      </c>
      <c r="AC512" s="13">
        <f t="shared" si="69"/>
        <v>2611792.697052739</v>
      </c>
      <c r="AF512" s="51"/>
      <c r="AG512" s="4"/>
      <c r="AH512" s="4"/>
      <c r="AI512" s="4"/>
      <c r="AJ512" s="4"/>
      <c r="AK512" s="4"/>
      <c r="AL512" s="4">
        <v>2737099.469145</v>
      </c>
      <c r="AM512" s="4">
        <f t="shared" si="70"/>
        <v>1832602.3971679523</v>
      </c>
      <c r="AN512" s="4"/>
      <c r="AO512" s="4"/>
      <c r="AP512" s="4"/>
      <c r="AQ512" s="4"/>
      <c r="AR512" s="4">
        <v>93807.520542</v>
      </c>
      <c r="AS512" s="4">
        <f t="shared" si="61"/>
        <v>91961.73780553762</v>
      </c>
      <c r="AT512" s="4"/>
      <c r="AU512" s="4"/>
      <c r="AV512" s="4"/>
      <c r="AW512" s="4"/>
      <c r="AX512" s="4">
        <v>28887.968986</v>
      </c>
      <c r="AY512" s="4">
        <f t="shared" si="66"/>
        <v>28309.240918876858</v>
      </c>
      <c r="AZ512" s="4"/>
      <c r="BA512" s="4"/>
      <c r="BB512" s="4"/>
      <c r="BC512" s="4"/>
      <c r="BD512" s="4">
        <v>9744.764706</v>
      </c>
      <c r="BE512" s="4">
        <f>BD512/BD$680*BE$680</f>
        <v>13847.825038047162</v>
      </c>
      <c r="BF512" s="4">
        <v>2051.5279636508685</v>
      </c>
      <c r="BG512" s="4">
        <f>BE512+BF512</f>
        <v>15899.35300169803</v>
      </c>
      <c r="BH512" s="4"/>
      <c r="BI512" s="4">
        <v>68656</v>
      </c>
      <c r="BJ512" s="4"/>
      <c r="BK512" s="4">
        <f t="shared" si="62"/>
        <v>68656</v>
      </c>
      <c r="BL512" s="4">
        <f t="shared" si="64"/>
        <v>68656</v>
      </c>
      <c r="BM512" s="4"/>
      <c r="BN512" s="4"/>
      <c r="BO512" s="4">
        <v>7508.014288</v>
      </c>
      <c r="BP512" s="4"/>
      <c r="BQ512" s="4">
        <f t="shared" si="56"/>
        <v>2947755.265630651</v>
      </c>
      <c r="BT512" s="4">
        <f t="shared" si="57"/>
        <v>2037428.7288940647</v>
      </c>
      <c r="BW512" s="52"/>
      <c r="BX512" s="4">
        <f t="shared" si="52"/>
        <v>5510576.849613651</v>
      </c>
      <c r="BY512" s="4">
        <f t="shared" si="53"/>
        <v>4649221.425946804</v>
      </c>
    </row>
    <row r="513" spans="1:77" ht="12.75">
      <c r="A513" s="3" t="s">
        <v>1146</v>
      </c>
      <c r="B513" s="3" t="s">
        <v>512</v>
      </c>
      <c r="C513" s="3" t="s">
        <v>1349</v>
      </c>
      <c r="D513" s="3"/>
      <c r="E513" s="4"/>
      <c r="F513" s="4">
        <v>3947641.109301</v>
      </c>
      <c r="G513" s="4">
        <f t="shared" si="67"/>
        <v>4023073.7419628026</v>
      </c>
      <c r="H513" s="4"/>
      <c r="I513" s="4"/>
      <c r="J513" s="4">
        <v>94908.901494</v>
      </c>
      <c r="K513" s="4">
        <f t="shared" si="60"/>
        <v>96722.44738242039</v>
      </c>
      <c r="L513" s="4"/>
      <c r="M513" s="4"/>
      <c r="N513" s="4"/>
      <c r="O513" s="4"/>
      <c r="P513" s="4"/>
      <c r="Q513" s="4"/>
      <c r="R513" s="4"/>
      <c r="S513" s="4"/>
      <c r="T513" s="4">
        <v>132012.123494</v>
      </c>
      <c r="U513" s="4">
        <f t="shared" si="65"/>
        <v>134534.6481467516</v>
      </c>
      <c r="V513" s="4"/>
      <c r="W513" s="4"/>
      <c r="X513" s="4"/>
      <c r="Y513" s="4"/>
      <c r="Z513" s="13">
        <f t="shared" si="68"/>
        <v>4174562.134289</v>
      </c>
      <c r="AC513" s="13">
        <f t="shared" si="69"/>
        <v>4254330.837491974</v>
      </c>
      <c r="AF513" s="51"/>
      <c r="AG513" s="4"/>
      <c r="AH513" s="4"/>
      <c r="AI513" s="4"/>
      <c r="AJ513" s="4"/>
      <c r="AK513" s="4"/>
      <c r="AL513" s="4">
        <v>4361270.255102</v>
      </c>
      <c r="AM513" s="4">
        <f t="shared" si="70"/>
        <v>2920052.56451051</v>
      </c>
      <c r="AN513" s="4"/>
      <c r="AO513" s="4"/>
      <c r="AP513" s="4"/>
      <c r="AQ513" s="4"/>
      <c r="AR513" s="4">
        <v>137080.312283</v>
      </c>
      <c r="AS513" s="4">
        <f t="shared" si="61"/>
        <v>134383.08212001377</v>
      </c>
      <c r="AT513" s="4"/>
      <c r="AU513" s="4"/>
      <c r="AV513" s="4"/>
      <c r="AW513" s="4"/>
      <c r="AX513" s="4">
        <v>187269.725509</v>
      </c>
      <c r="AY513" s="4">
        <f t="shared" si="66"/>
        <v>183518.05136648664</v>
      </c>
      <c r="AZ513" s="4"/>
      <c r="BA513" s="4"/>
      <c r="BB513" s="4"/>
      <c r="BC513" s="4"/>
      <c r="BD513" s="4"/>
      <c r="BE513" s="4"/>
      <c r="BF513" s="4"/>
      <c r="BG513" s="4"/>
      <c r="BH513" s="4"/>
      <c r="BI513" s="4"/>
      <c r="BJ513" s="4"/>
      <c r="BK513" s="4"/>
      <c r="BL513" s="4"/>
      <c r="BM513" s="4"/>
      <c r="BN513" s="4"/>
      <c r="BO513" s="4">
        <v>12229.751906</v>
      </c>
      <c r="BP513" s="4"/>
      <c r="BQ513" s="4">
        <f t="shared" si="56"/>
        <v>4697850.0448</v>
      </c>
      <c r="BT513" s="4">
        <f t="shared" si="57"/>
        <v>3237953.6979970103</v>
      </c>
      <c r="BW513" s="52"/>
      <c r="BX513" s="4">
        <f t="shared" si="52"/>
        <v>8872412.179089</v>
      </c>
      <c r="BY513" s="4">
        <f t="shared" si="53"/>
        <v>7492284.535488985</v>
      </c>
    </row>
    <row r="514" spans="1:77" ht="12.75">
      <c r="A514" s="3" t="s">
        <v>1147</v>
      </c>
      <c r="B514" s="3" t="s">
        <v>513</v>
      </c>
      <c r="C514" s="3" t="s">
        <v>1349</v>
      </c>
      <c r="D514" s="3"/>
      <c r="E514" s="4"/>
      <c r="F514" s="4">
        <v>2318258.230286</v>
      </c>
      <c r="G514" s="4">
        <f t="shared" si="67"/>
        <v>2362556.1582532483</v>
      </c>
      <c r="H514" s="4"/>
      <c r="I514" s="4"/>
      <c r="J514" s="4">
        <v>57415.912386</v>
      </c>
      <c r="K514" s="4">
        <f t="shared" si="60"/>
        <v>58513.031730955416</v>
      </c>
      <c r="L514" s="4"/>
      <c r="M514" s="4"/>
      <c r="N514" s="4"/>
      <c r="O514" s="4"/>
      <c r="P514" s="4"/>
      <c r="Q514" s="4"/>
      <c r="R514" s="4"/>
      <c r="S514" s="4"/>
      <c r="T514" s="4">
        <v>43118.342591</v>
      </c>
      <c r="U514" s="4">
        <f t="shared" si="65"/>
        <v>43942.25996535032</v>
      </c>
      <c r="V514" s="4"/>
      <c r="W514" s="4"/>
      <c r="X514" s="4"/>
      <c r="Y514" s="4"/>
      <c r="Z514" s="13">
        <f t="shared" si="68"/>
        <v>2418792.485263</v>
      </c>
      <c r="AC514" s="13">
        <f t="shared" si="69"/>
        <v>2465011.449949554</v>
      </c>
      <c r="AF514" s="51"/>
      <c r="AG514" s="4"/>
      <c r="AH514" s="4"/>
      <c r="AI514" s="4"/>
      <c r="AJ514" s="4"/>
      <c r="AK514" s="4"/>
      <c r="AL514" s="4">
        <v>2561162.573662</v>
      </c>
      <c r="AM514" s="4">
        <f t="shared" si="70"/>
        <v>1714805.298433667</v>
      </c>
      <c r="AN514" s="4"/>
      <c r="AO514" s="4"/>
      <c r="AP514" s="4"/>
      <c r="AQ514" s="4"/>
      <c r="AR514" s="4">
        <v>82927.85056</v>
      </c>
      <c r="AS514" s="4">
        <f t="shared" si="61"/>
        <v>81296.13922117351</v>
      </c>
      <c r="AT514" s="4"/>
      <c r="AU514" s="4"/>
      <c r="AV514" s="4"/>
      <c r="AW514" s="4"/>
      <c r="AX514" s="4">
        <v>61166.807772</v>
      </c>
      <c r="AY514" s="4">
        <f t="shared" si="66"/>
        <v>59941.42053722633</v>
      </c>
      <c r="AZ514" s="4"/>
      <c r="BA514" s="4"/>
      <c r="BB514" s="4"/>
      <c r="BC514" s="4"/>
      <c r="BD514" s="4"/>
      <c r="BE514" s="4"/>
      <c r="BF514" s="4"/>
      <c r="BG514" s="4"/>
      <c r="BH514" s="4">
        <v>57834</v>
      </c>
      <c r="BI514" s="4">
        <v>58644</v>
      </c>
      <c r="BJ514" s="4"/>
      <c r="BK514" s="4">
        <f>BI514</f>
        <v>58644</v>
      </c>
      <c r="BL514" s="4">
        <f t="shared" si="64"/>
        <v>116478</v>
      </c>
      <c r="BM514" s="4"/>
      <c r="BN514" s="4"/>
      <c r="BO514" s="4">
        <v>7086.068204</v>
      </c>
      <c r="BP514" s="4"/>
      <c r="BQ514" s="4">
        <f t="shared" si="56"/>
        <v>2828821.300198</v>
      </c>
      <c r="BT514" s="4">
        <f t="shared" si="57"/>
        <v>1972520.858192067</v>
      </c>
      <c r="BW514" s="52"/>
      <c r="BX514" s="4">
        <f aca="true" t="shared" si="71" ref="BX514:BX577">Z514+BQ514</f>
        <v>5247613.785460999</v>
      </c>
      <c r="BY514" s="4">
        <f aca="true" t="shared" si="72" ref="BY514:BY577">AC514+BT514</f>
        <v>4437532.308141621</v>
      </c>
    </row>
    <row r="515" spans="1:77" ht="12.75">
      <c r="A515" s="3" t="s">
        <v>1148</v>
      </c>
      <c r="B515" s="3" t="s">
        <v>514</v>
      </c>
      <c r="C515" s="3" t="s">
        <v>1349</v>
      </c>
      <c r="D515" s="3"/>
      <c r="E515" s="4"/>
      <c r="F515" s="4">
        <v>3167077.012598</v>
      </c>
      <c r="G515" s="4">
        <f t="shared" si="67"/>
        <v>3227594.407743185</v>
      </c>
      <c r="H515" s="4"/>
      <c r="I515" s="4"/>
      <c r="J515" s="4">
        <v>65118.801932</v>
      </c>
      <c r="K515" s="4">
        <f t="shared" si="60"/>
        <v>66363.11024917198</v>
      </c>
      <c r="L515" s="4"/>
      <c r="M515" s="4"/>
      <c r="N515" s="4"/>
      <c r="O515" s="4"/>
      <c r="P515" s="4"/>
      <c r="Q515" s="4"/>
      <c r="R515" s="4"/>
      <c r="S515" s="4"/>
      <c r="T515" s="4">
        <v>67498.53987</v>
      </c>
      <c r="U515" s="4">
        <f t="shared" si="65"/>
        <v>68788.32088662419</v>
      </c>
      <c r="V515" s="4"/>
      <c r="W515" s="4"/>
      <c r="X515" s="4"/>
      <c r="Y515" s="4"/>
      <c r="Z515" s="13">
        <f t="shared" si="68"/>
        <v>3299694.3544</v>
      </c>
      <c r="AC515" s="13">
        <f t="shared" si="69"/>
        <v>3362745.838878981</v>
      </c>
      <c r="AF515" s="51"/>
      <c r="AG515" s="4"/>
      <c r="AH515" s="4"/>
      <c r="AI515" s="4"/>
      <c r="AJ515" s="4"/>
      <c r="AK515" s="4"/>
      <c r="AL515" s="4">
        <v>3498919.579623</v>
      </c>
      <c r="AM515" s="4">
        <f t="shared" si="70"/>
        <v>2342672.7751030475</v>
      </c>
      <c r="AN515" s="4"/>
      <c r="AO515" s="4"/>
      <c r="AP515" s="4"/>
      <c r="AQ515" s="4"/>
      <c r="AR515" s="4">
        <v>94053.408731</v>
      </c>
      <c r="AS515" s="4">
        <f t="shared" si="61"/>
        <v>92202.78783047856</v>
      </c>
      <c r="AT515" s="4"/>
      <c r="AU515" s="4"/>
      <c r="AV515" s="4"/>
      <c r="AW515" s="4"/>
      <c r="AX515" s="4">
        <v>95752.062002</v>
      </c>
      <c r="AY515" s="4">
        <f t="shared" si="66"/>
        <v>93833.80995069354</v>
      </c>
      <c r="AZ515" s="4"/>
      <c r="BA515" s="4"/>
      <c r="BB515" s="4"/>
      <c r="BC515" s="4"/>
      <c r="BD515" s="4"/>
      <c r="BE515" s="4"/>
      <c r="BF515" s="4"/>
      <c r="BG515" s="4"/>
      <c r="BH515" s="4"/>
      <c r="BI515" s="4">
        <v>68761</v>
      </c>
      <c r="BJ515" s="4"/>
      <c r="BK515" s="4">
        <f>BI515</f>
        <v>68761</v>
      </c>
      <c r="BL515" s="4">
        <f t="shared" si="64"/>
        <v>68761</v>
      </c>
      <c r="BM515" s="4"/>
      <c r="BN515" s="4"/>
      <c r="BO515" s="4">
        <v>9666.748756</v>
      </c>
      <c r="BP515" s="4"/>
      <c r="BQ515" s="4">
        <f t="shared" si="56"/>
        <v>3767152.799112</v>
      </c>
      <c r="BT515" s="4">
        <f t="shared" si="57"/>
        <v>2597470.3728842195</v>
      </c>
      <c r="BW515" s="52"/>
      <c r="BX515" s="4">
        <f t="shared" si="71"/>
        <v>7066847.153512</v>
      </c>
      <c r="BY515" s="4">
        <f t="shared" si="72"/>
        <v>5960216.2117632</v>
      </c>
    </row>
    <row r="516" spans="1:77" ht="12.75">
      <c r="A516" s="3" t="s">
        <v>1149</v>
      </c>
      <c r="B516" s="3" t="s">
        <v>515</v>
      </c>
      <c r="C516" s="3" t="s">
        <v>1349</v>
      </c>
      <c r="D516" s="3"/>
      <c r="E516" s="4"/>
      <c r="F516" s="4">
        <v>2540553.308655</v>
      </c>
      <c r="G516" s="4">
        <f t="shared" si="67"/>
        <v>2589098.9132789806</v>
      </c>
      <c r="H516" s="4"/>
      <c r="I516" s="4"/>
      <c r="J516" s="4">
        <v>59630.701861</v>
      </c>
      <c r="K516" s="4">
        <f t="shared" si="60"/>
        <v>60770.14202394905</v>
      </c>
      <c r="L516" s="4"/>
      <c r="M516" s="4"/>
      <c r="N516" s="4"/>
      <c r="O516" s="4"/>
      <c r="P516" s="4"/>
      <c r="Q516" s="4"/>
      <c r="R516" s="4"/>
      <c r="S516" s="4"/>
      <c r="T516" s="4">
        <v>40283.672721</v>
      </c>
      <c r="U516" s="4">
        <f t="shared" si="65"/>
        <v>41053.424429044586</v>
      </c>
      <c r="V516" s="4"/>
      <c r="W516" s="4"/>
      <c r="X516" s="4"/>
      <c r="Y516" s="4"/>
      <c r="Z516" s="13">
        <f t="shared" si="68"/>
        <v>2640467.683237</v>
      </c>
      <c r="AC516" s="13">
        <f t="shared" si="69"/>
        <v>2690922.479731974</v>
      </c>
      <c r="AF516" s="51"/>
      <c r="AG516" s="4"/>
      <c r="AH516" s="4"/>
      <c r="AI516" s="4"/>
      <c r="AJ516" s="4"/>
      <c r="AK516" s="4"/>
      <c r="AL516" s="4">
        <v>2806749.466266</v>
      </c>
      <c r="AM516" s="4">
        <f t="shared" si="70"/>
        <v>1879235.9788574618</v>
      </c>
      <c r="AN516" s="4"/>
      <c r="AO516" s="4"/>
      <c r="AP516" s="4"/>
      <c r="AQ516" s="4"/>
      <c r="AR516" s="4">
        <v>86126.750012</v>
      </c>
      <c r="AS516" s="4">
        <f t="shared" si="61"/>
        <v>84432.09624222484</v>
      </c>
      <c r="AT516" s="4"/>
      <c r="AU516" s="4"/>
      <c r="AV516" s="4"/>
      <c r="AW516" s="4"/>
      <c r="AX516" s="4">
        <v>57145.602489</v>
      </c>
      <c r="AY516" s="4">
        <f t="shared" si="66"/>
        <v>56000.77420117285</v>
      </c>
      <c r="AZ516" s="4"/>
      <c r="BA516" s="4"/>
      <c r="BB516" s="4"/>
      <c r="BC516" s="4"/>
      <c r="BD516" s="4"/>
      <c r="BE516" s="4"/>
      <c r="BF516" s="4"/>
      <c r="BG516" s="4"/>
      <c r="BH516" s="4"/>
      <c r="BI516" s="4"/>
      <c r="BJ516" s="4"/>
      <c r="BK516" s="4"/>
      <c r="BL516" s="4"/>
      <c r="BM516" s="4"/>
      <c r="BN516" s="4"/>
      <c r="BO516" s="4">
        <v>7735.485457</v>
      </c>
      <c r="BP516" s="4"/>
      <c r="BQ516" s="4">
        <f t="shared" si="56"/>
        <v>2957757.3042240003</v>
      </c>
      <c r="BT516" s="4">
        <f t="shared" si="57"/>
        <v>2019668.8493008595</v>
      </c>
      <c r="BW516" s="52"/>
      <c r="BX516" s="4">
        <f t="shared" si="71"/>
        <v>5598224.987461001</v>
      </c>
      <c r="BY516" s="4">
        <f t="shared" si="72"/>
        <v>4710591.329032834</v>
      </c>
    </row>
    <row r="517" spans="1:77" ht="12.75">
      <c r="A517" s="3" t="s">
        <v>1150</v>
      </c>
      <c r="B517" s="3" t="s">
        <v>516</v>
      </c>
      <c r="C517" s="3" t="s">
        <v>1349</v>
      </c>
      <c r="D517" s="3"/>
      <c r="E517" s="4"/>
      <c r="F517" s="4">
        <v>2725364.886394</v>
      </c>
      <c r="G517" s="4">
        <f t="shared" si="67"/>
        <v>2777441.922439745</v>
      </c>
      <c r="H517" s="4"/>
      <c r="I517" s="4"/>
      <c r="J517" s="4">
        <v>136548.817126</v>
      </c>
      <c r="K517" s="4">
        <f t="shared" si="60"/>
        <v>139158.03019210193</v>
      </c>
      <c r="L517" s="4"/>
      <c r="M517" s="4"/>
      <c r="N517" s="4"/>
      <c r="O517" s="4"/>
      <c r="P517" s="4"/>
      <c r="Q517" s="4"/>
      <c r="R517" s="4"/>
      <c r="S517" s="4"/>
      <c r="T517" s="4">
        <v>41296.171183</v>
      </c>
      <c r="U517" s="4">
        <f t="shared" si="65"/>
        <v>42085.26999541401</v>
      </c>
      <c r="V517" s="4"/>
      <c r="W517" s="4"/>
      <c r="X517" s="4"/>
      <c r="Y517" s="4"/>
      <c r="Z517" s="13">
        <f t="shared" si="68"/>
        <v>2903209.874703</v>
      </c>
      <c r="AC517" s="13">
        <f t="shared" si="69"/>
        <v>2958685.222627261</v>
      </c>
      <c r="AF517" s="51"/>
      <c r="AG517" s="4"/>
      <c r="AH517" s="4"/>
      <c r="AI517" s="4"/>
      <c r="AJ517" s="4"/>
      <c r="AK517" s="4"/>
      <c r="AL517" s="4">
        <v>3010925.381572</v>
      </c>
      <c r="AM517" s="4">
        <f t="shared" si="70"/>
        <v>2015940.2806381413</v>
      </c>
      <c r="AN517" s="4"/>
      <c r="AO517" s="4"/>
      <c r="AP517" s="4"/>
      <c r="AQ517" s="4"/>
      <c r="AR517" s="4">
        <v>197222.327927</v>
      </c>
      <c r="AS517" s="4">
        <f t="shared" si="61"/>
        <v>193341.72681922853</v>
      </c>
      <c r="AT517" s="4"/>
      <c r="AU517" s="4"/>
      <c r="AV517" s="4"/>
      <c r="AW517" s="4"/>
      <c r="AX517" s="4">
        <v>58581.912307</v>
      </c>
      <c r="AY517" s="4">
        <f t="shared" si="66"/>
        <v>57408.309659675164</v>
      </c>
      <c r="AZ517" s="4"/>
      <c r="BA517" s="4"/>
      <c r="BB517" s="4"/>
      <c r="BC517" s="4"/>
      <c r="BD517" s="4"/>
      <c r="BE517" s="4"/>
      <c r="BF517" s="4"/>
      <c r="BG517" s="4"/>
      <c r="BH517" s="4"/>
      <c r="BI517" s="4"/>
      <c r="BJ517" s="4"/>
      <c r="BK517" s="4"/>
      <c r="BL517" s="4"/>
      <c r="BM517" s="4"/>
      <c r="BN517" s="4"/>
      <c r="BO517" s="4">
        <v>8505.212129</v>
      </c>
      <c r="BP517" s="4"/>
      <c r="BQ517" s="4">
        <f t="shared" si="56"/>
        <v>3275234.833935</v>
      </c>
      <c r="BT517" s="4">
        <f t="shared" si="57"/>
        <v>2266690.317117045</v>
      </c>
      <c r="BW517" s="52"/>
      <c r="BX517" s="4">
        <f t="shared" si="71"/>
        <v>6178444.708637999</v>
      </c>
      <c r="BY517" s="4">
        <f t="shared" si="72"/>
        <v>5225375.539744306</v>
      </c>
    </row>
    <row r="518" spans="1:77" ht="12.75">
      <c r="A518" s="3" t="s">
        <v>1151</v>
      </c>
      <c r="B518" s="3" t="s">
        <v>517</v>
      </c>
      <c r="C518" s="3" t="s">
        <v>1349</v>
      </c>
      <c r="D518" s="3"/>
      <c r="E518" s="4"/>
      <c r="F518" s="4">
        <v>1921052.473127</v>
      </c>
      <c r="G518" s="4">
        <f t="shared" si="67"/>
        <v>1957760.4821676433</v>
      </c>
      <c r="H518" s="4"/>
      <c r="I518" s="4"/>
      <c r="J518" s="4">
        <v>93664.253344</v>
      </c>
      <c r="K518" s="4">
        <f t="shared" si="60"/>
        <v>95454.01614675159</v>
      </c>
      <c r="L518" s="4"/>
      <c r="M518" s="4"/>
      <c r="N518" s="4"/>
      <c r="O518" s="4"/>
      <c r="P518" s="4"/>
      <c r="Q518" s="4"/>
      <c r="R518" s="4"/>
      <c r="S518" s="4"/>
      <c r="T518" s="4">
        <v>37448.595571</v>
      </c>
      <c r="U518" s="4">
        <f t="shared" si="65"/>
        <v>38164.17383031847</v>
      </c>
      <c r="V518" s="4"/>
      <c r="W518" s="4"/>
      <c r="X518" s="4"/>
      <c r="Y518" s="4"/>
      <c r="Z518" s="13">
        <f t="shared" si="68"/>
        <v>2052165.322042</v>
      </c>
      <c r="AC518" s="13">
        <f t="shared" si="69"/>
        <v>2091378.6721447133</v>
      </c>
      <c r="AF518" s="51"/>
      <c r="AG518" s="4"/>
      <c r="AH518" s="4"/>
      <c r="AI518" s="4"/>
      <c r="AJ518" s="4"/>
      <c r="AK518" s="4"/>
      <c r="AL518" s="4">
        <v>2122338.069132</v>
      </c>
      <c r="AM518" s="4">
        <f t="shared" si="70"/>
        <v>1420993.9671308536</v>
      </c>
      <c r="AN518" s="4"/>
      <c r="AO518" s="4"/>
      <c r="AP518" s="4"/>
      <c r="AQ518" s="4"/>
      <c r="AR518" s="4">
        <v>135282.622558</v>
      </c>
      <c r="AS518" s="4">
        <f t="shared" si="61"/>
        <v>132620.76423557356</v>
      </c>
      <c r="AT518" s="4"/>
      <c r="AU518" s="4"/>
      <c r="AV518" s="4"/>
      <c r="AW518" s="4"/>
      <c r="AX518" s="4">
        <v>53123.819447</v>
      </c>
      <c r="AY518" s="4">
        <f t="shared" si="66"/>
        <v>52059.561680673105</v>
      </c>
      <c r="AZ518" s="4"/>
      <c r="BA518" s="4"/>
      <c r="BB518" s="4"/>
      <c r="BC518" s="4"/>
      <c r="BD518" s="4"/>
      <c r="BE518" s="4"/>
      <c r="BF518" s="4"/>
      <c r="BG518" s="4"/>
      <c r="BH518" s="4"/>
      <c r="BI518" s="4"/>
      <c r="BJ518" s="4"/>
      <c r="BK518" s="4"/>
      <c r="BL518" s="4"/>
      <c r="BM518" s="4"/>
      <c r="BN518" s="4"/>
      <c r="BO518" s="4">
        <v>6012.001247</v>
      </c>
      <c r="BP518" s="4"/>
      <c r="BQ518" s="4">
        <f t="shared" si="56"/>
        <v>2316756.5123840002</v>
      </c>
      <c r="BT518" s="4">
        <f t="shared" si="57"/>
        <v>1605674.2930471003</v>
      </c>
      <c r="BW518" s="52"/>
      <c r="BX518" s="4">
        <f t="shared" si="71"/>
        <v>4368921.834426001</v>
      </c>
      <c r="BY518" s="4">
        <f t="shared" si="72"/>
        <v>3697052.9651918137</v>
      </c>
    </row>
    <row r="519" spans="1:77" ht="12.75">
      <c r="A519" s="3" t="s">
        <v>1152</v>
      </c>
      <c r="B519" s="3" t="s">
        <v>518</v>
      </c>
      <c r="C519" s="3" t="s">
        <v>1349</v>
      </c>
      <c r="D519" s="3"/>
      <c r="E519" s="4"/>
      <c r="F519" s="4">
        <v>3178910.764029</v>
      </c>
      <c r="G519" s="4">
        <f t="shared" si="67"/>
        <v>3239654.2818129933</v>
      </c>
      <c r="H519" s="4"/>
      <c r="I519" s="4"/>
      <c r="J519" s="4">
        <v>99351.51341</v>
      </c>
      <c r="K519" s="4">
        <f t="shared" si="60"/>
        <v>101249.94997197452</v>
      </c>
      <c r="L519" s="4"/>
      <c r="M519" s="4"/>
      <c r="N519" s="4"/>
      <c r="O519" s="4"/>
      <c r="P519" s="4"/>
      <c r="Q519" s="4"/>
      <c r="R519" s="4"/>
      <c r="S519" s="4"/>
      <c r="T519" s="4">
        <v>45953.41974</v>
      </c>
      <c r="U519" s="4">
        <f t="shared" si="65"/>
        <v>46831.51056305732</v>
      </c>
      <c r="V519" s="4"/>
      <c r="W519" s="4"/>
      <c r="X519" s="4"/>
      <c r="Y519" s="4"/>
      <c r="Z519" s="13">
        <f t="shared" si="68"/>
        <v>3324215.697179</v>
      </c>
      <c r="AC519" s="13">
        <f t="shared" si="69"/>
        <v>3387735.742348025</v>
      </c>
      <c r="AF519" s="51"/>
      <c r="AG519" s="4"/>
      <c r="AH519" s="4"/>
      <c r="AI519" s="4"/>
      <c r="AJ519" s="4"/>
      <c r="AK519" s="4"/>
      <c r="AL519" s="4">
        <v>3511993.257471</v>
      </c>
      <c r="AM519" s="4">
        <f t="shared" si="70"/>
        <v>2351426.148385287</v>
      </c>
      <c r="AN519" s="4"/>
      <c r="AO519" s="4"/>
      <c r="AP519" s="4"/>
      <c r="AQ519" s="4"/>
      <c r="AR519" s="4">
        <v>143496.935163</v>
      </c>
      <c r="AS519" s="4">
        <f t="shared" si="61"/>
        <v>140673.44975235488</v>
      </c>
      <c r="AT519" s="4"/>
      <c r="AU519" s="4"/>
      <c r="AV519" s="4"/>
      <c r="AW519" s="4"/>
      <c r="AX519" s="4">
        <v>65188.590814</v>
      </c>
      <c r="AY519" s="4">
        <f t="shared" si="66"/>
        <v>63882.63305772607</v>
      </c>
      <c r="AZ519" s="4"/>
      <c r="BA519" s="4"/>
      <c r="BB519" s="4"/>
      <c r="BC519" s="4"/>
      <c r="BD519" s="4"/>
      <c r="BE519" s="4"/>
      <c r="BF519" s="4"/>
      <c r="BG519" s="4"/>
      <c r="BH519" s="4">
        <v>98586</v>
      </c>
      <c r="BI519" s="4">
        <v>98276</v>
      </c>
      <c r="BJ519" s="4"/>
      <c r="BK519" s="4">
        <f>BI519</f>
        <v>98276</v>
      </c>
      <c r="BL519" s="4">
        <f>BH519+BK519</f>
        <v>196862</v>
      </c>
      <c r="BM519" s="4"/>
      <c r="BN519" s="4"/>
      <c r="BO519" s="4">
        <v>9738.586216</v>
      </c>
      <c r="BP519" s="4"/>
      <c r="BQ519" s="4">
        <f t="shared" si="56"/>
        <v>3927279.369664</v>
      </c>
      <c r="BT519" s="4">
        <f t="shared" si="57"/>
        <v>2752844.231195368</v>
      </c>
      <c r="BW519" s="52"/>
      <c r="BX519" s="4">
        <f t="shared" si="71"/>
        <v>7251495.066842999</v>
      </c>
      <c r="BY519" s="4">
        <f t="shared" si="72"/>
        <v>6140579.9735433925</v>
      </c>
    </row>
    <row r="520" spans="1:77" ht="12.75">
      <c r="A520" s="3" t="s">
        <v>1153</v>
      </c>
      <c r="B520" s="3" t="s">
        <v>519</v>
      </c>
      <c r="C520" s="3" t="s">
        <v>1349</v>
      </c>
      <c r="D520" s="3"/>
      <c r="E520" s="4"/>
      <c r="F520" s="4">
        <v>3705392.841947</v>
      </c>
      <c r="G520" s="4">
        <f t="shared" si="67"/>
        <v>3776196.526824968</v>
      </c>
      <c r="H520" s="4"/>
      <c r="I520" s="4"/>
      <c r="J520" s="4">
        <v>78117.148037</v>
      </c>
      <c r="K520" s="4">
        <f t="shared" si="60"/>
        <v>79609.8323943949</v>
      </c>
      <c r="L520" s="4"/>
      <c r="M520" s="4"/>
      <c r="N520" s="4"/>
      <c r="O520" s="4"/>
      <c r="P520" s="4"/>
      <c r="Q520" s="4"/>
      <c r="R520" s="4"/>
      <c r="S520" s="4"/>
      <c r="T520" s="4">
        <v>37448.595571</v>
      </c>
      <c r="U520" s="4">
        <f t="shared" si="65"/>
        <v>38164.17383031847</v>
      </c>
      <c r="V520" s="4"/>
      <c r="W520" s="4"/>
      <c r="X520" s="4"/>
      <c r="Y520" s="4"/>
      <c r="Z520" s="13">
        <f t="shared" si="68"/>
        <v>3820958.585555</v>
      </c>
      <c r="AC520" s="13">
        <f t="shared" si="69"/>
        <v>3893970.533049681</v>
      </c>
      <c r="AF520" s="51"/>
      <c r="AG520" s="4"/>
      <c r="AH520" s="4"/>
      <c r="AI520" s="4"/>
      <c r="AJ520" s="4"/>
      <c r="AK520" s="4"/>
      <c r="AL520" s="4">
        <v>4093639.502075</v>
      </c>
      <c r="AM520" s="4">
        <f t="shared" si="70"/>
        <v>2740862.5989714237</v>
      </c>
      <c r="AN520" s="4"/>
      <c r="AO520" s="4"/>
      <c r="AP520" s="4"/>
      <c r="AQ520" s="4"/>
      <c r="AR520" s="4">
        <v>112827.383724</v>
      </c>
      <c r="AS520" s="4">
        <f t="shared" si="61"/>
        <v>110607.36089560922</v>
      </c>
      <c r="AT520" s="4"/>
      <c r="AU520" s="4"/>
      <c r="AV520" s="4"/>
      <c r="AW520" s="4"/>
      <c r="AX520" s="4">
        <v>53123.819447</v>
      </c>
      <c r="AY520" s="4">
        <f t="shared" si="66"/>
        <v>52059.561680673105</v>
      </c>
      <c r="AZ520" s="4"/>
      <c r="BA520" s="4"/>
      <c r="BB520" s="4"/>
      <c r="BC520" s="4"/>
      <c r="BD520" s="4"/>
      <c r="BE520" s="4"/>
      <c r="BF520" s="4"/>
      <c r="BG520" s="4"/>
      <c r="BH520" s="4">
        <v>78079</v>
      </c>
      <c r="BI520" s="4">
        <v>78752</v>
      </c>
      <c r="BJ520" s="4"/>
      <c r="BK520" s="4">
        <f>BI520</f>
        <v>78752</v>
      </c>
      <c r="BL520" s="4">
        <f>BH520+BK520</f>
        <v>156831</v>
      </c>
      <c r="BM520" s="4"/>
      <c r="BN520" s="4"/>
      <c r="BO520" s="4">
        <v>11193.838788</v>
      </c>
      <c r="BP520" s="4"/>
      <c r="BQ520" s="4">
        <f t="shared" si="56"/>
        <v>4427615.544034</v>
      </c>
      <c r="BT520" s="4">
        <f t="shared" si="57"/>
        <v>3060360.521547706</v>
      </c>
      <c r="BW520" s="52"/>
      <c r="BX520" s="4">
        <f t="shared" si="71"/>
        <v>8248574.129589</v>
      </c>
      <c r="BY520" s="4">
        <f t="shared" si="72"/>
        <v>6954331.054597387</v>
      </c>
    </row>
    <row r="521" spans="1:77" ht="12.75">
      <c r="A521" s="3" t="s">
        <v>1154</v>
      </c>
      <c r="B521" s="3" t="s">
        <v>520</v>
      </c>
      <c r="C521" s="3" t="s">
        <v>1349</v>
      </c>
      <c r="D521" s="3"/>
      <c r="E521" s="4"/>
      <c r="F521" s="4">
        <v>4348856.433125</v>
      </c>
      <c r="G521" s="4">
        <f t="shared" si="67"/>
        <v>4431955.600636943</v>
      </c>
      <c r="H521" s="4"/>
      <c r="I521" s="4"/>
      <c r="J521" s="4">
        <v>100493.934241</v>
      </c>
      <c r="K521" s="4">
        <f t="shared" si="60"/>
        <v>102414.20050038215</v>
      </c>
      <c r="L521" s="4"/>
      <c r="M521" s="4"/>
      <c r="N521" s="4"/>
      <c r="O521" s="4"/>
      <c r="P521" s="4"/>
      <c r="Q521" s="4"/>
      <c r="R521" s="4"/>
      <c r="S521" s="4"/>
      <c r="T521" s="4">
        <v>51623.16676</v>
      </c>
      <c r="U521" s="4">
        <f t="shared" si="65"/>
        <v>52609.596698089175</v>
      </c>
      <c r="V521" s="4"/>
      <c r="W521" s="4"/>
      <c r="X521" s="4"/>
      <c r="Y521" s="4"/>
      <c r="Z521" s="13">
        <f t="shared" si="68"/>
        <v>4500973.5341260005</v>
      </c>
      <c r="AC521" s="13">
        <f t="shared" si="69"/>
        <v>4586979.397835415</v>
      </c>
      <c r="AF521" s="51"/>
      <c r="AG521" s="4"/>
      <c r="AH521" s="4"/>
      <c r="AI521" s="4"/>
      <c r="AJ521" s="4"/>
      <c r="AK521" s="4"/>
      <c r="AL521" s="4">
        <v>4804524.443929</v>
      </c>
      <c r="AM521" s="4">
        <f t="shared" si="70"/>
        <v>3216829.7544358876</v>
      </c>
      <c r="AN521" s="4"/>
      <c r="AO521" s="4"/>
      <c r="AP521" s="4"/>
      <c r="AQ521" s="4"/>
      <c r="AR521" s="4">
        <v>145146.974325</v>
      </c>
      <c r="AS521" s="4">
        <f t="shared" si="61"/>
        <v>142291.0222871366</v>
      </c>
      <c r="AT521" s="4"/>
      <c r="AU521" s="4"/>
      <c r="AV521" s="4"/>
      <c r="AW521" s="4"/>
      <c r="AX521" s="4">
        <v>73231.579139</v>
      </c>
      <c r="AY521" s="4">
        <f t="shared" si="66"/>
        <v>71764.49191427928</v>
      </c>
      <c r="AZ521" s="4"/>
      <c r="BA521" s="4"/>
      <c r="BB521" s="4"/>
      <c r="BC521" s="4"/>
      <c r="BD521" s="4"/>
      <c r="BE521" s="4"/>
      <c r="BF521" s="4"/>
      <c r="BG521" s="4"/>
      <c r="BH521" s="4">
        <v>95771</v>
      </c>
      <c r="BI521" s="4">
        <v>102974</v>
      </c>
      <c r="BJ521" s="4"/>
      <c r="BK521" s="4">
        <f>BI521</f>
        <v>102974</v>
      </c>
      <c r="BL521" s="4">
        <f>BH521+BK521</f>
        <v>198745</v>
      </c>
      <c r="BM521" s="4"/>
      <c r="BN521" s="4"/>
      <c r="BO521" s="4">
        <v>13186.003199</v>
      </c>
      <c r="BP521" s="4"/>
      <c r="BQ521" s="4">
        <f aca="true" t="shared" si="73" ref="BQ521:BQ584">AG521+AI521+AL521+AN521+AP521+AR521+AT521+AV521+AX521+AZ521+BB521+BD521+BF521+BH521+BK521+BM521+BO521</f>
        <v>5234834.000592</v>
      </c>
      <c r="BT521" s="4">
        <f aca="true" t="shared" si="74" ref="BT521:BT584">AJ521+AM521+AQ521+AS521+AU521+AW521+AY521+BA521+BC521+BG521+BL521+BN521+BP521</f>
        <v>3629630.2686373033</v>
      </c>
      <c r="BW521" s="52"/>
      <c r="BX521" s="4">
        <f t="shared" si="71"/>
        <v>9735807.534718</v>
      </c>
      <c r="BY521" s="4">
        <f t="shared" si="72"/>
        <v>8216609.666472718</v>
      </c>
    </row>
    <row r="522" spans="1:77" ht="12.75">
      <c r="A522" s="3" t="s">
        <v>1155</v>
      </c>
      <c r="B522" s="3" t="s">
        <v>521</v>
      </c>
      <c r="C522" s="3" t="s">
        <v>1349</v>
      </c>
      <c r="D522" s="3"/>
      <c r="E522" s="4"/>
      <c r="F522" s="4">
        <v>1940884.668255</v>
      </c>
      <c r="G522" s="4">
        <f t="shared" si="67"/>
        <v>1977971.6364382165</v>
      </c>
      <c r="H522" s="4"/>
      <c r="I522" s="4"/>
      <c r="J522" s="4">
        <v>85785.418771</v>
      </c>
      <c r="K522" s="4">
        <f t="shared" si="60"/>
        <v>87424.63059464967</v>
      </c>
      <c r="L522" s="4"/>
      <c r="M522" s="4"/>
      <c r="N522" s="4"/>
      <c r="O522" s="4"/>
      <c r="P522" s="4"/>
      <c r="Q522" s="4"/>
      <c r="R522" s="4"/>
      <c r="S522" s="4"/>
      <c r="T522" s="4">
        <v>23274.431663</v>
      </c>
      <c r="U522" s="4">
        <f t="shared" si="65"/>
        <v>23719.16602598726</v>
      </c>
      <c r="V522" s="4"/>
      <c r="W522" s="4"/>
      <c r="X522" s="4"/>
      <c r="Y522" s="4"/>
      <c r="Z522" s="13">
        <f t="shared" si="68"/>
        <v>2049944.518689</v>
      </c>
      <c r="AC522" s="13">
        <f t="shared" si="69"/>
        <v>2089115.4330588535</v>
      </c>
      <c r="AF522" s="51"/>
      <c r="AG522" s="4"/>
      <c r="AH522" s="4"/>
      <c r="AI522" s="4"/>
      <c r="AJ522" s="4"/>
      <c r="AK522" s="4"/>
      <c r="AL522" s="4">
        <v>2144248.258105</v>
      </c>
      <c r="AM522" s="4">
        <f t="shared" si="70"/>
        <v>1435663.7536281873</v>
      </c>
      <c r="AN522" s="4"/>
      <c r="AO522" s="4"/>
      <c r="AP522" s="4"/>
      <c r="AQ522" s="4"/>
      <c r="AR522" s="4">
        <v>123902.940708</v>
      </c>
      <c r="AS522" s="4">
        <f t="shared" si="61"/>
        <v>121464.99215510806</v>
      </c>
      <c r="AT522" s="4"/>
      <c r="AU522" s="4"/>
      <c r="AV522" s="4"/>
      <c r="AW522" s="4"/>
      <c r="AX522" s="4">
        <v>33016.637514</v>
      </c>
      <c r="AY522" s="4">
        <f t="shared" si="66"/>
        <v>32355.197631513187</v>
      </c>
      <c r="AZ522" s="4"/>
      <c r="BA522" s="4"/>
      <c r="BB522" s="4"/>
      <c r="BC522" s="4"/>
      <c r="BD522" s="4"/>
      <c r="BE522" s="4"/>
      <c r="BF522" s="4"/>
      <c r="BG522" s="4"/>
      <c r="BH522" s="4"/>
      <c r="BI522" s="4"/>
      <c r="BJ522" s="4"/>
      <c r="BK522" s="4"/>
      <c r="BL522" s="4"/>
      <c r="BM522" s="4"/>
      <c r="BN522" s="4"/>
      <c r="BO522" s="4">
        <v>6005.495206</v>
      </c>
      <c r="BP522" s="4"/>
      <c r="BQ522" s="4">
        <f t="shared" si="73"/>
        <v>2307173.331533</v>
      </c>
      <c r="BT522" s="4">
        <f t="shared" si="74"/>
        <v>1589483.9434148087</v>
      </c>
      <c r="BW522" s="52"/>
      <c r="BX522" s="4">
        <f t="shared" si="71"/>
        <v>4357117.850222</v>
      </c>
      <c r="BY522" s="4">
        <f t="shared" si="72"/>
        <v>3678599.3764736624</v>
      </c>
    </row>
    <row r="523" spans="1:77" ht="12.75">
      <c r="A523" s="3" t="s">
        <v>1156</v>
      </c>
      <c r="B523" s="3" t="s">
        <v>522</v>
      </c>
      <c r="C523" s="3" t="s">
        <v>1349</v>
      </c>
      <c r="D523" s="3"/>
      <c r="E523" s="4"/>
      <c r="F523" s="4">
        <v>2012315.860511</v>
      </c>
      <c r="G523" s="4">
        <f t="shared" si="67"/>
        <v>2050767.7559347772</v>
      </c>
      <c r="H523" s="4"/>
      <c r="I523" s="4"/>
      <c r="J523" s="4">
        <v>66834.26594</v>
      </c>
      <c r="K523" s="4">
        <f t="shared" si="60"/>
        <v>68111.35382420382</v>
      </c>
      <c r="L523" s="4"/>
      <c r="M523" s="4"/>
      <c r="N523" s="4"/>
      <c r="O523" s="4"/>
      <c r="P523" s="4"/>
      <c r="Q523" s="4"/>
      <c r="R523" s="4"/>
      <c r="S523" s="4"/>
      <c r="T523" s="4">
        <v>35747.793649</v>
      </c>
      <c r="U523" s="4">
        <f t="shared" si="65"/>
        <v>36430.87250853503</v>
      </c>
      <c r="V523" s="4"/>
      <c r="W523" s="4"/>
      <c r="X523" s="4"/>
      <c r="Y523" s="4"/>
      <c r="Z523" s="13">
        <f t="shared" si="68"/>
        <v>2114897.9201</v>
      </c>
      <c r="AC523" s="13">
        <f t="shared" si="69"/>
        <v>2155309.982267516</v>
      </c>
      <c r="AF523" s="51"/>
      <c r="AG523" s="4"/>
      <c r="AH523" s="4"/>
      <c r="AI523" s="4"/>
      <c r="AJ523" s="4"/>
      <c r="AK523" s="4"/>
      <c r="AL523" s="4">
        <v>2223163.925829</v>
      </c>
      <c r="AM523" s="4">
        <f t="shared" si="70"/>
        <v>1488501.0887252153</v>
      </c>
      <c r="AN523" s="4"/>
      <c r="AO523" s="4"/>
      <c r="AP523" s="4"/>
      <c r="AQ523" s="4"/>
      <c r="AR523" s="4">
        <v>96531.114596</v>
      </c>
      <c r="AS523" s="4">
        <f t="shared" si="61"/>
        <v>94631.74166914607</v>
      </c>
      <c r="AT523" s="4"/>
      <c r="AU523" s="4"/>
      <c r="AV523" s="4"/>
      <c r="AW523" s="4"/>
      <c r="AX523" s="4">
        <v>50711.096277</v>
      </c>
      <c r="AY523" s="4">
        <f t="shared" si="66"/>
        <v>49695.173878845024</v>
      </c>
      <c r="AZ523" s="4"/>
      <c r="BA523" s="4"/>
      <c r="BB523" s="4"/>
      <c r="BC523" s="4"/>
      <c r="BD523" s="4"/>
      <c r="BE523" s="4"/>
      <c r="BF523" s="4"/>
      <c r="BG523" s="4"/>
      <c r="BH523" s="4"/>
      <c r="BI523" s="4"/>
      <c r="BJ523" s="4"/>
      <c r="BK523" s="4"/>
      <c r="BL523" s="4"/>
      <c r="BM523" s="4"/>
      <c r="BN523" s="4"/>
      <c r="BO523" s="4">
        <v>6195.781985</v>
      </c>
      <c r="BP523" s="4"/>
      <c r="BQ523" s="4">
        <f t="shared" si="73"/>
        <v>2376601.9186869995</v>
      </c>
      <c r="BT523" s="4">
        <f t="shared" si="74"/>
        <v>1632828.0042732065</v>
      </c>
      <c r="BW523" s="52"/>
      <c r="BX523" s="4">
        <f t="shared" si="71"/>
        <v>4491499.838787</v>
      </c>
      <c r="BY523" s="4">
        <f t="shared" si="72"/>
        <v>3788137.9865407227</v>
      </c>
    </row>
    <row r="524" spans="1:77" ht="12.75">
      <c r="A524" s="3" t="s">
        <v>1157</v>
      </c>
      <c r="B524" s="3" t="s">
        <v>523</v>
      </c>
      <c r="C524" s="3" t="s">
        <v>1349</v>
      </c>
      <c r="D524" s="3"/>
      <c r="E524" s="4"/>
      <c r="F524" s="4">
        <v>3686536.41651</v>
      </c>
      <c r="G524" s="4">
        <f t="shared" si="67"/>
        <v>3756979.7875261144</v>
      </c>
      <c r="H524" s="4"/>
      <c r="I524" s="4"/>
      <c r="J524" s="4">
        <v>67300.601716</v>
      </c>
      <c r="K524" s="4">
        <f t="shared" si="60"/>
        <v>68586.60047490447</v>
      </c>
      <c r="L524" s="4"/>
      <c r="M524" s="4"/>
      <c r="N524" s="4"/>
      <c r="O524" s="4"/>
      <c r="P524" s="4"/>
      <c r="Q524" s="4"/>
      <c r="R524" s="4"/>
      <c r="S524" s="4"/>
      <c r="T524" s="4">
        <v>44130.841053</v>
      </c>
      <c r="U524" s="4">
        <f t="shared" si="65"/>
        <v>44974.10553171974</v>
      </c>
      <c r="V524" s="4"/>
      <c r="W524" s="4"/>
      <c r="X524" s="4"/>
      <c r="Y524" s="4"/>
      <c r="Z524" s="13">
        <f t="shared" si="68"/>
        <v>3797967.859279</v>
      </c>
      <c r="AC524" s="13">
        <f t="shared" si="69"/>
        <v>3870540.493532738</v>
      </c>
      <c r="AF524" s="51"/>
      <c r="AG524" s="4"/>
      <c r="AH524" s="4"/>
      <c r="AI524" s="4"/>
      <c r="AJ524" s="4"/>
      <c r="AK524" s="4"/>
      <c r="AL524" s="4">
        <v>4072807.322781</v>
      </c>
      <c r="AM524" s="4">
        <f t="shared" si="70"/>
        <v>2726914.584972377</v>
      </c>
      <c r="AN524" s="4"/>
      <c r="AO524" s="4"/>
      <c r="AP524" s="4"/>
      <c r="AQ524" s="4"/>
      <c r="AR524" s="4">
        <v>97204.659993</v>
      </c>
      <c r="AS524" s="4">
        <f t="shared" si="61"/>
        <v>95292.03420050348</v>
      </c>
      <c r="AT524" s="4"/>
      <c r="AU524" s="4"/>
      <c r="AV524" s="4"/>
      <c r="AW524" s="4"/>
      <c r="AX524" s="4">
        <v>62603.11759</v>
      </c>
      <c r="AY524" s="4">
        <f t="shared" si="66"/>
        <v>61348.95599572865</v>
      </c>
      <c r="AZ524" s="4"/>
      <c r="BA524" s="4"/>
      <c r="BB524" s="4"/>
      <c r="BC524" s="4"/>
      <c r="BD524" s="4"/>
      <c r="BE524" s="4"/>
      <c r="BF524" s="4"/>
      <c r="BG524" s="4"/>
      <c r="BH524" s="4"/>
      <c r="BI524" s="4"/>
      <c r="BJ524" s="4"/>
      <c r="BK524" s="4"/>
      <c r="BL524" s="4"/>
      <c r="BM524" s="4">
        <v>1859395</v>
      </c>
      <c r="BN524" s="4">
        <f>BM524/BM$680*BN$680</f>
        <v>1859395</v>
      </c>
      <c r="BO524" s="4">
        <v>11126.485406</v>
      </c>
      <c r="BP524" s="4"/>
      <c r="BQ524" s="4">
        <f t="shared" si="73"/>
        <v>6103136.58577</v>
      </c>
      <c r="BT524" s="4">
        <f t="shared" si="74"/>
        <v>4742950.57516861</v>
      </c>
      <c r="BW524" s="52"/>
      <c r="BX524" s="4">
        <f t="shared" si="71"/>
        <v>9901104.445048999</v>
      </c>
      <c r="BY524" s="4">
        <f t="shared" si="72"/>
        <v>8613491.068701347</v>
      </c>
    </row>
    <row r="525" spans="1:77" ht="12.75">
      <c r="A525" s="3" t="s">
        <v>1158</v>
      </c>
      <c r="B525" s="3" t="s">
        <v>524</v>
      </c>
      <c r="C525" s="3" t="s">
        <v>1349</v>
      </c>
      <c r="D525" s="3"/>
      <c r="E525" s="4"/>
      <c r="F525" s="4">
        <v>2525328.884269</v>
      </c>
      <c r="G525" s="4">
        <f t="shared" si="67"/>
        <v>2573583.5763250957</v>
      </c>
      <c r="H525" s="4"/>
      <c r="I525" s="4"/>
      <c r="J525" s="4">
        <v>65031.643979</v>
      </c>
      <c r="K525" s="4">
        <f t="shared" si="60"/>
        <v>66274.28685757962</v>
      </c>
      <c r="L525" s="4"/>
      <c r="M525" s="4"/>
      <c r="N525" s="4"/>
      <c r="O525" s="4"/>
      <c r="P525" s="4"/>
      <c r="Q525" s="4"/>
      <c r="R525" s="4"/>
      <c r="S525" s="4"/>
      <c r="T525" s="4">
        <v>28944.178682</v>
      </c>
      <c r="U525" s="4">
        <f t="shared" si="65"/>
        <v>29497.25216</v>
      </c>
      <c r="V525" s="4"/>
      <c r="W525" s="4"/>
      <c r="X525" s="4"/>
      <c r="Y525" s="4"/>
      <c r="Z525" s="13">
        <f t="shared" si="68"/>
        <v>2619304.70693</v>
      </c>
      <c r="AC525" s="13">
        <f t="shared" si="69"/>
        <v>2669355.1153426757</v>
      </c>
      <c r="AF525" s="51"/>
      <c r="AG525" s="4"/>
      <c r="AH525" s="4"/>
      <c r="AI525" s="4"/>
      <c r="AJ525" s="4"/>
      <c r="AK525" s="4"/>
      <c r="AL525" s="4">
        <v>2789929.844778</v>
      </c>
      <c r="AM525" s="4">
        <f t="shared" si="70"/>
        <v>1867974.5398758543</v>
      </c>
      <c r="AN525" s="4"/>
      <c r="AO525" s="4"/>
      <c r="AP525" s="4"/>
      <c r="AQ525" s="4"/>
      <c r="AR525" s="4">
        <v>93927.52339</v>
      </c>
      <c r="AS525" s="4">
        <f t="shared" si="61"/>
        <v>92079.37944428824</v>
      </c>
      <c r="AT525" s="4"/>
      <c r="AU525" s="4"/>
      <c r="AV525" s="4"/>
      <c r="AW525" s="4"/>
      <c r="AX525" s="4">
        <v>41059.625839</v>
      </c>
      <c r="AY525" s="4">
        <f t="shared" si="66"/>
        <v>40237.05648806641</v>
      </c>
      <c r="AZ525" s="4"/>
      <c r="BA525" s="4"/>
      <c r="BB525" s="4"/>
      <c r="BC525" s="4"/>
      <c r="BD525" s="4"/>
      <c r="BE525" s="4"/>
      <c r="BF525" s="4"/>
      <c r="BG525" s="4"/>
      <c r="BH525" s="4">
        <v>65956</v>
      </c>
      <c r="BI525" s="4">
        <v>66138</v>
      </c>
      <c r="BJ525" s="4"/>
      <c r="BK525" s="4">
        <f>BI525</f>
        <v>66138</v>
      </c>
      <c r="BL525" s="4">
        <f>BH525+BK525</f>
        <v>132094</v>
      </c>
      <c r="BM525" s="4"/>
      <c r="BN525" s="4"/>
      <c r="BO525" s="4">
        <v>7673.486632</v>
      </c>
      <c r="BP525" s="4"/>
      <c r="BQ525" s="4">
        <f t="shared" si="73"/>
        <v>3064684.4806390004</v>
      </c>
      <c r="BT525" s="4">
        <f t="shared" si="74"/>
        <v>2132384.975808209</v>
      </c>
      <c r="BW525" s="52"/>
      <c r="BX525" s="4">
        <f t="shared" si="71"/>
        <v>5683989.187569</v>
      </c>
      <c r="BY525" s="4">
        <f t="shared" si="72"/>
        <v>4801740.0911508845</v>
      </c>
    </row>
    <row r="526" spans="1:77" ht="12.75">
      <c r="A526" s="3" t="s">
        <v>1159</v>
      </c>
      <c r="B526" s="3" t="s">
        <v>525</v>
      </c>
      <c r="C526" s="3" t="s">
        <v>1349</v>
      </c>
      <c r="D526" s="3"/>
      <c r="E526" s="4"/>
      <c r="F526" s="4">
        <v>1646026.17369</v>
      </c>
      <c r="G526" s="4">
        <f t="shared" si="67"/>
        <v>1677478.9031235669</v>
      </c>
      <c r="H526" s="4"/>
      <c r="I526" s="4"/>
      <c r="J526" s="4">
        <v>57215.12327</v>
      </c>
      <c r="K526" s="4">
        <f t="shared" si="60"/>
        <v>58308.40588025477</v>
      </c>
      <c r="L526" s="4"/>
      <c r="M526" s="4"/>
      <c r="N526" s="4"/>
      <c r="O526" s="4"/>
      <c r="P526" s="4"/>
      <c r="Q526" s="4"/>
      <c r="R526" s="4"/>
      <c r="S526" s="4"/>
      <c r="T526" s="4">
        <v>20364.007684</v>
      </c>
      <c r="U526" s="4">
        <f t="shared" si="65"/>
        <v>20753.128849936307</v>
      </c>
      <c r="V526" s="4"/>
      <c r="W526" s="4"/>
      <c r="X526" s="4"/>
      <c r="Y526" s="4"/>
      <c r="Z526" s="13">
        <f t="shared" si="68"/>
        <v>1723605.3046440003</v>
      </c>
      <c r="AC526" s="13">
        <f t="shared" si="69"/>
        <v>1756540.437853758</v>
      </c>
      <c r="AF526" s="51"/>
      <c r="AG526" s="4"/>
      <c r="AH526" s="4"/>
      <c r="AI526" s="4"/>
      <c r="AJ526" s="4"/>
      <c r="AK526" s="4"/>
      <c r="AL526" s="4">
        <v>1818494.840759</v>
      </c>
      <c r="AM526" s="4">
        <f t="shared" si="70"/>
        <v>1217558.2370974298</v>
      </c>
      <c r="AN526" s="4"/>
      <c r="AO526" s="4"/>
      <c r="AP526" s="4"/>
      <c r="AQ526" s="4"/>
      <c r="AR526" s="4">
        <v>82637.843677</v>
      </c>
      <c r="AS526" s="4">
        <f t="shared" si="61"/>
        <v>81011.83859386605</v>
      </c>
      <c r="AT526" s="4"/>
      <c r="AU526" s="4"/>
      <c r="AV526" s="4"/>
      <c r="AW526" s="4"/>
      <c r="AX526" s="4">
        <v>28887.968986</v>
      </c>
      <c r="AY526" s="4">
        <f t="shared" si="66"/>
        <v>28309.240918876858</v>
      </c>
      <c r="AZ526" s="4"/>
      <c r="BA526" s="4"/>
      <c r="BB526" s="4"/>
      <c r="BC526" s="4"/>
      <c r="BD526" s="4"/>
      <c r="BE526" s="4"/>
      <c r="BF526" s="4"/>
      <c r="BG526" s="4"/>
      <c r="BH526" s="4">
        <v>56627</v>
      </c>
      <c r="BI526" s="4">
        <v>59015</v>
      </c>
      <c r="BJ526" s="4"/>
      <c r="BK526" s="4">
        <f>BI526</f>
        <v>59015</v>
      </c>
      <c r="BL526" s="4">
        <f>BH526+BK526</f>
        <v>115642</v>
      </c>
      <c r="BM526" s="4"/>
      <c r="BN526" s="4"/>
      <c r="BO526" s="4">
        <v>5049.455387</v>
      </c>
      <c r="BP526" s="4"/>
      <c r="BQ526" s="4">
        <f t="shared" si="73"/>
        <v>2050712.1088089999</v>
      </c>
      <c r="BT526" s="4">
        <f t="shared" si="74"/>
        <v>1442521.3166101726</v>
      </c>
      <c r="BW526" s="52"/>
      <c r="BX526" s="4">
        <f t="shared" si="71"/>
        <v>3774317.413453</v>
      </c>
      <c r="BY526" s="4">
        <f t="shared" si="72"/>
        <v>3199061.7544639306</v>
      </c>
    </row>
    <row r="527" spans="1:77" ht="12.75">
      <c r="A527" s="3" t="s">
        <v>1160</v>
      </c>
      <c r="B527" s="3" t="s">
        <v>526</v>
      </c>
      <c r="C527" s="3" t="s">
        <v>1349</v>
      </c>
      <c r="D527" s="3"/>
      <c r="E527" s="4"/>
      <c r="F527" s="4">
        <v>3126191.808991</v>
      </c>
      <c r="G527" s="4">
        <f t="shared" si="67"/>
        <v>3185927.9582073884</v>
      </c>
      <c r="H527" s="4"/>
      <c r="I527" s="4"/>
      <c r="J527" s="4">
        <v>55190.940906</v>
      </c>
      <c r="K527" s="4">
        <f t="shared" si="60"/>
        <v>56245.54487235669</v>
      </c>
      <c r="L527" s="4"/>
      <c r="M527" s="4"/>
      <c r="N527" s="4"/>
      <c r="O527" s="4"/>
      <c r="P527" s="4"/>
      <c r="Q527" s="4"/>
      <c r="R527" s="4"/>
      <c r="S527" s="4"/>
      <c r="T527" s="4">
        <v>25420.798072</v>
      </c>
      <c r="U527" s="4">
        <f t="shared" si="65"/>
        <v>25906.545805859874</v>
      </c>
      <c r="V527" s="4"/>
      <c r="W527" s="4"/>
      <c r="X527" s="4"/>
      <c r="Y527" s="4"/>
      <c r="Z527" s="13">
        <f t="shared" si="68"/>
        <v>3206803.547969</v>
      </c>
      <c r="AC527" s="13">
        <f t="shared" si="69"/>
        <v>3268080.048885605</v>
      </c>
      <c r="AF527" s="51"/>
      <c r="AG527" s="4"/>
      <c r="AH527" s="4"/>
      <c r="AI527" s="4"/>
      <c r="AJ527" s="4"/>
      <c r="AK527" s="4"/>
      <c r="AL527" s="4">
        <v>3453750.472952</v>
      </c>
      <c r="AM527" s="4">
        <f t="shared" si="70"/>
        <v>2312430.1719034393</v>
      </c>
      <c r="AN527" s="4"/>
      <c r="AO527" s="4"/>
      <c r="AP527" s="4"/>
      <c r="AQ527" s="4"/>
      <c r="AR527" s="4">
        <v>79714.244877</v>
      </c>
      <c r="AS527" s="4">
        <f t="shared" si="61"/>
        <v>78145.76533299344</v>
      </c>
      <c r="AT527" s="4"/>
      <c r="AU527" s="4"/>
      <c r="AV527" s="4"/>
      <c r="AW527" s="4"/>
      <c r="AX527" s="4">
        <v>36061.429445</v>
      </c>
      <c r="AY527" s="4">
        <f t="shared" si="66"/>
        <v>35338.9916242409</v>
      </c>
      <c r="AZ527" s="4"/>
      <c r="BA527" s="4"/>
      <c r="BB527" s="4"/>
      <c r="BC527" s="4"/>
      <c r="BD527" s="4"/>
      <c r="BE527" s="4"/>
      <c r="BF527" s="4"/>
      <c r="BG527" s="4"/>
      <c r="BH527" s="4">
        <v>53423</v>
      </c>
      <c r="BI527" s="4">
        <v>53391</v>
      </c>
      <c r="BJ527" s="4"/>
      <c r="BK527" s="4">
        <f>BI527</f>
        <v>53391</v>
      </c>
      <c r="BL527" s="4">
        <f>BH527+BK527</f>
        <v>106814</v>
      </c>
      <c r="BM527" s="4">
        <v>1272186</v>
      </c>
      <c r="BN527" s="4">
        <f>BM527/BM$680*BN$680</f>
        <v>1272186</v>
      </c>
      <c r="BO527" s="4">
        <v>9394.616858</v>
      </c>
      <c r="BP527" s="4"/>
      <c r="BQ527" s="4">
        <f t="shared" si="73"/>
        <v>4957920.764132</v>
      </c>
      <c r="BT527" s="4">
        <f t="shared" si="74"/>
        <v>3804914.9288606737</v>
      </c>
      <c r="BW527" s="52"/>
      <c r="BX527" s="4">
        <f t="shared" si="71"/>
        <v>8164724.312100999</v>
      </c>
      <c r="BY527" s="4">
        <f t="shared" si="72"/>
        <v>7072994.977746278</v>
      </c>
    </row>
    <row r="528" spans="1:77" ht="12.75">
      <c r="A528" s="3" t="s">
        <v>1161</v>
      </c>
      <c r="B528" s="3" t="s">
        <v>527</v>
      </c>
      <c r="C528" s="3" t="s">
        <v>1349</v>
      </c>
      <c r="D528" s="3"/>
      <c r="E528" s="4"/>
      <c r="F528" s="4">
        <v>4986102.429382</v>
      </c>
      <c r="G528" s="4">
        <f t="shared" si="67"/>
        <v>5081378.271981657</v>
      </c>
      <c r="H528" s="4"/>
      <c r="I528" s="4"/>
      <c r="J528" s="4">
        <v>85053.129054</v>
      </c>
      <c r="K528" s="4">
        <f t="shared" si="60"/>
        <v>86678.34808050956</v>
      </c>
      <c r="L528" s="4"/>
      <c r="M528" s="4"/>
      <c r="N528" s="4"/>
      <c r="O528" s="4"/>
      <c r="P528" s="4"/>
      <c r="Q528" s="4"/>
      <c r="R528" s="4"/>
      <c r="S528" s="4"/>
      <c r="T528" s="4">
        <v>38015.529545</v>
      </c>
      <c r="U528" s="4">
        <f t="shared" si="65"/>
        <v>38741.94093757962</v>
      </c>
      <c r="V528" s="4"/>
      <c r="W528" s="4"/>
      <c r="X528" s="4"/>
      <c r="Y528" s="4"/>
      <c r="Z528" s="13">
        <f t="shared" si="68"/>
        <v>5109171.087981</v>
      </c>
      <c r="AC528" s="13">
        <f t="shared" si="69"/>
        <v>5206798.5609997455</v>
      </c>
      <c r="AF528" s="51"/>
      <c r="AG528" s="4"/>
      <c r="AH528" s="4"/>
      <c r="AI528" s="4"/>
      <c r="AJ528" s="4"/>
      <c r="AK528" s="4"/>
      <c r="AL528" s="4">
        <v>5508540.318652</v>
      </c>
      <c r="AM528" s="4">
        <f t="shared" si="70"/>
        <v>3688197.782600638</v>
      </c>
      <c r="AN528" s="4"/>
      <c r="AO528" s="4"/>
      <c r="AP528" s="4"/>
      <c r="AQ528" s="4"/>
      <c r="AR528" s="4">
        <v>122845.268547</v>
      </c>
      <c r="AS528" s="4">
        <f t="shared" si="61"/>
        <v>120428.13104427047</v>
      </c>
      <c r="AT528" s="4"/>
      <c r="AU528" s="4"/>
      <c r="AV528" s="4"/>
      <c r="AW528" s="4"/>
      <c r="AX528" s="4">
        <v>53928.060503</v>
      </c>
      <c r="AY528" s="4">
        <f t="shared" si="66"/>
        <v>52847.69094729583</v>
      </c>
      <c r="AZ528" s="4"/>
      <c r="BA528" s="4"/>
      <c r="BB528" s="4"/>
      <c r="BC528" s="4"/>
      <c r="BD528" s="4"/>
      <c r="BE528" s="4"/>
      <c r="BF528" s="4"/>
      <c r="BG528" s="4"/>
      <c r="BH528" s="4"/>
      <c r="BI528" s="4"/>
      <c r="BJ528" s="4"/>
      <c r="BK528" s="4"/>
      <c r="BL528" s="4"/>
      <c r="BM528" s="4"/>
      <c r="BN528" s="4"/>
      <c r="BO528" s="4">
        <v>14967.772149</v>
      </c>
      <c r="BP528" s="4"/>
      <c r="BQ528" s="4">
        <f t="shared" si="73"/>
        <v>5700281.419851001</v>
      </c>
      <c r="BT528" s="4">
        <f t="shared" si="74"/>
        <v>3861473.604592204</v>
      </c>
      <c r="BW528" s="52"/>
      <c r="BX528" s="4">
        <f t="shared" si="71"/>
        <v>10809452.507832002</v>
      </c>
      <c r="BY528" s="4">
        <f t="shared" si="72"/>
        <v>9068272.16559195</v>
      </c>
    </row>
    <row r="529" spans="1:77" ht="12.75">
      <c r="A529" s="3" t="s">
        <v>1162</v>
      </c>
      <c r="B529" s="3" t="s">
        <v>528</v>
      </c>
      <c r="C529" s="3" t="s">
        <v>1349</v>
      </c>
      <c r="D529" s="3"/>
      <c r="E529" s="4"/>
      <c r="F529" s="4">
        <v>3521517.972643</v>
      </c>
      <c r="G529" s="4">
        <f t="shared" si="67"/>
        <v>3588808.1249864968</v>
      </c>
      <c r="H529" s="4"/>
      <c r="I529" s="4"/>
      <c r="J529" s="4">
        <v>64184.90854</v>
      </c>
      <c r="K529" s="4">
        <f t="shared" si="60"/>
        <v>65411.37176050955</v>
      </c>
      <c r="L529" s="4"/>
      <c r="M529" s="4"/>
      <c r="N529" s="4"/>
      <c r="O529" s="4"/>
      <c r="P529" s="4"/>
      <c r="Q529" s="4"/>
      <c r="R529" s="4"/>
      <c r="S529" s="4"/>
      <c r="T529" s="4">
        <v>40283.672721</v>
      </c>
      <c r="U529" s="4">
        <f t="shared" si="65"/>
        <v>41053.424429044586</v>
      </c>
      <c r="V529" s="4"/>
      <c r="W529" s="4"/>
      <c r="X529" s="4"/>
      <c r="Y529" s="4"/>
      <c r="Z529" s="13">
        <f t="shared" si="68"/>
        <v>3625986.553904</v>
      </c>
      <c r="AC529" s="13">
        <f t="shared" si="69"/>
        <v>3695272.921176051</v>
      </c>
      <c r="AF529" s="51"/>
      <c r="AG529" s="4"/>
      <c r="AH529" s="4"/>
      <c r="AI529" s="4"/>
      <c r="AJ529" s="4"/>
      <c r="AK529" s="4"/>
      <c r="AL529" s="4">
        <v>3890498.4424</v>
      </c>
      <c r="AM529" s="4">
        <f t="shared" si="70"/>
        <v>2604851.176251761</v>
      </c>
      <c r="AN529" s="4"/>
      <c r="AO529" s="4"/>
      <c r="AP529" s="4"/>
      <c r="AQ529" s="4"/>
      <c r="AR529" s="4">
        <v>92704.553188</v>
      </c>
      <c r="AS529" s="4">
        <f t="shared" si="61"/>
        <v>90880.47274245344</v>
      </c>
      <c r="AT529" s="4"/>
      <c r="AU529" s="4"/>
      <c r="AV529" s="4"/>
      <c r="AW529" s="4"/>
      <c r="AX529" s="4">
        <v>57145.602489</v>
      </c>
      <c r="AY529" s="4">
        <f t="shared" si="66"/>
        <v>56000.77420117285</v>
      </c>
      <c r="AZ529" s="4"/>
      <c r="BA529" s="4"/>
      <c r="BB529" s="4"/>
      <c r="BC529" s="4"/>
      <c r="BD529" s="4"/>
      <c r="BE529" s="4"/>
      <c r="BF529" s="4"/>
      <c r="BG529" s="4"/>
      <c r="BH529" s="4">
        <v>62279</v>
      </c>
      <c r="BI529" s="4">
        <v>64410</v>
      </c>
      <c r="BJ529" s="4"/>
      <c r="BK529" s="4">
        <f>BI529</f>
        <v>64410</v>
      </c>
      <c r="BL529" s="4">
        <f>BH529+BK529</f>
        <v>126689</v>
      </c>
      <c r="BM529" s="4">
        <v>1025539</v>
      </c>
      <c r="BN529" s="4">
        <f>BM529/BM$680*BN$680</f>
        <v>1025539</v>
      </c>
      <c r="BO529" s="4">
        <v>10622.650841</v>
      </c>
      <c r="BP529" s="4"/>
      <c r="BQ529" s="4">
        <f t="shared" si="73"/>
        <v>5203199.248918</v>
      </c>
      <c r="BT529" s="4">
        <f t="shared" si="74"/>
        <v>3903960.4231953872</v>
      </c>
      <c r="BW529" s="52"/>
      <c r="BX529" s="4">
        <f t="shared" si="71"/>
        <v>8829185.802822</v>
      </c>
      <c r="BY529" s="4">
        <f t="shared" si="72"/>
        <v>7599233.344371438</v>
      </c>
    </row>
    <row r="530" spans="1:77" ht="12.75">
      <c r="A530" s="3" t="s">
        <v>1163</v>
      </c>
      <c r="B530" s="3" t="s">
        <v>529</v>
      </c>
      <c r="C530" s="3" t="s">
        <v>1349</v>
      </c>
      <c r="D530" s="3"/>
      <c r="E530" s="4"/>
      <c r="F530" s="4">
        <v>4778199.239427</v>
      </c>
      <c r="G530" s="4">
        <f t="shared" si="67"/>
        <v>4869502.409607134</v>
      </c>
      <c r="H530" s="4"/>
      <c r="I530" s="4"/>
      <c r="J530" s="4">
        <v>106355.917493</v>
      </c>
      <c r="K530" s="4">
        <f t="shared" si="60"/>
        <v>108388.19617121019</v>
      </c>
      <c r="L530" s="4"/>
      <c r="M530" s="4"/>
      <c r="N530" s="4"/>
      <c r="O530" s="4"/>
      <c r="P530" s="4"/>
      <c r="Q530" s="4"/>
      <c r="R530" s="4"/>
      <c r="S530" s="4"/>
      <c r="T530" s="4">
        <v>66822.047535</v>
      </c>
      <c r="U530" s="4">
        <f t="shared" si="65"/>
        <v>68098.90194649682</v>
      </c>
      <c r="V530" s="4"/>
      <c r="W530" s="4"/>
      <c r="X530" s="4"/>
      <c r="Y530" s="4"/>
      <c r="Z530" s="13">
        <f t="shared" si="68"/>
        <v>4951377.204455</v>
      </c>
      <c r="AC530" s="13">
        <f t="shared" si="69"/>
        <v>5045989.507724841</v>
      </c>
      <c r="AF530" s="51"/>
      <c r="AG530" s="4"/>
      <c r="AH530" s="4"/>
      <c r="AI530" s="4"/>
      <c r="AJ530" s="4"/>
      <c r="AK530" s="4"/>
      <c r="AL530" s="4">
        <v>5278853.279433</v>
      </c>
      <c r="AM530" s="4">
        <f t="shared" si="70"/>
        <v>3534412.718003539</v>
      </c>
      <c r="AN530" s="4"/>
      <c r="AO530" s="4"/>
      <c r="AP530" s="4"/>
      <c r="AQ530" s="4"/>
      <c r="AR530" s="4">
        <v>153613.645861</v>
      </c>
      <c r="AS530" s="4">
        <f t="shared" si="61"/>
        <v>150591.10125074847</v>
      </c>
      <c r="AT530" s="4"/>
      <c r="AU530" s="4"/>
      <c r="AV530" s="4"/>
      <c r="AW530" s="4"/>
      <c r="AX530" s="4">
        <v>94792.403672</v>
      </c>
      <c r="AY530" s="4">
        <f t="shared" si="66"/>
        <v>92893.37696708906</v>
      </c>
      <c r="AZ530" s="4"/>
      <c r="BA530" s="4"/>
      <c r="BB530" s="4"/>
      <c r="BC530" s="4"/>
      <c r="BD530" s="4"/>
      <c r="BE530" s="4"/>
      <c r="BF530" s="4"/>
      <c r="BG530" s="4"/>
      <c r="BH530" s="4"/>
      <c r="BI530" s="4"/>
      <c r="BJ530" s="4"/>
      <c r="BK530" s="4"/>
      <c r="BL530" s="4"/>
      <c r="BM530" s="4"/>
      <c r="BN530" s="4"/>
      <c r="BO530" s="4">
        <v>14505.500901</v>
      </c>
      <c r="BP530" s="4"/>
      <c r="BQ530" s="4">
        <f t="shared" si="73"/>
        <v>5541764.829867</v>
      </c>
      <c r="BT530" s="4">
        <f t="shared" si="74"/>
        <v>3777897.196221377</v>
      </c>
      <c r="BW530" s="52"/>
      <c r="BX530" s="4">
        <f t="shared" si="71"/>
        <v>10493142.034322001</v>
      </c>
      <c r="BY530" s="4">
        <f t="shared" si="72"/>
        <v>8823886.703946218</v>
      </c>
    </row>
    <row r="531" spans="1:77" ht="12.75">
      <c r="A531" s="3" t="s">
        <v>1164</v>
      </c>
      <c r="B531" s="3" t="s">
        <v>530</v>
      </c>
      <c r="C531" s="3" t="s">
        <v>1349</v>
      </c>
      <c r="D531" s="3"/>
      <c r="E531" s="4"/>
      <c r="F531" s="4">
        <v>1153824.605572</v>
      </c>
      <c r="G531" s="4">
        <f t="shared" si="67"/>
        <v>1175872.2095001272</v>
      </c>
      <c r="H531" s="4"/>
      <c r="I531" s="4"/>
      <c r="J531" s="4">
        <v>32036.656889</v>
      </c>
      <c r="K531" s="4">
        <f t="shared" si="60"/>
        <v>32648.822307261147</v>
      </c>
      <c r="L531" s="4"/>
      <c r="M531" s="4"/>
      <c r="N531" s="4"/>
      <c r="O531" s="4"/>
      <c r="P531" s="4"/>
      <c r="Q531" s="4"/>
      <c r="R531" s="4"/>
      <c r="S531" s="4"/>
      <c r="T531" s="4">
        <v>20364.007684</v>
      </c>
      <c r="U531" s="4">
        <f t="shared" si="65"/>
        <v>20753.128849936307</v>
      </c>
      <c r="V531" s="4"/>
      <c r="W531" s="4"/>
      <c r="X531" s="4"/>
      <c r="Y531" s="4"/>
      <c r="Z531" s="13">
        <f t="shared" si="68"/>
        <v>1206225.270145</v>
      </c>
      <c r="AC531" s="13">
        <f t="shared" si="69"/>
        <v>1229274.1606573248</v>
      </c>
      <c r="AF531" s="51"/>
      <c r="AG531" s="4"/>
      <c r="AH531" s="4"/>
      <c r="AI531" s="4"/>
      <c r="AJ531" s="4"/>
      <c r="AK531" s="4"/>
      <c r="AL531" s="4">
        <v>1274720.977049</v>
      </c>
      <c r="AM531" s="4">
        <f t="shared" si="70"/>
        <v>853478.9270884615</v>
      </c>
      <c r="AN531" s="4"/>
      <c r="AO531" s="4"/>
      <c r="AP531" s="4"/>
      <c r="AQ531" s="4"/>
      <c r="AR531" s="4">
        <v>46271.686446</v>
      </c>
      <c r="AS531" s="4">
        <f t="shared" si="61"/>
        <v>45361.231937282995</v>
      </c>
      <c r="AT531" s="4"/>
      <c r="AU531" s="4"/>
      <c r="AV531" s="4"/>
      <c r="AW531" s="4"/>
      <c r="AX531" s="4">
        <v>28887.968986</v>
      </c>
      <c r="AY531" s="4">
        <f t="shared" si="66"/>
        <v>28309.240918876858</v>
      </c>
      <c r="AZ531" s="4"/>
      <c r="BA531" s="4"/>
      <c r="BB531" s="4"/>
      <c r="BC531" s="4"/>
      <c r="BD531" s="4">
        <v>12657.352941</v>
      </c>
      <c r="BE531" s="4">
        <f>BD531/BD$680*BE$680</f>
        <v>17986.766664962066</v>
      </c>
      <c r="BF531" s="4">
        <v>2664.7040013466753</v>
      </c>
      <c r="BG531" s="4">
        <f>BE531+BF531</f>
        <v>20651.47066630874</v>
      </c>
      <c r="BH531" s="4">
        <v>31472</v>
      </c>
      <c r="BI531" s="4">
        <v>32048</v>
      </c>
      <c r="BJ531" s="4"/>
      <c r="BK531" s="4">
        <f aca="true" t="shared" si="75" ref="BK531:BK543">BI531</f>
        <v>32048</v>
      </c>
      <c r="BL531" s="4">
        <f aca="true" t="shared" si="76" ref="BL531:BL543">BH531+BK531</f>
        <v>63520</v>
      </c>
      <c r="BM531" s="4"/>
      <c r="BN531" s="4"/>
      <c r="BO531" s="4">
        <v>3533.744455</v>
      </c>
      <c r="BP531" s="4"/>
      <c r="BQ531" s="4">
        <f t="shared" si="73"/>
        <v>1432256.4338783463</v>
      </c>
      <c r="BT531" s="4">
        <f t="shared" si="74"/>
        <v>1011320.87061093</v>
      </c>
      <c r="BW531" s="52"/>
      <c r="BX531" s="4">
        <f t="shared" si="71"/>
        <v>2638481.7040233463</v>
      </c>
      <c r="BY531" s="4">
        <f t="shared" si="72"/>
        <v>2240595.031268255</v>
      </c>
    </row>
    <row r="532" spans="1:77" ht="12.75">
      <c r="A532" s="3" t="s">
        <v>1165</v>
      </c>
      <c r="B532" s="3" t="s">
        <v>531</v>
      </c>
      <c r="C532" s="3" t="s">
        <v>1349</v>
      </c>
      <c r="D532" s="3"/>
      <c r="E532" s="4"/>
      <c r="F532" s="4">
        <v>1850481.502226</v>
      </c>
      <c r="G532" s="4">
        <f t="shared" si="67"/>
        <v>1885841.0213768152</v>
      </c>
      <c r="H532" s="4"/>
      <c r="I532" s="4"/>
      <c r="J532" s="4">
        <v>56023.01426</v>
      </c>
      <c r="K532" s="4">
        <f t="shared" si="60"/>
        <v>57093.51771719746</v>
      </c>
      <c r="L532" s="4"/>
      <c r="M532" s="4"/>
      <c r="N532" s="4"/>
      <c r="O532" s="4"/>
      <c r="P532" s="4"/>
      <c r="Q532" s="4"/>
      <c r="R532" s="4"/>
      <c r="S532" s="4"/>
      <c r="T532" s="4">
        <v>34613.925701</v>
      </c>
      <c r="U532" s="4">
        <f t="shared" si="65"/>
        <v>35275.33829401274</v>
      </c>
      <c r="V532" s="4"/>
      <c r="W532" s="4"/>
      <c r="X532" s="4"/>
      <c r="Y532" s="4"/>
      <c r="Z532" s="13">
        <f t="shared" si="68"/>
        <v>1941118.442187</v>
      </c>
      <c r="AC532" s="13">
        <f t="shared" si="69"/>
        <v>1978209.8773880254</v>
      </c>
      <c r="AF532" s="51"/>
      <c r="AG532" s="4"/>
      <c r="AH532" s="4"/>
      <c r="AI532" s="4"/>
      <c r="AJ532" s="4"/>
      <c r="AK532" s="4"/>
      <c r="AL532" s="4">
        <v>2044372.755735</v>
      </c>
      <c r="AM532" s="4">
        <f t="shared" si="70"/>
        <v>1368792.9339430006</v>
      </c>
      <c r="AN532" s="4"/>
      <c r="AO532" s="4"/>
      <c r="AP532" s="4"/>
      <c r="AQ532" s="4"/>
      <c r="AR532" s="4">
        <v>80916.038106</v>
      </c>
      <c r="AS532" s="4">
        <f t="shared" si="61"/>
        <v>79323.91174580996</v>
      </c>
      <c r="AT532" s="4"/>
      <c r="AU532" s="4"/>
      <c r="AV532" s="4"/>
      <c r="AW532" s="4"/>
      <c r="AX532" s="4">
        <v>49102.614164</v>
      </c>
      <c r="AY532" s="4">
        <f t="shared" si="66"/>
        <v>48118.91534461963</v>
      </c>
      <c r="AZ532" s="4"/>
      <c r="BA532" s="4"/>
      <c r="BB532" s="4"/>
      <c r="BC532" s="4"/>
      <c r="BD532" s="4"/>
      <c r="BE532" s="4"/>
      <c r="BF532" s="4"/>
      <c r="BG532" s="4"/>
      <c r="BH532" s="4">
        <v>54726</v>
      </c>
      <c r="BI532" s="4">
        <v>54525</v>
      </c>
      <c r="BJ532" s="4"/>
      <c r="BK532" s="4">
        <f t="shared" si="75"/>
        <v>54525</v>
      </c>
      <c r="BL532" s="4">
        <f t="shared" si="76"/>
        <v>109251</v>
      </c>
      <c r="BM532" s="4"/>
      <c r="BN532" s="4"/>
      <c r="BO532" s="4">
        <v>5686.679514</v>
      </c>
      <c r="BP532" s="4"/>
      <c r="BQ532" s="4">
        <f t="shared" si="73"/>
        <v>2289329.087519</v>
      </c>
      <c r="BT532" s="4">
        <f t="shared" si="74"/>
        <v>1605486.7610334302</v>
      </c>
      <c r="BW532" s="52"/>
      <c r="BX532" s="4">
        <f t="shared" si="71"/>
        <v>4230447.529705999</v>
      </c>
      <c r="BY532" s="4">
        <f t="shared" si="72"/>
        <v>3583696.6384214554</v>
      </c>
    </row>
    <row r="533" spans="1:77" ht="12.75">
      <c r="A533" s="3" t="s">
        <v>1166</v>
      </c>
      <c r="B533" s="3" t="s">
        <v>532</v>
      </c>
      <c r="C533" s="3" t="s">
        <v>1349</v>
      </c>
      <c r="D533" s="3"/>
      <c r="E533" s="4"/>
      <c r="F533" s="4">
        <v>1989192.623876</v>
      </c>
      <c r="G533" s="4">
        <f t="shared" si="67"/>
        <v>2027202.674013758</v>
      </c>
      <c r="H533" s="4"/>
      <c r="I533" s="4"/>
      <c r="J533" s="4">
        <v>77284.260123</v>
      </c>
      <c r="K533" s="4">
        <f t="shared" si="60"/>
        <v>78761.02942471337</v>
      </c>
      <c r="L533" s="4"/>
      <c r="M533" s="4"/>
      <c r="N533" s="4"/>
      <c r="O533" s="4"/>
      <c r="P533" s="4"/>
      <c r="Q533" s="4"/>
      <c r="R533" s="4"/>
      <c r="S533" s="4"/>
      <c r="T533" s="4">
        <v>23274.431663</v>
      </c>
      <c r="U533" s="4">
        <f t="shared" si="65"/>
        <v>23719.16602598726</v>
      </c>
      <c r="V533" s="4"/>
      <c r="W533" s="4"/>
      <c r="X533" s="4"/>
      <c r="Y533" s="4"/>
      <c r="Z533" s="13">
        <f t="shared" si="68"/>
        <v>2089751.315662</v>
      </c>
      <c r="AC533" s="13">
        <f t="shared" si="69"/>
        <v>2129682.869464459</v>
      </c>
      <c r="AF533" s="51"/>
      <c r="AG533" s="4"/>
      <c r="AH533" s="4"/>
      <c r="AI533" s="4"/>
      <c r="AJ533" s="4"/>
      <c r="AK533" s="4"/>
      <c r="AL533" s="4">
        <v>2197617.863928</v>
      </c>
      <c r="AM533" s="4">
        <f t="shared" si="70"/>
        <v>1471396.933466803</v>
      </c>
      <c r="AN533" s="4"/>
      <c r="AO533" s="4"/>
      <c r="AP533" s="4"/>
      <c r="AQ533" s="4"/>
      <c r="AR533" s="4">
        <v>111624.413996</v>
      </c>
      <c r="AS533" s="4">
        <f t="shared" si="61"/>
        <v>109428.06113291266</v>
      </c>
      <c r="AT533" s="4"/>
      <c r="AU533" s="4"/>
      <c r="AV533" s="4"/>
      <c r="AW533" s="4"/>
      <c r="AX533" s="4">
        <v>33016.637514</v>
      </c>
      <c r="AY533" s="4">
        <f t="shared" si="66"/>
        <v>32355.197631513187</v>
      </c>
      <c r="AZ533" s="4"/>
      <c r="BA533" s="4"/>
      <c r="BB533" s="4"/>
      <c r="BC533" s="4"/>
      <c r="BD533" s="4"/>
      <c r="BE533" s="4"/>
      <c r="BF533" s="4"/>
      <c r="BG533" s="4"/>
      <c r="BH533" s="4">
        <v>76979</v>
      </c>
      <c r="BI533" s="4">
        <v>77094</v>
      </c>
      <c r="BJ533" s="4"/>
      <c r="BK533" s="4">
        <f t="shared" si="75"/>
        <v>77094</v>
      </c>
      <c r="BL533" s="4">
        <f t="shared" si="76"/>
        <v>154073</v>
      </c>
      <c r="BM533" s="4"/>
      <c r="BN533" s="4"/>
      <c r="BO533" s="4">
        <v>6122.112766</v>
      </c>
      <c r="BP533" s="4"/>
      <c r="BQ533" s="4">
        <f t="shared" si="73"/>
        <v>2502454.0282039996</v>
      </c>
      <c r="BT533" s="4">
        <f t="shared" si="74"/>
        <v>1767253.192231229</v>
      </c>
      <c r="BW533" s="52"/>
      <c r="BX533" s="4">
        <f t="shared" si="71"/>
        <v>4592205.343866</v>
      </c>
      <c r="BY533" s="4">
        <f t="shared" si="72"/>
        <v>3896936.061695688</v>
      </c>
    </row>
    <row r="534" spans="1:77" ht="12.75">
      <c r="A534" s="3" t="s">
        <v>1167</v>
      </c>
      <c r="B534" s="3" t="s">
        <v>533</v>
      </c>
      <c r="C534" s="3" t="s">
        <v>1349</v>
      </c>
      <c r="D534" s="3"/>
      <c r="E534" s="4"/>
      <c r="F534" s="4">
        <v>2861247.338751</v>
      </c>
      <c r="G534" s="4">
        <f t="shared" si="67"/>
        <v>2915920.854778089</v>
      </c>
      <c r="H534" s="4"/>
      <c r="I534" s="4"/>
      <c r="J534" s="4">
        <v>70497.343642</v>
      </c>
      <c r="K534" s="4">
        <f t="shared" si="60"/>
        <v>71844.42664152867</v>
      </c>
      <c r="L534" s="4"/>
      <c r="M534" s="4"/>
      <c r="N534" s="4"/>
      <c r="O534" s="4"/>
      <c r="P534" s="4"/>
      <c r="Q534" s="4"/>
      <c r="R534" s="4"/>
      <c r="S534" s="4"/>
      <c r="T534" s="4">
        <v>20364.007684</v>
      </c>
      <c r="U534" s="4">
        <f t="shared" si="65"/>
        <v>20753.128849936307</v>
      </c>
      <c r="V534" s="4"/>
      <c r="W534" s="4"/>
      <c r="X534" s="4"/>
      <c r="Y534" s="4"/>
      <c r="Z534" s="13">
        <f t="shared" si="68"/>
        <v>2952108.690077</v>
      </c>
      <c r="AC534" s="13">
        <f t="shared" si="69"/>
        <v>3008518.410269554</v>
      </c>
      <c r="AF534" s="51"/>
      <c r="AG534" s="4"/>
      <c r="AH534" s="4"/>
      <c r="AI534" s="4"/>
      <c r="AJ534" s="4"/>
      <c r="AK534" s="4"/>
      <c r="AL534" s="4">
        <v>3161045.435863</v>
      </c>
      <c r="AM534" s="4">
        <f t="shared" si="70"/>
        <v>2116451.9260708177</v>
      </c>
      <c r="AN534" s="4"/>
      <c r="AO534" s="4"/>
      <c r="AP534" s="4"/>
      <c r="AQ534" s="4"/>
      <c r="AR534" s="4">
        <v>101821.828401</v>
      </c>
      <c r="AS534" s="4">
        <f t="shared" si="61"/>
        <v>99818.35392505482</v>
      </c>
      <c r="AT534" s="4"/>
      <c r="AU534" s="4"/>
      <c r="AV534" s="4"/>
      <c r="AW534" s="4"/>
      <c r="AX534" s="4">
        <v>28887.968986</v>
      </c>
      <c r="AY534" s="4">
        <f t="shared" si="66"/>
        <v>28309.240918876858</v>
      </c>
      <c r="AZ534" s="4"/>
      <c r="BA534" s="4"/>
      <c r="BB534" s="4"/>
      <c r="BC534" s="4"/>
      <c r="BD534" s="4"/>
      <c r="BE534" s="4"/>
      <c r="BF534" s="4"/>
      <c r="BG534" s="4"/>
      <c r="BH534" s="4">
        <v>70072</v>
      </c>
      <c r="BI534" s="4">
        <v>70275</v>
      </c>
      <c r="BJ534" s="4"/>
      <c r="BK534" s="4">
        <f t="shared" si="75"/>
        <v>70275</v>
      </c>
      <c r="BL534" s="4">
        <f t="shared" si="76"/>
        <v>140347</v>
      </c>
      <c r="BM534" s="4"/>
      <c r="BN534" s="4"/>
      <c r="BO534" s="4">
        <v>8648.465568</v>
      </c>
      <c r="BP534" s="4"/>
      <c r="BQ534" s="4">
        <f t="shared" si="73"/>
        <v>3440750.6988179996</v>
      </c>
      <c r="BT534" s="4">
        <f t="shared" si="74"/>
        <v>2384926.5209147497</v>
      </c>
      <c r="BW534" s="52"/>
      <c r="BX534" s="4">
        <f t="shared" si="71"/>
        <v>6392859.388894999</v>
      </c>
      <c r="BY534" s="4">
        <f t="shared" si="72"/>
        <v>5393444.931184303</v>
      </c>
    </row>
    <row r="535" spans="1:77" ht="12.75">
      <c r="A535" s="3" t="s">
        <v>1168</v>
      </c>
      <c r="B535" s="3" t="s">
        <v>534</v>
      </c>
      <c r="C535" s="3" t="s">
        <v>1349</v>
      </c>
      <c r="D535" s="3"/>
      <c r="E535" s="4"/>
      <c r="F535" s="4">
        <v>2936524.841083</v>
      </c>
      <c r="G535" s="4">
        <f t="shared" si="67"/>
        <v>2992636.7807215285</v>
      </c>
      <c r="H535" s="4"/>
      <c r="I535" s="4"/>
      <c r="J535" s="4">
        <v>71961.923075</v>
      </c>
      <c r="K535" s="4">
        <f t="shared" si="60"/>
        <v>73336.99166878981</v>
      </c>
      <c r="L535" s="4"/>
      <c r="M535" s="4"/>
      <c r="N535" s="4"/>
      <c r="O535" s="4"/>
      <c r="P535" s="4"/>
      <c r="Q535" s="4"/>
      <c r="R535" s="4"/>
      <c r="S535" s="4"/>
      <c r="T535" s="4">
        <v>27810.310734</v>
      </c>
      <c r="U535" s="4">
        <f t="shared" si="65"/>
        <v>28341.717945477707</v>
      </c>
      <c r="V535" s="4"/>
      <c r="W535" s="4"/>
      <c r="X535" s="4"/>
      <c r="Y535" s="4"/>
      <c r="Z535" s="13">
        <f t="shared" si="68"/>
        <v>3036297.074892</v>
      </c>
      <c r="AC535" s="13">
        <f t="shared" si="69"/>
        <v>3094315.490335796</v>
      </c>
      <c r="AF535" s="51"/>
      <c r="AG535" s="4"/>
      <c r="AH535" s="4"/>
      <c r="AI535" s="4"/>
      <c r="AJ535" s="4"/>
      <c r="AK535" s="4"/>
      <c r="AL535" s="4">
        <v>3244210.425463</v>
      </c>
      <c r="AM535" s="4">
        <f t="shared" si="70"/>
        <v>2172134.3596175304</v>
      </c>
      <c r="AN535" s="4"/>
      <c r="AO535" s="4"/>
      <c r="AP535" s="4"/>
      <c r="AQ535" s="4"/>
      <c r="AR535" s="4">
        <v>103937.172724</v>
      </c>
      <c r="AS535" s="4">
        <f t="shared" si="61"/>
        <v>101892.07614771032</v>
      </c>
      <c r="AT535" s="4"/>
      <c r="AU535" s="4"/>
      <c r="AV535" s="4"/>
      <c r="AW535" s="4"/>
      <c r="AX535" s="4">
        <v>39451.143726</v>
      </c>
      <c r="AY535" s="4">
        <f t="shared" si="66"/>
        <v>38660.797953841015</v>
      </c>
      <c r="AZ535" s="4"/>
      <c r="BA535" s="4"/>
      <c r="BB535" s="4"/>
      <c r="BC535" s="4"/>
      <c r="BD535" s="4"/>
      <c r="BE535" s="4"/>
      <c r="BF535" s="4"/>
      <c r="BG535" s="4"/>
      <c r="BH535" s="4">
        <v>71250</v>
      </c>
      <c r="BI535" s="4">
        <v>72037</v>
      </c>
      <c r="BJ535" s="4"/>
      <c r="BK535" s="4">
        <f t="shared" si="75"/>
        <v>72037</v>
      </c>
      <c r="BL535" s="4">
        <f t="shared" si="76"/>
        <v>143287</v>
      </c>
      <c r="BM535" s="4"/>
      <c r="BN535" s="4"/>
      <c r="BO535" s="4">
        <v>8895.102946</v>
      </c>
      <c r="BP535" s="4"/>
      <c r="BQ535" s="4">
        <f t="shared" si="73"/>
        <v>3539780.8448590003</v>
      </c>
      <c r="BT535" s="4">
        <f t="shared" si="74"/>
        <v>2455974.2337190816</v>
      </c>
      <c r="BW535" s="52"/>
      <c r="BX535" s="4">
        <f t="shared" si="71"/>
        <v>6576077.919751</v>
      </c>
      <c r="BY535" s="4">
        <f t="shared" si="72"/>
        <v>5550289.724054878</v>
      </c>
    </row>
    <row r="536" spans="1:77" ht="12.75">
      <c r="A536" s="3" t="s">
        <v>1169</v>
      </c>
      <c r="B536" s="3" t="s">
        <v>535</v>
      </c>
      <c r="C536" s="3" t="s">
        <v>1349</v>
      </c>
      <c r="D536" s="3"/>
      <c r="E536" s="4"/>
      <c r="F536" s="4">
        <v>1918814.296217</v>
      </c>
      <c r="G536" s="4">
        <f t="shared" si="67"/>
        <v>1955479.5375459874</v>
      </c>
      <c r="H536" s="4"/>
      <c r="I536" s="4"/>
      <c r="J536" s="4">
        <v>44166.274426</v>
      </c>
      <c r="K536" s="4">
        <f aca="true" t="shared" si="77" ref="K536:K599">J536*RPI_inc</f>
        <v>45010.2159755414</v>
      </c>
      <c r="L536" s="4"/>
      <c r="M536" s="4"/>
      <c r="N536" s="4"/>
      <c r="O536" s="4"/>
      <c r="P536" s="4"/>
      <c r="Q536" s="4"/>
      <c r="R536" s="4"/>
      <c r="S536" s="4"/>
      <c r="T536" s="4">
        <v>23274.431663</v>
      </c>
      <c r="U536" s="4">
        <f t="shared" si="65"/>
        <v>23719.16602598726</v>
      </c>
      <c r="V536" s="4"/>
      <c r="W536" s="4"/>
      <c r="X536" s="4"/>
      <c r="Y536" s="4"/>
      <c r="Z536" s="13">
        <f t="shared" si="68"/>
        <v>1986255.002306</v>
      </c>
      <c r="AC536" s="13">
        <f t="shared" si="69"/>
        <v>2024208.9195475162</v>
      </c>
      <c r="AF536" s="51"/>
      <c r="AG536" s="4"/>
      <c r="AH536" s="4"/>
      <c r="AI536" s="4"/>
      <c r="AJ536" s="4"/>
      <c r="AK536" s="4"/>
      <c r="AL536" s="4">
        <v>2119865.378704</v>
      </c>
      <c r="AM536" s="4">
        <f t="shared" si="70"/>
        <v>1419338.3976285793</v>
      </c>
      <c r="AN536" s="4"/>
      <c r="AO536" s="4"/>
      <c r="AP536" s="4"/>
      <c r="AQ536" s="4"/>
      <c r="AR536" s="4">
        <v>63790.925777</v>
      </c>
      <c r="AS536" s="4">
        <f aca="true" t="shared" si="78" ref="AS536:AS599">AR536/$AR$680*$AS$680</f>
        <v>62535.75786656127</v>
      </c>
      <c r="AT536" s="4"/>
      <c r="AU536" s="4"/>
      <c r="AV536" s="4"/>
      <c r="AW536" s="4"/>
      <c r="AX536" s="4">
        <v>33016.637514</v>
      </c>
      <c r="AY536" s="4">
        <f t="shared" si="66"/>
        <v>32355.197631513187</v>
      </c>
      <c r="AZ536" s="4"/>
      <c r="BA536" s="4"/>
      <c r="BB536" s="4"/>
      <c r="BC536" s="4"/>
      <c r="BD536" s="4"/>
      <c r="BE536" s="4"/>
      <c r="BF536" s="4"/>
      <c r="BG536" s="4"/>
      <c r="BH536" s="4">
        <v>44350</v>
      </c>
      <c r="BI536" s="4"/>
      <c r="BJ536" s="4"/>
      <c r="BK536" s="4"/>
      <c r="BL536" s="4">
        <f t="shared" si="76"/>
        <v>44350</v>
      </c>
      <c r="BM536" s="4"/>
      <c r="BN536" s="4"/>
      <c r="BO536" s="4">
        <v>5818.91109</v>
      </c>
      <c r="BP536" s="4"/>
      <c r="BQ536" s="4">
        <f t="shared" si="73"/>
        <v>2266841.8530849996</v>
      </c>
      <c r="BT536" s="4">
        <f t="shared" si="74"/>
        <v>1558579.3531266537</v>
      </c>
      <c r="BW536" s="52"/>
      <c r="BX536" s="4">
        <f t="shared" si="71"/>
        <v>4253096.8553909995</v>
      </c>
      <c r="BY536" s="4">
        <f t="shared" si="72"/>
        <v>3582788.27267417</v>
      </c>
    </row>
    <row r="537" spans="1:77" ht="12.75">
      <c r="A537" s="3" t="s">
        <v>1170</v>
      </c>
      <c r="B537" s="3" t="s">
        <v>536</v>
      </c>
      <c r="C537" s="3" t="s">
        <v>1349</v>
      </c>
      <c r="D537" s="3"/>
      <c r="E537" s="4"/>
      <c r="F537" s="4">
        <v>3710789.00582</v>
      </c>
      <c r="G537" s="4">
        <f t="shared" si="67"/>
        <v>3781695.8021095544</v>
      </c>
      <c r="H537" s="4"/>
      <c r="I537" s="4"/>
      <c r="J537" s="4">
        <v>69801.301859</v>
      </c>
      <c r="K537" s="4">
        <f t="shared" si="77"/>
        <v>71135.08469707007</v>
      </c>
      <c r="L537" s="4"/>
      <c r="M537" s="4"/>
      <c r="N537" s="4"/>
      <c r="O537" s="4"/>
      <c r="P537" s="4"/>
      <c r="Q537" s="4"/>
      <c r="R537" s="4"/>
      <c r="S537" s="4"/>
      <c r="T537" s="4">
        <v>42551.408617</v>
      </c>
      <c r="U537" s="4">
        <f t="shared" si="65"/>
        <v>43364.49285808917</v>
      </c>
      <c r="V537" s="4"/>
      <c r="W537" s="4"/>
      <c r="X537" s="4"/>
      <c r="Y537" s="4"/>
      <c r="Z537" s="13">
        <f t="shared" si="68"/>
        <v>3823141.7162960004</v>
      </c>
      <c r="AC537" s="13">
        <f t="shared" si="69"/>
        <v>3896195.3796647135</v>
      </c>
      <c r="AF537" s="51"/>
      <c r="AG537" s="4"/>
      <c r="AH537" s="4"/>
      <c r="AI537" s="4"/>
      <c r="AJ537" s="4"/>
      <c r="AK537" s="4"/>
      <c r="AL537" s="4">
        <v>4099601.069588</v>
      </c>
      <c r="AM537" s="4">
        <f t="shared" si="70"/>
        <v>2744854.117379271</v>
      </c>
      <c r="AN537" s="4"/>
      <c r="AO537" s="4"/>
      <c r="AP537" s="4"/>
      <c r="AQ537" s="4"/>
      <c r="AR537" s="4">
        <v>100816.510423</v>
      </c>
      <c r="AS537" s="4">
        <f t="shared" si="78"/>
        <v>98832.8168618229</v>
      </c>
      <c r="AT537" s="4"/>
      <c r="AU537" s="4"/>
      <c r="AV537" s="4"/>
      <c r="AW537" s="4"/>
      <c r="AX537" s="4">
        <v>60362.566715</v>
      </c>
      <c r="AY537" s="4">
        <f t="shared" si="66"/>
        <v>59153.29126962365</v>
      </c>
      <c r="AZ537" s="4"/>
      <c r="BA537" s="4"/>
      <c r="BB537" s="4"/>
      <c r="BC537" s="4"/>
      <c r="BD537" s="4"/>
      <c r="BE537" s="4"/>
      <c r="BF537" s="4"/>
      <c r="BG537" s="4"/>
      <c r="BH537" s="4">
        <v>70187</v>
      </c>
      <c r="BI537" s="4">
        <v>70257</v>
      </c>
      <c r="BJ537" s="4"/>
      <c r="BK537" s="4">
        <f t="shared" si="75"/>
        <v>70257</v>
      </c>
      <c r="BL537" s="4">
        <f t="shared" si="76"/>
        <v>140444</v>
      </c>
      <c r="BM537" s="4"/>
      <c r="BN537" s="4"/>
      <c r="BO537" s="4">
        <v>11200.234464</v>
      </c>
      <c r="BP537" s="4"/>
      <c r="BQ537" s="4">
        <f t="shared" si="73"/>
        <v>4412424.38119</v>
      </c>
      <c r="BT537" s="4">
        <f t="shared" si="74"/>
        <v>3043284.2255107174</v>
      </c>
      <c r="BW537" s="52"/>
      <c r="BX537" s="4">
        <f t="shared" si="71"/>
        <v>8235566.0974860005</v>
      </c>
      <c r="BY537" s="4">
        <f t="shared" si="72"/>
        <v>6939479.605175431</v>
      </c>
    </row>
    <row r="538" spans="1:77" ht="12.75">
      <c r="A538" s="3" t="s">
        <v>1171</v>
      </c>
      <c r="B538" s="3" t="s">
        <v>537</v>
      </c>
      <c r="C538" s="3" t="s">
        <v>1349</v>
      </c>
      <c r="D538" s="3"/>
      <c r="E538" s="4"/>
      <c r="F538" s="4">
        <v>1482573.052501</v>
      </c>
      <c r="G538" s="4">
        <f t="shared" si="67"/>
        <v>1510902.4738863695</v>
      </c>
      <c r="H538" s="4"/>
      <c r="I538" s="4"/>
      <c r="J538" s="4">
        <v>56855.494894</v>
      </c>
      <c r="K538" s="4">
        <f t="shared" si="77"/>
        <v>57941.9056244586</v>
      </c>
      <c r="L538" s="4"/>
      <c r="M538" s="4"/>
      <c r="N538" s="4"/>
      <c r="O538" s="4"/>
      <c r="P538" s="4"/>
      <c r="Q538" s="4"/>
      <c r="R538" s="4"/>
      <c r="S538" s="4"/>
      <c r="T538" s="4">
        <v>37448.595571</v>
      </c>
      <c r="U538" s="4">
        <f t="shared" si="65"/>
        <v>38164.17383031847</v>
      </c>
      <c r="V538" s="4"/>
      <c r="W538" s="4"/>
      <c r="X538" s="4"/>
      <c r="Y538" s="4"/>
      <c r="Z538" s="13">
        <f t="shared" si="68"/>
        <v>1576877.142966</v>
      </c>
      <c r="AC538" s="13">
        <f t="shared" si="69"/>
        <v>1607008.5533411466</v>
      </c>
      <c r="AF538" s="51"/>
      <c r="AG538" s="4"/>
      <c r="AH538" s="4"/>
      <c r="AI538" s="4"/>
      <c r="AJ538" s="4"/>
      <c r="AK538" s="4"/>
      <c r="AL538" s="4">
        <v>1637915.295708</v>
      </c>
      <c r="AM538" s="4">
        <f t="shared" si="70"/>
        <v>1096652.690598115</v>
      </c>
      <c r="AN538" s="4"/>
      <c r="AO538" s="4"/>
      <c r="AP538" s="4"/>
      <c r="AQ538" s="4"/>
      <c r="AR538" s="4">
        <v>82118.419584</v>
      </c>
      <c r="AS538" s="4">
        <f t="shared" si="78"/>
        <v>80502.63483307634</v>
      </c>
      <c r="AT538" s="4"/>
      <c r="AU538" s="4"/>
      <c r="AV538" s="4"/>
      <c r="AW538" s="4"/>
      <c r="AX538" s="4">
        <v>53123.819447</v>
      </c>
      <c r="AY538" s="4">
        <f t="shared" si="66"/>
        <v>52059.561680673105</v>
      </c>
      <c r="AZ538" s="4"/>
      <c r="BA538" s="4"/>
      <c r="BB538" s="4"/>
      <c r="BC538" s="4"/>
      <c r="BD538" s="4">
        <v>15751</v>
      </c>
      <c r="BE538" s="4">
        <f>BD538/BD$680*BE$680</f>
        <v>22383.00243822027</v>
      </c>
      <c r="BF538" s="4">
        <v>3315.997659293799</v>
      </c>
      <c r="BG538" s="4">
        <f>BE538+BF538</f>
        <v>25699.00009751407</v>
      </c>
      <c r="BH538" s="4">
        <v>56073</v>
      </c>
      <c r="BI538" s="4">
        <v>56432</v>
      </c>
      <c r="BJ538" s="4"/>
      <c r="BK538" s="4">
        <f t="shared" si="75"/>
        <v>56432</v>
      </c>
      <c r="BL538" s="4">
        <f t="shared" si="76"/>
        <v>112505</v>
      </c>
      <c r="BM538" s="4"/>
      <c r="BN538" s="4"/>
      <c r="BO538" s="4">
        <v>4619.602158</v>
      </c>
      <c r="BP538" s="4"/>
      <c r="BQ538" s="4">
        <f t="shared" si="73"/>
        <v>1909349.1345562937</v>
      </c>
      <c r="BT538" s="4">
        <f t="shared" si="74"/>
        <v>1367418.8872093786</v>
      </c>
      <c r="BW538" s="52"/>
      <c r="BX538" s="4">
        <f t="shared" si="71"/>
        <v>3486226.277522294</v>
      </c>
      <c r="BY538" s="4">
        <f t="shared" si="72"/>
        <v>2974427.440550525</v>
      </c>
    </row>
    <row r="539" spans="1:77" ht="12.75">
      <c r="A539" s="3" t="s">
        <v>1172</v>
      </c>
      <c r="B539" s="3" t="s">
        <v>538</v>
      </c>
      <c r="C539" s="3" t="s">
        <v>1349</v>
      </c>
      <c r="D539" s="3"/>
      <c r="E539" s="4"/>
      <c r="F539" s="4">
        <v>2251383.475085</v>
      </c>
      <c r="G539" s="4">
        <f t="shared" si="67"/>
        <v>2294403.541487898</v>
      </c>
      <c r="H539" s="4"/>
      <c r="I539" s="4"/>
      <c r="J539" s="4">
        <v>42729.390044</v>
      </c>
      <c r="K539" s="4">
        <f t="shared" si="77"/>
        <v>43545.87520407643</v>
      </c>
      <c r="L539" s="4"/>
      <c r="M539" s="4"/>
      <c r="N539" s="4"/>
      <c r="O539" s="4"/>
      <c r="P539" s="4"/>
      <c r="Q539" s="4"/>
      <c r="R539" s="4"/>
      <c r="S539" s="4"/>
      <c r="T539" s="4">
        <v>20364.007684</v>
      </c>
      <c r="U539" s="4">
        <f t="shared" si="65"/>
        <v>20753.128849936307</v>
      </c>
      <c r="V539" s="4"/>
      <c r="W539" s="4"/>
      <c r="X539" s="4"/>
      <c r="Y539" s="4"/>
      <c r="Z539" s="13">
        <f t="shared" si="68"/>
        <v>2314476.872813</v>
      </c>
      <c r="AC539" s="13">
        <f t="shared" si="69"/>
        <v>2358702.545541911</v>
      </c>
      <c r="AF539" s="51"/>
      <c r="AG539" s="4"/>
      <c r="AH539" s="4"/>
      <c r="AI539" s="4"/>
      <c r="AJ539" s="4"/>
      <c r="AK539" s="4"/>
      <c r="AL539" s="4">
        <v>2487280.761055</v>
      </c>
      <c r="AM539" s="4">
        <f t="shared" si="70"/>
        <v>1665338.339553654</v>
      </c>
      <c r="AN539" s="4"/>
      <c r="AO539" s="4"/>
      <c r="AP539" s="4"/>
      <c r="AQ539" s="4"/>
      <c r="AR539" s="4">
        <v>61715.582403</v>
      </c>
      <c r="AS539" s="4">
        <f t="shared" si="78"/>
        <v>60501.24952316253</v>
      </c>
      <c r="AT539" s="4"/>
      <c r="AU539" s="4"/>
      <c r="AV539" s="4"/>
      <c r="AW539" s="4"/>
      <c r="AX539" s="4">
        <v>28887.968986</v>
      </c>
      <c r="AY539" s="4">
        <f t="shared" si="66"/>
        <v>28309.240918876858</v>
      </c>
      <c r="AZ539" s="4"/>
      <c r="BA539" s="4"/>
      <c r="BB539" s="4"/>
      <c r="BC539" s="4"/>
      <c r="BD539" s="4"/>
      <c r="BE539" s="4"/>
      <c r="BF539" s="4"/>
      <c r="BG539" s="4"/>
      <c r="BH539" s="4">
        <v>42281</v>
      </c>
      <c r="BI539" s="4">
        <v>42118</v>
      </c>
      <c r="BJ539" s="4"/>
      <c r="BK539" s="4">
        <f t="shared" si="75"/>
        <v>42118</v>
      </c>
      <c r="BL539" s="4">
        <f t="shared" si="76"/>
        <v>84399</v>
      </c>
      <c r="BM539" s="4"/>
      <c r="BN539" s="4"/>
      <c r="BO539" s="4">
        <v>6780.466318</v>
      </c>
      <c r="BP539" s="4"/>
      <c r="BQ539" s="4">
        <f t="shared" si="73"/>
        <v>2669063.778762</v>
      </c>
      <c r="BT539" s="4">
        <f t="shared" si="74"/>
        <v>1838547.8299956934</v>
      </c>
      <c r="BW539" s="52"/>
      <c r="BX539" s="4">
        <f t="shared" si="71"/>
        <v>4983540.651575</v>
      </c>
      <c r="BY539" s="4">
        <f t="shared" si="72"/>
        <v>4197250.375537604</v>
      </c>
    </row>
    <row r="540" spans="1:77" ht="12.75">
      <c r="A540" s="3" t="s">
        <v>1173</v>
      </c>
      <c r="B540" s="3" t="s">
        <v>539</v>
      </c>
      <c r="C540" s="3" t="s">
        <v>1349</v>
      </c>
      <c r="D540" s="3"/>
      <c r="E540" s="4"/>
      <c r="F540" s="4">
        <v>1119165.617432</v>
      </c>
      <c r="G540" s="4">
        <f t="shared" si="67"/>
        <v>1140550.9477014013</v>
      </c>
      <c r="H540" s="4"/>
      <c r="I540" s="4"/>
      <c r="J540" s="4">
        <v>34280.770536</v>
      </c>
      <c r="K540" s="4">
        <f t="shared" si="77"/>
        <v>34935.817106751594</v>
      </c>
      <c r="L540" s="4"/>
      <c r="M540" s="4"/>
      <c r="N540" s="4"/>
      <c r="O540" s="4"/>
      <c r="P540" s="4"/>
      <c r="Q540" s="4"/>
      <c r="R540" s="4"/>
      <c r="S540" s="4"/>
      <c r="T540" s="4">
        <v>28944.178682</v>
      </c>
      <c r="U540" s="4">
        <f t="shared" si="65"/>
        <v>29497.25216</v>
      </c>
      <c r="V540" s="4"/>
      <c r="W540" s="4"/>
      <c r="X540" s="4"/>
      <c r="Y540" s="4"/>
      <c r="Z540" s="13">
        <f t="shared" si="68"/>
        <v>1182390.56665</v>
      </c>
      <c r="AC540" s="13">
        <f t="shared" si="69"/>
        <v>1204984.0169681527</v>
      </c>
      <c r="AF540" s="51"/>
      <c r="AG540" s="4"/>
      <c r="AH540" s="4"/>
      <c r="AI540" s="4"/>
      <c r="AJ540" s="4"/>
      <c r="AK540" s="4"/>
      <c r="AL540" s="4">
        <v>1236430.461305</v>
      </c>
      <c r="AM540" s="4">
        <f t="shared" si="70"/>
        <v>827841.827767708</v>
      </c>
      <c r="AN540" s="4"/>
      <c r="AO540" s="4"/>
      <c r="AP540" s="4"/>
      <c r="AQ540" s="4"/>
      <c r="AR540" s="4">
        <v>49512.939844</v>
      </c>
      <c r="AS540" s="4">
        <f t="shared" si="78"/>
        <v>48538.7095363709</v>
      </c>
      <c r="AT540" s="4"/>
      <c r="AU540" s="4"/>
      <c r="AV540" s="4"/>
      <c r="AW540" s="4"/>
      <c r="AX540" s="4">
        <v>41059.625839</v>
      </c>
      <c r="AY540" s="4">
        <f t="shared" si="66"/>
        <v>40237.05648806641</v>
      </c>
      <c r="AZ540" s="4"/>
      <c r="BA540" s="4"/>
      <c r="BB540" s="4"/>
      <c r="BC540" s="4"/>
      <c r="BD540" s="4">
        <v>21311.294118</v>
      </c>
      <c r="BE540" s="4">
        <f>BD540/BD$680*BE$680</f>
        <v>30284.47388767845</v>
      </c>
      <c r="BF540" s="4">
        <v>4486.585068364529</v>
      </c>
      <c r="BG540" s="4">
        <f>BE540+BF540</f>
        <v>34771.05895604298</v>
      </c>
      <c r="BH540" s="4">
        <v>34255</v>
      </c>
      <c r="BI540" s="4">
        <v>34052</v>
      </c>
      <c r="BJ540" s="4"/>
      <c r="BK540" s="4">
        <f t="shared" si="75"/>
        <v>34052</v>
      </c>
      <c r="BL540" s="4">
        <f t="shared" si="76"/>
        <v>68307</v>
      </c>
      <c r="BM540" s="4"/>
      <c r="BN540" s="4"/>
      <c r="BO540" s="4">
        <v>3463.918567</v>
      </c>
      <c r="BP540" s="4"/>
      <c r="BQ540" s="4">
        <f t="shared" si="73"/>
        <v>1424571.8247413645</v>
      </c>
      <c r="BT540" s="4">
        <f t="shared" si="74"/>
        <v>1019695.6527481884</v>
      </c>
      <c r="BW540" s="52"/>
      <c r="BX540" s="4">
        <f t="shared" si="71"/>
        <v>2606962.3913913644</v>
      </c>
      <c r="BY540" s="4">
        <f t="shared" si="72"/>
        <v>2224679.669716341</v>
      </c>
    </row>
    <row r="541" spans="1:77" ht="12.75">
      <c r="A541" s="3" t="s">
        <v>1174</v>
      </c>
      <c r="B541" s="3" t="s">
        <v>540</v>
      </c>
      <c r="C541" s="3" t="s">
        <v>1349</v>
      </c>
      <c r="D541" s="3"/>
      <c r="E541" s="4"/>
      <c r="F541" s="4">
        <v>2062630.585772</v>
      </c>
      <c r="G541" s="4">
        <f t="shared" si="67"/>
        <v>2102043.9090670063</v>
      </c>
      <c r="H541" s="4"/>
      <c r="I541" s="4"/>
      <c r="J541" s="4">
        <v>57671.684322</v>
      </c>
      <c r="K541" s="4">
        <f t="shared" si="77"/>
        <v>58773.691028789806</v>
      </c>
      <c r="L541" s="4"/>
      <c r="M541" s="4"/>
      <c r="N541" s="4"/>
      <c r="O541" s="4"/>
      <c r="P541" s="4"/>
      <c r="Q541" s="4"/>
      <c r="R541" s="4"/>
      <c r="S541" s="4"/>
      <c r="T541" s="4">
        <v>20364.007684</v>
      </c>
      <c r="U541" s="4">
        <f t="shared" si="65"/>
        <v>20753.128849936307</v>
      </c>
      <c r="V541" s="4"/>
      <c r="W541" s="4"/>
      <c r="X541" s="4"/>
      <c r="Y541" s="4"/>
      <c r="Z541" s="13">
        <f t="shared" si="68"/>
        <v>2140666.2777779996</v>
      </c>
      <c r="AC541" s="13">
        <f t="shared" si="69"/>
        <v>2181570.728945732</v>
      </c>
      <c r="AF541" s="51"/>
      <c r="AG541" s="4"/>
      <c r="AH541" s="4"/>
      <c r="AI541" s="4"/>
      <c r="AJ541" s="4"/>
      <c r="AK541" s="4"/>
      <c r="AL541" s="4">
        <v>2278750.568231</v>
      </c>
      <c r="AM541" s="4">
        <f t="shared" si="70"/>
        <v>1525718.6671379737</v>
      </c>
      <c r="AN541" s="4"/>
      <c r="AO541" s="4"/>
      <c r="AP541" s="4"/>
      <c r="AQ541" s="4"/>
      <c r="AR541" s="4">
        <v>83297.271092</v>
      </c>
      <c r="AS541" s="4">
        <f t="shared" si="78"/>
        <v>81658.29093254461</v>
      </c>
      <c r="AT541" s="4"/>
      <c r="AU541" s="4"/>
      <c r="AV541" s="4"/>
      <c r="AW541" s="4"/>
      <c r="AX541" s="4">
        <v>28887.968986</v>
      </c>
      <c r="AY541" s="4">
        <f t="shared" si="66"/>
        <v>28309.240918876858</v>
      </c>
      <c r="AZ541" s="4"/>
      <c r="BA541" s="4"/>
      <c r="BB541" s="4"/>
      <c r="BC541" s="4"/>
      <c r="BD541" s="4"/>
      <c r="BE541" s="4"/>
      <c r="BF541" s="4"/>
      <c r="BG541" s="4"/>
      <c r="BH541" s="4">
        <v>56056</v>
      </c>
      <c r="BI541" s="4">
        <v>57676</v>
      </c>
      <c r="BJ541" s="4"/>
      <c r="BK541" s="4">
        <f t="shared" si="75"/>
        <v>57676</v>
      </c>
      <c r="BL541" s="4">
        <f t="shared" si="76"/>
        <v>113732</v>
      </c>
      <c r="BM541" s="4"/>
      <c r="BN541" s="4"/>
      <c r="BO541" s="4">
        <v>6271.272686</v>
      </c>
      <c r="BP541" s="4"/>
      <c r="BQ541" s="4">
        <f t="shared" si="73"/>
        <v>2510939.080995</v>
      </c>
      <c r="BT541" s="4">
        <f t="shared" si="74"/>
        <v>1749418.198989395</v>
      </c>
      <c r="BW541" s="52"/>
      <c r="BX541" s="4">
        <f t="shared" si="71"/>
        <v>4651605.358773</v>
      </c>
      <c r="BY541" s="4">
        <f t="shared" si="72"/>
        <v>3930988.927935127</v>
      </c>
    </row>
    <row r="542" spans="1:77" ht="12.75">
      <c r="A542" s="3" t="s">
        <v>1175</v>
      </c>
      <c r="B542" s="3" t="s">
        <v>541</v>
      </c>
      <c r="C542" s="3" t="s">
        <v>1349</v>
      </c>
      <c r="D542" s="3"/>
      <c r="E542" s="4"/>
      <c r="F542" s="4">
        <v>1316174.040306</v>
      </c>
      <c r="G542" s="4">
        <f t="shared" si="67"/>
        <v>1341323.8627322293</v>
      </c>
      <c r="H542" s="4"/>
      <c r="I542" s="4"/>
      <c r="J542" s="4">
        <v>37012.805807</v>
      </c>
      <c r="K542" s="4">
        <f t="shared" si="77"/>
        <v>37720.05687337579</v>
      </c>
      <c r="L542" s="4"/>
      <c r="M542" s="4"/>
      <c r="N542" s="4"/>
      <c r="O542" s="4"/>
      <c r="P542" s="4"/>
      <c r="Q542" s="4"/>
      <c r="R542" s="4"/>
      <c r="S542" s="4"/>
      <c r="T542" s="4">
        <v>20364.007684</v>
      </c>
      <c r="U542" s="4">
        <f t="shared" si="65"/>
        <v>20753.128849936307</v>
      </c>
      <c r="V542" s="4"/>
      <c r="W542" s="4"/>
      <c r="X542" s="4"/>
      <c r="Y542" s="4"/>
      <c r="Z542" s="13">
        <f t="shared" si="68"/>
        <v>1373550.8537970001</v>
      </c>
      <c r="AC542" s="13">
        <f t="shared" si="69"/>
        <v>1399797.0484555415</v>
      </c>
      <c r="AF542" s="51"/>
      <c r="AG542" s="4"/>
      <c r="AH542" s="4"/>
      <c r="AI542" s="4"/>
      <c r="AJ542" s="4"/>
      <c r="AK542" s="4"/>
      <c r="AL542" s="4">
        <v>1454081.192689</v>
      </c>
      <c r="AM542" s="4">
        <f t="shared" si="70"/>
        <v>973568.0816273357</v>
      </c>
      <c r="AN542" s="4"/>
      <c r="AO542" s="4"/>
      <c r="AP542" s="4"/>
      <c r="AQ542" s="4"/>
      <c r="AR542" s="4">
        <v>53458.915851</v>
      </c>
      <c r="AS542" s="4">
        <f t="shared" si="78"/>
        <v>52407.043427364275</v>
      </c>
      <c r="AT542" s="4"/>
      <c r="AU542" s="4"/>
      <c r="AV542" s="4"/>
      <c r="AW542" s="4"/>
      <c r="AX542" s="4">
        <v>28887.968986</v>
      </c>
      <c r="AY542" s="4">
        <f t="shared" si="66"/>
        <v>28309.240918876858</v>
      </c>
      <c r="AZ542" s="4"/>
      <c r="BA542" s="4"/>
      <c r="BB542" s="4"/>
      <c r="BC542" s="4"/>
      <c r="BD542" s="4"/>
      <c r="BE542" s="4"/>
      <c r="BF542" s="4"/>
      <c r="BG542" s="4"/>
      <c r="BH542" s="4">
        <v>37634</v>
      </c>
      <c r="BI542" s="4">
        <v>37939</v>
      </c>
      <c r="BJ542" s="4"/>
      <c r="BK542" s="4">
        <f t="shared" si="75"/>
        <v>37939</v>
      </c>
      <c r="BL542" s="4">
        <f t="shared" si="76"/>
        <v>75573</v>
      </c>
      <c r="BM542" s="4"/>
      <c r="BN542" s="4"/>
      <c r="BO542" s="4">
        <v>4023.939669</v>
      </c>
      <c r="BP542" s="4"/>
      <c r="BQ542" s="4">
        <f t="shared" si="73"/>
        <v>1616025.0171949998</v>
      </c>
      <c r="BT542" s="4">
        <f t="shared" si="74"/>
        <v>1129857.365973577</v>
      </c>
      <c r="BW542" s="52"/>
      <c r="BX542" s="4">
        <f t="shared" si="71"/>
        <v>2989575.870992</v>
      </c>
      <c r="BY542" s="4">
        <f t="shared" si="72"/>
        <v>2529654.4144291184</v>
      </c>
    </row>
    <row r="543" spans="1:77" ht="12.75">
      <c r="A543" s="3" t="s">
        <v>1176</v>
      </c>
      <c r="B543" s="3" t="s">
        <v>542</v>
      </c>
      <c r="C543" s="3" t="s">
        <v>1349</v>
      </c>
      <c r="D543" s="3"/>
      <c r="E543" s="4"/>
      <c r="F543" s="4">
        <v>2340968.561844</v>
      </c>
      <c r="G543" s="4">
        <f t="shared" si="67"/>
        <v>2385700.4451913377</v>
      </c>
      <c r="H543" s="4"/>
      <c r="I543" s="4"/>
      <c r="J543" s="4">
        <v>33517.527528</v>
      </c>
      <c r="K543" s="4">
        <f t="shared" si="77"/>
        <v>34157.98983745223</v>
      </c>
      <c r="L543" s="4"/>
      <c r="M543" s="4"/>
      <c r="N543" s="4"/>
      <c r="O543" s="4"/>
      <c r="P543" s="4"/>
      <c r="Q543" s="4"/>
      <c r="R543" s="4"/>
      <c r="S543" s="4"/>
      <c r="T543" s="4">
        <v>32791.347014</v>
      </c>
      <c r="U543" s="4">
        <f t="shared" si="65"/>
        <v>33417.93326267516</v>
      </c>
      <c r="V543" s="4"/>
      <c r="W543" s="4"/>
      <c r="X543" s="4"/>
      <c r="Y543" s="4"/>
      <c r="Z543" s="13">
        <f t="shared" si="68"/>
        <v>2407277.4363860004</v>
      </c>
      <c r="AC543" s="13">
        <f t="shared" si="69"/>
        <v>2453276.368291465</v>
      </c>
      <c r="AF543" s="51"/>
      <c r="AG543" s="4"/>
      <c r="AH543" s="4"/>
      <c r="AI543" s="4"/>
      <c r="AJ543" s="4"/>
      <c r="AK543" s="4"/>
      <c r="AL543" s="4">
        <v>2586252.466782</v>
      </c>
      <c r="AM543" s="4">
        <f t="shared" si="70"/>
        <v>1731604.0296433747</v>
      </c>
      <c r="AN543" s="4"/>
      <c r="AO543" s="4"/>
      <c r="AP543" s="4"/>
      <c r="AQ543" s="4"/>
      <c r="AR543" s="4">
        <v>48410.560739</v>
      </c>
      <c r="AS543" s="4">
        <f t="shared" si="78"/>
        <v>47458.021147736596</v>
      </c>
      <c r="AT543" s="4"/>
      <c r="AU543" s="4"/>
      <c r="AV543" s="4"/>
      <c r="AW543" s="4"/>
      <c r="AX543" s="4">
        <v>46517.14094</v>
      </c>
      <c r="AY543" s="4">
        <f t="shared" si="66"/>
        <v>45585.2382826222</v>
      </c>
      <c r="AZ543" s="4"/>
      <c r="BA543" s="4"/>
      <c r="BB543" s="4"/>
      <c r="BC543" s="4"/>
      <c r="BD543" s="4">
        <v>9998.470588</v>
      </c>
      <c r="BE543" s="4">
        <f>BD543/BD$680*BE$680</f>
        <v>14208.354488583433</v>
      </c>
      <c r="BF543" s="4">
        <v>2104.93969058002</v>
      </c>
      <c r="BG543" s="4">
        <f>BE543+BF543</f>
        <v>16313.294179163453</v>
      </c>
      <c r="BH543" s="4">
        <v>33417</v>
      </c>
      <c r="BI543" s="4">
        <v>33948</v>
      </c>
      <c r="BJ543" s="4"/>
      <c r="BK543" s="4">
        <f t="shared" si="75"/>
        <v>33948</v>
      </c>
      <c r="BL543" s="4">
        <f t="shared" si="76"/>
        <v>67365</v>
      </c>
      <c r="BM543" s="4"/>
      <c r="BN543" s="4"/>
      <c r="BO543" s="4">
        <v>7052.333842</v>
      </c>
      <c r="BP543" s="4"/>
      <c r="BQ543" s="4">
        <f t="shared" si="73"/>
        <v>2767700.9125815798</v>
      </c>
      <c r="BT543" s="4">
        <f t="shared" si="74"/>
        <v>1908325.583252897</v>
      </c>
      <c r="BW543" s="52"/>
      <c r="BX543" s="4">
        <f t="shared" si="71"/>
        <v>5174978.34896758</v>
      </c>
      <c r="BY543" s="4">
        <f t="shared" si="72"/>
        <v>4361601.951544362</v>
      </c>
    </row>
    <row r="544" spans="1:77" ht="12.75">
      <c r="A544" s="3" t="s">
        <v>1177</v>
      </c>
      <c r="B544" s="3" t="s">
        <v>543</v>
      </c>
      <c r="C544" s="3" t="s">
        <v>1349</v>
      </c>
      <c r="D544" s="3"/>
      <c r="E544" s="4"/>
      <c r="F544" s="4">
        <v>5383054.715131</v>
      </c>
      <c r="G544" s="4">
        <f t="shared" si="67"/>
        <v>5485915.6332545215</v>
      </c>
      <c r="H544" s="4"/>
      <c r="I544" s="4"/>
      <c r="J544" s="4">
        <v>54778.773391</v>
      </c>
      <c r="K544" s="4">
        <f t="shared" si="77"/>
        <v>55825.50154496815</v>
      </c>
      <c r="L544" s="4"/>
      <c r="M544" s="4"/>
      <c r="N544" s="4"/>
      <c r="O544" s="4"/>
      <c r="P544" s="4"/>
      <c r="Q544" s="4"/>
      <c r="R544" s="4"/>
      <c r="S544" s="4"/>
      <c r="T544" s="4">
        <v>40283.672721</v>
      </c>
      <c r="U544" s="4">
        <f t="shared" si="65"/>
        <v>41053.424429044586</v>
      </c>
      <c r="V544" s="4"/>
      <c r="W544" s="4"/>
      <c r="X544" s="4"/>
      <c r="Y544" s="4"/>
      <c r="Z544" s="13">
        <f t="shared" si="68"/>
        <v>5478117.161243</v>
      </c>
      <c r="AC544" s="13">
        <f t="shared" si="69"/>
        <v>5582794.559228534</v>
      </c>
      <c r="AF544" s="51"/>
      <c r="AG544" s="4"/>
      <c r="AH544" s="4"/>
      <c r="AI544" s="4"/>
      <c r="AJ544" s="4"/>
      <c r="AK544" s="4"/>
      <c r="AL544" s="4">
        <v>5947084.793339</v>
      </c>
      <c r="AM544" s="4">
        <f t="shared" si="70"/>
        <v>3981821.622229384</v>
      </c>
      <c r="AN544" s="4"/>
      <c r="AO544" s="4"/>
      <c r="AP544" s="4"/>
      <c r="AQ544" s="4"/>
      <c r="AR544" s="4">
        <v>79118.93663</v>
      </c>
      <c r="AS544" s="4">
        <f t="shared" si="78"/>
        <v>77562.1705358196</v>
      </c>
      <c r="AT544" s="4"/>
      <c r="AU544" s="4"/>
      <c r="AV544" s="4"/>
      <c r="AW544" s="4"/>
      <c r="AX544" s="4">
        <v>57145.602489</v>
      </c>
      <c r="AY544" s="4">
        <f t="shared" si="66"/>
        <v>56000.77420117285</v>
      </c>
      <c r="AZ544" s="4"/>
      <c r="BA544" s="4"/>
      <c r="BB544" s="4"/>
      <c r="BC544" s="4"/>
      <c r="BD544" s="4">
        <v>77917.882353</v>
      </c>
      <c r="BE544" s="4">
        <f>BD544/BD$680*BE$680</f>
        <v>110725.42382630684</v>
      </c>
      <c r="BF544" s="4">
        <v>16403.753126765132</v>
      </c>
      <c r="BG544" s="4">
        <f>BE544+BF544</f>
        <v>127129.17695307198</v>
      </c>
      <c r="BH544" s="4"/>
      <c r="BI544" s="4"/>
      <c r="BJ544" s="4"/>
      <c r="BK544" s="4"/>
      <c r="BL544" s="4"/>
      <c r="BM544" s="4">
        <v>112933</v>
      </c>
      <c r="BN544" s="4">
        <f>BM544/BM$680*BN$680</f>
        <v>112933</v>
      </c>
      <c r="BO544" s="4">
        <v>16048.63256</v>
      </c>
      <c r="BP544" s="4"/>
      <c r="BQ544" s="4">
        <f t="shared" si="73"/>
        <v>6306652.6004977655</v>
      </c>
      <c r="BT544" s="4">
        <f t="shared" si="74"/>
        <v>4355446.743919448</v>
      </c>
      <c r="BW544" s="52"/>
      <c r="BX544" s="4">
        <f t="shared" si="71"/>
        <v>11784769.761740766</v>
      </c>
      <c r="BY544" s="4">
        <f t="shared" si="72"/>
        <v>9938241.303147983</v>
      </c>
    </row>
    <row r="545" spans="1:77" ht="12.75">
      <c r="A545" s="3" t="s">
        <v>1178</v>
      </c>
      <c r="B545" s="3" t="s">
        <v>544</v>
      </c>
      <c r="C545" s="3" t="s">
        <v>1349</v>
      </c>
      <c r="D545" s="3"/>
      <c r="E545" s="4"/>
      <c r="F545" s="4">
        <v>3287776.44269</v>
      </c>
      <c r="G545" s="4">
        <f t="shared" si="67"/>
        <v>3350600.1963719744</v>
      </c>
      <c r="H545" s="4"/>
      <c r="I545" s="4"/>
      <c r="J545" s="4">
        <v>63882.706666</v>
      </c>
      <c r="K545" s="4">
        <f t="shared" si="77"/>
        <v>65103.39532840764</v>
      </c>
      <c r="L545" s="4"/>
      <c r="M545" s="4"/>
      <c r="N545" s="4"/>
      <c r="O545" s="4"/>
      <c r="P545" s="4"/>
      <c r="Q545" s="4"/>
      <c r="R545" s="4"/>
      <c r="S545" s="4"/>
      <c r="T545" s="4">
        <v>45264.709</v>
      </c>
      <c r="U545" s="4">
        <f t="shared" si="65"/>
        <v>46129.639745222936</v>
      </c>
      <c r="V545" s="4"/>
      <c r="W545" s="4"/>
      <c r="X545" s="4"/>
      <c r="Y545" s="4"/>
      <c r="Z545" s="13">
        <f t="shared" si="68"/>
        <v>3396923.858356</v>
      </c>
      <c r="AC545" s="13">
        <f t="shared" si="69"/>
        <v>3461833.231445605</v>
      </c>
      <c r="AF545" s="51"/>
      <c r="AG545" s="4"/>
      <c r="AH545" s="4"/>
      <c r="AI545" s="4"/>
      <c r="AJ545" s="4"/>
      <c r="AK545" s="4"/>
      <c r="AL545" s="4">
        <v>3632265.752615</v>
      </c>
      <c r="AM545" s="4">
        <f t="shared" si="70"/>
        <v>2431953.606520784</v>
      </c>
      <c r="AN545" s="4"/>
      <c r="AO545" s="4"/>
      <c r="AP545" s="4"/>
      <c r="AQ545" s="4"/>
      <c r="AR545" s="4">
        <v>92268.07224</v>
      </c>
      <c r="AS545" s="4">
        <f t="shared" si="78"/>
        <v>90452.58011438725</v>
      </c>
      <c r="AT545" s="4"/>
      <c r="AU545" s="4"/>
      <c r="AV545" s="4"/>
      <c r="AW545" s="4"/>
      <c r="AX545" s="4">
        <v>64211.599703</v>
      </c>
      <c r="AY545" s="4">
        <f t="shared" si="66"/>
        <v>62925.21452995404</v>
      </c>
      <c r="AZ545" s="4"/>
      <c r="BA545" s="4"/>
      <c r="BB545" s="4"/>
      <c r="BC545" s="4"/>
      <c r="BD545" s="4"/>
      <c r="BE545" s="4"/>
      <c r="BF545" s="4"/>
      <c r="BG545" s="4"/>
      <c r="BH545" s="4"/>
      <c r="BI545" s="4"/>
      <c r="BJ545" s="4"/>
      <c r="BK545" s="4"/>
      <c r="BL545" s="4"/>
      <c r="BM545" s="4"/>
      <c r="BN545" s="4"/>
      <c r="BO545" s="4">
        <v>9951.591255</v>
      </c>
      <c r="BP545" s="4"/>
      <c r="BQ545" s="4">
        <f t="shared" si="73"/>
        <v>3798697.015813</v>
      </c>
      <c r="BT545" s="4">
        <f t="shared" si="74"/>
        <v>2585331.4011651254</v>
      </c>
      <c r="BW545" s="52"/>
      <c r="BX545" s="4">
        <f t="shared" si="71"/>
        <v>7195620.8741689995</v>
      </c>
      <c r="BY545" s="4">
        <f t="shared" si="72"/>
        <v>6047164.632610731</v>
      </c>
    </row>
    <row r="546" spans="1:77" ht="12.75">
      <c r="A546" s="3" t="s">
        <v>1179</v>
      </c>
      <c r="B546" s="3" t="s">
        <v>545</v>
      </c>
      <c r="C546" s="3" t="s">
        <v>1349</v>
      </c>
      <c r="D546" s="3"/>
      <c r="E546" s="4"/>
      <c r="F546" s="4">
        <v>2689286.044708</v>
      </c>
      <c r="G546" s="4">
        <f t="shared" si="67"/>
        <v>2740673.6761355414</v>
      </c>
      <c r="H546" s="4"/>
      <c r="I546" s="4"/>
      <c r="J546" s="4">
        <v>52019.857629</v>
      </c>
      <c r="K546" s="4">
        <f t="shared" si="77"/>
        <v>53013.867647388535</v>
      </c>
      <c r="L546" s="4"/>
      <c r="M546" s="4"/>
      <c r="N546" s="4"/>
      <c r="O546" s="4"/>
      <c r="P546" s="4"/>
      <c r="Q546" s="4"/>
      <c r="R546" s="4"/>
      <c r="S546" s="4"/>
      <c r="T546" s="4">
        <v>31778.848552</v>
      </c>
      <c r="U546" s="4">
        <f t="shared" si="65"/>
        <v>32386.08769630573</v>
      </c>
      <c r="V546" s="4"/>
      <c r="W546" s="4"/>
      <c r="X546" s="4"/>
      <c r="Y546" s="4"/>
      <c r="Z546" s="13">
        <f t="shared" si="68"/>
        <v>2773084.750889</v>
      </c>
      <c r="AC546" s="13">
        <f t="shared" si="69"/>
        <v>2826073.631479236</v>
      </c>
      <c r="AF546" s="51"/>
      <c r="AG546" s="4"/>
      <c r="AH546" s="4"/>
      <c r="AI546" s="4"/>
      <c r="AJ546" s="4"/>
      <c r="AK546" s="4"/>
      <c r="AL546" s="4">
        <v>2971066.241714</v>
      </c>
      <c r="AM546" s="4">
        <f t="shared" si="70"/>
        <v>1989252.921966576</v>
      </c>
      <c r="AN546" s="4"/>
      <c r="AO546" s="4"/>
      <c r="AP546" s="4"/>
      <c r="AQ546" s="4"/>
      <c r="AR546" s="4">
        <v>75134.136172</v>
      </c>
      <c r="AS546" s="4">
        <f t="shared" si="78"/>
        <v>73655.7761144692</v>
      </c>
      <c r="AT546" s="4"/>
      <c r="AU546" s="4"/>
      <c r="AV546" s="4"/>
      <c r="AW546" s="4"/>
      <c r="AX546" s="4">
        <v>45080.831122</v>
      </c>
      <c r="AY546" s="4">
        <f t="shared" si="66"/>
        <v>44177.70282411989</v>
      </c>
      <c r="AZ546" s="4"/>
      <c r="BA546" s="4"/>
      <c r="BB546" s="4"/>
      <c r="BC546" s="4"/>
      <c r="BD546" s="4">
        <v>42165.470588</v>
      </c>
      <c r="BE546" s="4">
        <f>BD546/BD$680*BE$680</f>
        <v>59919.3594679645</v>
      </c>
      <c r="BF546" s="4">
        <v>8876.934910344075</v>
      </c>
      <c r="BG546" s="4">
        <f>BE546+BF546</f>
        <v>68796.29437830858</v>
      </c>
      <c r="BH546" s="4"/>
      <c r="BI546" s="4"/>
      <c r="BJ546" s="4"/>
      <c r="BK546" s="4"/>
      <c r="BL546" s="4"/>
      <c r="BM546" s="4"/>
      <c r="BN546" s="4"/>
      <c r="BO546" s="4">
        <v>8123.998979</v>
      </c>
      <c r="BP546" s="4"/>
      <c r="BQ546" s="4">
        <f t="shared" si="73"/>
        <v>3150447.6134853438</v>
      </c>
      <c r="BT546" s="4">
        <f t="shared" si="74"/>
        <v>2175882.6952834735</v>
      </c>
      <c r="BW546" s="52"/>
      <c r="BX546" s="4">
        <f t="shared" si="71"/>
        <v>5923532.364374343</v>
      </c>
      <c r="BY546" s="4">
        <f t="shared" si="72"/>
        <v>5001956.32676271</v>
      </c>
    </row>
    <row r="547" spans="1:77" ht="12.75">
      <c r="A547" s="3" t="s">
        <v>1180</v>
      </c>
      <c r="B547" s="3" t="s">
        <v>546</v>
      </c>
      <c r="C547" s="3" t="s">
        <v>1349</v>
      </c>
      <c r="D547" s="3"/>
      <c r="E547" s="4"/>
      <c r="F547" s="4">
        <v>2900501.080991</v>
      </c>
      <c r="G547" s="4">
        <f t="shared" si="67"/>
        <v>2955924.6685258597</v>
      </c>
      <c r="H547" s="4"/>
      <c r="I547" s="4"/>
      <c r="J547" s="4">
        <v>47440.806862</v>
      </c>
      <c r="K547" s="4">
        <f t="shared" si="77"/>
        <v>48347.319095031846</v>
      </c>
      <c r="L547" s="4"/>
      <c r="M547" s="4"/>
      <c r="N547" s="4"/>
      <c r="O547" s="4"/>
      <c r="P547" s="4"/>
      <c r="Q547" s="4"/>
      <c r="R547" s="4"/>
      <c r="S547" s="4"/>
      <c r="T547" s="4">
        <v>31778.848552</v>
      </c>
      <c r="U547" s="4">
        <f t="shared" si="65"/>
        <v>32386.08769630573</v>
      </c>
      <c r="V547" s="4"/>
      <c r="W547" s="4"/>
      <c r="X547" s="4"/>
      <c r="Y547" s="4"/>
      <c r="Z547" s="13">
        <f t="shared" si="68"/>
        <v>2979720.7364049996</v>
      </c>
      <c r="AC547" s="13">
        <f t="shared" si="69"/>
        <v>3036658.0753171975</v>
      </c>
      <c r="AF547" s="51"/>
      <c r="AG547" s="4"/>
      <c r="AH547" s="4"/>
      <c r="AI547" s="4"/>
      <c r="AJ547" s="4"/>
      <c r="AK547" s="4"/>
      <c r="AL547" s="4">
        <v>3204412.138584</v>
      </c>
      <c r="AM547" s="4">
        <f t="shared" si="70"/>
        <v>2145487.7445566547</v>
      </c>
      <c r="AN547" s="4"/>
      <c r="AO547" s="4"/>
      <c r="AP547" s="4"/>
      <c r="AQ547" s="4"/>
      <c r="AR547" s="4">
        <v>68520.449792</v>
      </c>
      <c r="AS547" s="4">
        <f t="shared" si="78"/>
        <v>67172.22245809359</v>
      </c>
      <c r="AT547" s="4"/>
      <c r="AU547" s="4"/>
      <c r="AV547" s="4"/>
      <c r="AW547" s="4"/>
      <c r="AX547" s="4">
        <v>45080.831122</v>
      </c>
      <c r="AY547" s="4">
        <f t="shared" si="66"/>
        <v>44177.70282411989</v>
      </c>
      <c r="AZ547" s="4"/>
      <c r="BA547" s="4"/>
      <c r="BB547" s="4"/>
      <c r="BC547" s="4"/>
      <c r="BD547" s="4">
        <v>18670.294118</v>
      </c>
      <c r="BE547" s="4">
        <f>BD547/BD$680*BE$680</f>
        <v>26531.473478857442</v>
      </c>
      <c r="BF547" s="4">
        <v>3930.5854608351715</v>
      </c>
      <c r="BG547" s="4">
        <f>BE547+BF547</f>
        <v>30462.058939692615</v>
      </c>
      <c r="BH547" s="4">
        <v>46494</v>
      </c>
      <c r="BI547" s="4">
        <v>47251</v>
      </c>
      <c r="BJ547" s="4"/>
      <c r="BK547" s="4">
        <f>BI547</f>
        <v>47251</v>
      </c>
      <c r="BL547" s="4">
        <f aca="true" t="shared" si="79" ref="BL547:BL596">BH547+BK547</f>
        <v>93745</v>
      </c>
      <c r="BM547" s="4"/>
      <c r="BN547" s="4"/>
      <c r="BO547" s="4">
        <v>8729.357519</v>
      </c>
      <c r="BP547" s="4"/>
      <c r="BQ547" s="4">
        <f t="shared" si="73"/>
        <v>3443088.6565958355</v>
      </c>
      <c r="BT547" s="4">
        <f t="shared" si="74"/>
        <v>2381044.7287785606</v>
      </c>
      <c r="BW547" s="52"/>
      <c r="BX547" s="4">
        <f t="shared" si="71"/>
        <v>6422809.393000836</v>
      </c>
      <c r="BY547" s="4">
        <f t="shared" si="72"/>
        <v>5417702.804095758</v>
      </c>
    </row>
    <row r="548" spans="1:77" ht="12.75">
      <c r="A548" s="3" t="s">
        <v>1181</v>
      </c>
      <c r="B548" s="3" t="s">
        <v>547</v>
      </c>
      <c r="C548" s="3" t="s">
        <v>1349</v>
      </c>
      <c r="D548" s="3"/>
      <c r="E548" s="4"/>
      <c r="F548" s="4">
        <v>3160662.602196</v>
      </c>
      <c r="G548" s="4">
        <f t="shared" si="67"/>
        <v>3221057.4289895543</v>
      </c>
      <c r="H548" s="4"/>
      <c r="I548" s="4"/>
      <c r="J548" s="4">
        <v>64067.204576</v>
      </c>
      <c r="K548" s="4">
        <f t="shared" si="77"/>
        <v>65291.41867617834</v>
      </c>
      <c r="L548" s="4"/>
      <c r="M548" s="4"/>
      <c r="N548" s="4"/>
      <c r="O548" s="4"/>
      <c r="P548" s="4"/>
      <c r="Q548" s="4"/>
      <c r="R548" s="4"/>
      <c r="S548" s="4"/>
      <c r="T548" s="4">
        <v>43118.342591</v>
      </c>
      <c r="U548" s="4">
        <f t="shared" si="65"/>
        <v>43942.25996535032</v>
      </c>
      <c r="V548" s="4"/>
      <c r="W548" s="4"/>
      <c r="X548" s="4"/>
      <c r="Y548" s="4"/>
      <c r="Z548" s="13">
        <f t="shared" si="68"/>
        <v>3267848.149363</v>
      </c>
      <c r="AC548" s="13">
        <f t="shared" si="69"/>
        <v>3330291.107631083</v>
      </c>
      <c r="AF548" s="51"/>
      <c r="AG548" s="4"/>
      <c r="AH548" s="4"/>
      <c r="AI548" s="4"/>
      <c r="AJ548" s="4"/>
      <c r="AK548" s="4"/>
      <c r="AL548" s="4">
        <v>3491833.074919</v>
      </c>
      <c r="AM548" s="4">
        <f t="shared" si="70"/>
        <v>2337928.064267913</v>
      </c>
      <c r="AN548" s="4"/>
      <c r="AO548" s="4"/>
      <c r="AP548" s="4"/>
      <c r="AQ548" s="4"/>
      <c r="AR548" s="4">
        <v>92534.549153</v>
      </c>
      <c r="AS548" s="4">
        <f t="shared" si="78"/>
        <v>90713.8137538966</v>
      </c>
      <c r="AT548" s="4"/>
      <c r="AU548" s="4"/>
      <c r="AV548" s="4"/>
      <c r="AW548" s="4"/>
      <c r="AX548" s="4">
        <v>61166.807772</v>
      </c>
      <c r="AY548" s="4">
        <f t="shared" si="66"/>
        <v>59941.42053722633</v>
      </c>
      <c r="AZ548" s="4"/>
      <c r="BA548" s="4"/>
      <c r="BB548" s="4"/>
      <c r="BC548" s="4"/>
      <c r="BD548" s="4">
        <v>34553.176471</v>
      </c>
      <c r="BE548" s="4">
        <f>BD548/BD$680*BE$680</f>
        <v>49101.887702282285</v>
      </c>
      <c r="BF548" s="4">
        <v>7274.3478064250885</v>
      </c>
      <c r="BG548" s="4">
        <f>BE548+BF548</f>
        <v>56376.235508707374</v>
      </c>
      <c r="BH548" s="4"/>
      <c r="BI548" s="4">
        <v>67241</v>
      </c>
      <c r="BJ548" s="4"/>
      <c r="BK548" s="4">
        <f>BI548</f>
        <v>67241</v>
      </c>
      <c r="BL548" s="4">
        <f t="shared" si="79"/>
        <v>67241</v>
      </c>
      <c r="BM548" s="4"/>
      <c r="BN548" s="4"/>
      <c r="BO548" s="4">
        <v>9573.452459</v>
      </c>
      <c r="BP548" s="4"/>
      <c r="BQ548" s="4">
        <f t="shared" si="73"/>
        <v>3764176.408580425</v>
      </c>
      <c r="BT548" s="4">
        <f t="shared" si="74"/>
        <v>2612200.534067743</v>
      </c>
      <c r="BW548" s="52"/>
      <c r="BX548" s="4">
        <f t="shared" si="71"/>
        <v>7032024.557943425</v>
      </c>
      <c r="BY548" s="4">
        <f t="shared" si="72"/>
        <v>5942491.641698826</v>
      </c>
    </row>
    <row r="549" spans="1:77" ht="12.75">
      <c r="A549" s="3" t="s">
        <v>1182</v>
      </c>
      <c r="B549" s="3" t="s">
        <v>548</v>
      </c>
      <c r="C549" s="3" t="s">
        <v>1349</v>
      </c>
      <c r="D549" s="3"/>
      <c r="E549" s="4"/>
      <c r="F549" s="4">
        <v>2607242.696634</v>
      </c>
      <c r="G549" s="4">
        <f t="shared" si="67"/>
        <v>2657062.6207735036</v>
      </c>
      <c r="H549" s="4"/>
      <c r="I549" s="4"/>
      <c r="J549" s="4">
        <v>58665.447897</v>
      </c>
      <c r="K549" s="4">
        <f t="shared" si="77"/>
        <v>59786.44371668789</v>
      </c>
      <c r="L549" s="4"/>
      <c r="M549" s="4"/>
      <c r="N549" s="4"/>
      <c r="O549" s="4"/>
      <c r="P549" s="4"/>
      <c r="Q549" s="4"/>
      <c r="R549" s="4"/>
      <c r="S549" s="4"/>
      <c r="T549" s="4">
        <v>26109.101532</v>
      </c>
      <c r="U549" s="4">
        <f t="shared" si="65"/>
        <v>26608.001561273886</v>
      </c>
      <c r="V549" s="4"/>
      <c r="W549" s="4"/>
      <c r="X549" s="4"/>
      <c r="Y549" s="4"/>
      <c r="Z549" s="13">
        <f t="shared" si="68"/>
        <v>2692017.246063</v>
      </c>
      <c r="AC549" s="13">
        <f t="shared" si="69"/>
        <v>2743457.0660514655</v>
      </c>
      <c r="AF549" s="51"/>
      <c r="AG549" s="4"/>
      <c r="AH549" s="4"/>
      <c r="AI549" s="4"/>
      <c r="AJ549" s="4"/>
      <c r="AK549" s="4"/>
      <c r="AL549" s="4">
        <v>2880426.489092</v>
      </c>
      <c r="AM549" s="4">
        <f t="shared" si="70"/>
        <v>1928565.8224269766</v>
      </c>
      <c r="AN549" s="4"/>
      <c r="AO549" s="4"/>
      <c r="AP549" s="4"/>
      <c r="AQ549" s="4"/>
      <c r="AR549" s="4">
        <v>84732.599276</v>
      </c>
      <c r="AS549" s="4">
        <f t="shared" si="78"/>
        <v>83065.37720195313</v>
      </c>
      <c r="AT549" s="4"/>
      <c r="AU549" s="4"/>
      <c r="AV549" s="4"/>
      <c r="AW549" s="4"/>
      <c r="AX549" s="4">
        <v>37037.842797</v>
      </c>
      <c r="AY549" s="4">
        <f t="shared" si="66"/>
        <v>36295.84396756666</v>
      </c>
      <c r="AZ549" s="4"/>
      <c r="BA549" s="4"/>
      <c r="BB549" s="4"/>
      <c r="BC549" s="4"/>
      <c r="BD549" s="4">
        <v>55621.941176</v>
      </c>
      <c r="BE549" s="4">
        <f>BD549/BD$680*BE$680</f>
        <v>79041.71449183876</v>
      </c>
      <c r="BF549" s="4">
        <v>11709.874087041671</v>
      </c>
      <c r="BG549" s="4">
        <f>BE549+BF549</f>
        <v>90751.58857888043</v>
      </c>
      <c r="BH549" s="4"/>
      <c r="BI549" s="4">
        <v>59462</v>
      </c>
      <c r="BJ549" s="4"/>
      <c r="BK549" s="4">
        <f>BI549</f>
        <v>59462</v>
      </c>
      <c r="BL549" s="4">
        <f t="shared" si="79"/>
        <v>59462</v>
      </c>
      <c r="BM549" s="4"/>
      <c r="BN549" s="4"/>
      <c r="BO549" s="4">
        <v>7886.504497</v>
      </c>
      <c r="BP549" s="4"/>
      <c r="BQ549" s="4">
        <f t="shared" si="73"/>
        <v>3136877.2509250417</v>
      </c>
      <c r="BT549" s="4">
        <f t="shared" si="74"/>
        <v>2198140.632175377</v>
      </c>
      <c r="BW549" s="52"/>
      <c r="BX549" s="4">
        <f t="shared" si="71"/>
        <v>5828894.496988041</v>
      </c>
      <c r="BY549" s="4">
        <f t="shared" si="72"/>
        <v>4941597.698226843</v>
      </c>
    </row>
    <row r="550" spans="1:77" ht="12.75">
      <c r="A550" s="3" t="s">
        <v>1183</v>
      </c>
      <c r="B550" s="3" t="s">
        <v>549</v>
      </c>
      <c r="C550" s="3" t="s">
        <v>1349</v>
      </c>
      <c r="D550" s="3"/>
      <c r="E550" s="4"/>
      <c r="F550" s="4">
        <v>3439055.304029</v>
      </c>
      <c r="G550" s="4">
        <f t="shared" si="67"/>
        <v>3504769.7365900637</v>
      </c>
      <c r="H550" s="4"/>
      <c r="I550" s="4"/>
      <c r="J550" s="4">
        <v>29913.098168</v>
      </c>
      <c r="K550" s="4">
        <f t="shared" si="77"/>
        <v>30484.6860310828</v>
      </c>
      <c r="L550" s="4"/>
      <c r="M550" s="4"/>
      <c r="N550" s="4"/>
      <c r="O550" s="4"/>
      <c r="P550" s="4"/>
      <c r="Q550" s="4"/>
      <c r="R550" s="4"/>
      <c r="S550" s="4"/>
      <c r="T550" s="4">
        <v>57292.913779</v>
      </c>
      <c r="U550" s="4">
        <f t="shared" si="65"/>
        <v>58387.68283210191</v>
      </c>
      <c r="V550" s="4"/>
      <c r="W550" s="4"/>
      <c r="X550" s="4"/>
      <c r="Y550" s="4"/>
      <c r="Z550" s="13">
        <f t="shared" si="68"/>
        <v>3526261.315976</v>
      </c>
      <c r="AC550" s="13">
        <f t="shared" si="69"/>
        <v>3593642.105453248</v>
      </c>
      <c r="AF550" s="51"/>
      <c r="AG550" s="4"/>
      <c r="AH550" s="4"/>
      <c r="AI550" s="4"/>
      <c r="AJ550" s="4"/>
      <c r="AK550" s="4"/>
      <c r="AL550" s="4">
        <v>3799395.433332</v>
      </c>
      <c r="AM550" s="4">
        <f t="shared" si="70"/>
        <v>2543853.9071757556</v>
      </c>
      <c r="AN550" s="4"/>
      <c r="AO550" s="4"/>
      <c r="AP550" s="4"/>
      <c r="AQ550" s="4"/>
      <c r="AR550" s="4">
        <v>43204.554827</v>
      </c>
      <c r="AS550" s="4">
        <f t="shared" si="78"/>
        <v>42354.450048881336</v>
      </c>
      <c r="AT550" s="4"/>
      <c r="AU550" s="4"/>
      <c r="AV550" s="4"/>
      <c r="AW550" s="4"/>
      <c r="AX550" s="4">
        <v>81274.567465</v>
      </c>
      <c r="AY550" s="4">
        <f t="shared" si="66"/>
        <v>79646.35077181249</v>
      </c>
      <c r="AZ550" s="4"/>
      <c r="BA550" s="4"/>
      <c r="BB550" s="4"/>
      <c r="BC550" s="4"/>
      <c r="BD550" s="4">
        <v>55409.588235</v>
      </c>
      <c r="BE550" s="4">
        <f>BD550/BD$680*BE$680</f>
        <v>78739.94975333542</v>
      </c>
      <c r="BF550" s="4">
        <v>11665.16823628298</v>
      </c>
      <c r="BG550" s="4">
        <f>BE550+BF550</f>
        <v>90405.11798961839</v>
      </c>
      <c r="BH550" s="4"/>
      <c r="BI550" s="4">
        <v>30719</v>
      </c>
      <c r="BJ550" s="4"/>
      <c r="BK550" s="4">
        <f>BI550</f>
        <v>30719</v>
      </c>
      <c r="BL550" s="4">
        <f t="shared" si="79"/>
        <v>30719</v>
      </c>
      <c r="BM550" s="4"/>
      <c r="BN550" s="4"/>
      <c r="BO550" s="4">
        <v>10330.496867</v>
      </c>
      <c r="BP550" s="4"/>
      <c r="BQ550" s="4">
        <f t="shared" si="73"/>
        <v>4031998.808962283</v>
      </c>
      <c r="BT550" s="4">
        <f t="shared" si="74"/>
        <v>2786978.8259860678</v>
      </c>
      <c r="BW550" s="52"/>
      <c r="BX550" s="4">
        <f t="shared" si="71"/>
        <v>7558260.124938283</v>
      </c>
      <c r="BY550" s="4">
        <f t="shared" si="72"/>
        <v>6380620.931439316</v>
      </c>
    </row>
    <row r="551" spans="1:77" ht="12.75">
      <c r="A551" s="3" t="s">
        <v>1184</v>
      </c>
      <c r="B551" s="3" t="s">
        <v>550</v>
      </c>
      <c r="C551" s="3" t="s">
        <v>1349</v>
      </c>
      <c r="D551" s="3"/>
      <c r="E551" s="4"/>
      <c r="F551" s="4">
        <v>2462496.106197</v>
      </c>
      <c r="G551" s="4">
        <f t="shared" si="67"/>
        <v>2509550.1719205095</v>
      </c>
      <c r="H551" s="4"/>
      <c r="I551" s="4"/>
      <c r="J551" s="4">
        <v>52519.997658</v>
      </c>
      <c r="K551" s="4">
        <f t="shared" si="77"/>
        <v>53523.5644922293</v>
      </c>
      <c r="L551" s="4"/>
      <c r="M551" s="4"/>
      <c r="N551" s="4"/>
      <c r="O551" s="4"/>
      <c r="P551" s="4"/>
      <c r="Q551" s="4"/>
      <c r="R551" s="4"/>
      <c r="S551" s="4"/>
      <c r="T551" s="4">
        <v>45953.41974</v>
      </c>
      <c r="U551" s="4">
        <f t="shared" si="65"/>
        <v>46831.51056305732</v>
      </c>
      <c r="V551" s="4"/>
      <c r="W551" s="4"/>
      <c r="X551" s="4"/>
      <c r="Y551" s="4"/>
      <c r="Z551" s="13">
        <f t="shared" si="68"/>
        <v>2560969.5235949997</v>
      </c>
      <c r="AC551" s="13">
        <f t="shared" si="69"/>
        <v>2609905.2469757963</v>
      </c>
      <c r="AF551" s="51"/>
      <c r="AG551" s="4"/>
      <c r="AH551" s="4"/>
      <c r="AI551" s="4"/>
      <c r="AJ551" s="4"/>
      <c r="AK551" s="4"/>
      <c r="AL551" s="4">
        <v>2720513.522862</v>
      </c>
      <c r="AM551" s="4">
        <f t="shared" si="70"/>
        <v>1821497.4134944803</v>
      </c>
      <c r="AN551" s="4"/>
      <c r="AO551" s="4"/>
      <c r="AP551" s="4"/>
      <c r="AQ551" s="4"/>
      <c r="AR551" s="4">
        <v>75856.506258</v>
      </c>
      <c r="AS551" s="4">
        <f t="shared" si="78"/>
        <v>74363.9326467331</v>
      </c>
      <c r="AT551" s="4"/>
      <c r="AU551" s="4"/>
      <c r="AV551" s="4"/>
      <c r="AW551" s="4"/>
      <c r="AX551" s="4">
        <v>65188.590814</v>
      </c>
      <c r="AY551" s="4">
        <f t="shared" si="66"/>
        <v>63882.63305772607</v>
      </c>
      <c r="AZ551" s="4"/>
      <c r="BA551" s="4"/>
      <c r="BB551" s="4"/>
      <c r="BC551" s="4"/>
      <c r="BD551" s="4"/>
      <c r="BE551" s="4"/>
      <c r="BF551" s="4"/>
      <c r="BG551" s="4"/>
      <c r="BH551" s="4">
        <v>53365</v>
      </c>
      <c r="BI551" s="4">
        <v>52524</v>
      </c>
      <c r="BJ551" s="4"/>
      <c r="BK551" s="4">
        <f aca="true" t="shared" si="80" ref="BK551:BK600">BI551</f>
        <v>52524</v>
      </c>
      <c r="BL551" s="4">
        <f t="shared" si="79"/>
        <v>105889</v>
      </c>
      <c r="BM551" s="4"/>
      <c r="BN551" s="4"/>
      <c r="BO551" s="4">
        <v>7502.588512</v>
      </c>
      <c r="BP551" s="4"/>
      <c r="BQ551" s="4">
        <f t="shared" si="73"/>
        <v>2974950.2084460002</v>
      </c>
      <c r="BT551" s="4">
        <f t="shared" si="74"/>
        <v>2065632.9791989394</v>
      </c>
      <c r="BW551" s="52"/>
      <c r="BX551" s="4">
        <f t="shared" si="71"/>
        <v>5535919.732040999</v>
      </c>
      <c r="BY551" s="4">
        <f t="shared" si="72"/>
        <v>4675538.226174735</v>
      </c>
    </row>
    <row r="552" spans="1:77" ht="12.75">
      <c r="A552" s="3" t="s">
        <v>1185</v>
      </c>
      <c r="B552" s="3" t="s">
        <v>551</v>
      </c>
      <c r="C552" s="3" t="s">
        <v>1349</v>
      </c>
      <c r="D552" s="3"/>
      <c r="E552" s="4"/>
      <c r="F552" s="4">
        <v>3344619.760404</v>
      </c>
      <c r="G552" s="4">
        <f t="shared" si="67"/>
        <v>3408529.692131465</v>
      </c>
      <c r="H552" s="4"/>
      <c r="I552" s="4"/>
      <c r="J552" s="4">
        <v>46954.107078</v>
      </c>
      <c r="K552" s="4">
        <f t="shared" si="77"/>
        <v>47851.319315159235</v>
      </c>
      <c r="L552" s="4"/>
      <c r="M552" s="4"/>
      <c r="N552" s="4"/>
      <c r="O552" s="4"/>
      <c r="P552" s="4"/>
      <c r="Q552" s="4"/>
      <c r="R552" s="4"/>
      <c r="S552" s="4"/>
      <c r="T552" s="4">
        <v>28944.178682</v>
      </c>
      <c r="U552" s="4">
        <f t="shared" si="65"/>
        <v>29497.25216</v>
      </c>
      <c r="V552" s="4"/>
      <c r="W552" s="4"/>
      <c r="X552" s="4"/>
      <c r="Y552" s="4"/>
      <c r="Z552" s="13">
        <f t="shared" si="68"/>
        <v>3420518.046164</v>
      </c>
      <c r="AC552" s="13">
        <f t="shared" si="69"/>
        <v>3485878.263606624</v>
      </c>
      <c r="AF552" s="51"/>
      <c r="AG552" s="4"/>
      <c r="AH552" s="4"/>
      <c r="AI552" s="4"/>
      <c r="AJ552" s="4"/>
      <c r="AK552" s="4"/>
      <c r="AL552" s="4">
        <v>3695065.045631</v>
      </c>
      <c r="AM552" s="4">
        <f t="shared" si="70"/>
        <v>2474000.3557233345</v>
      </c>
      <c r="AN552" s="4"/>
      <c r="AO552" s="4"/>
      <c r="AP552" s="4"/>
      <c r="AQ552" s="4"/>
      <c r="AR552" s="4">
        <v>67817.491931</v>
      </c>
      <c r="AS552" s="4">
        <f t="shared" si="78"/>
        <v>66483.09619051806</v>
      </c>
      <c r="AT552" s="4"/>
      <c r="AU552" s="4"/>
      <c r="AV552" s="4"/>
      <c r="AW552" s="4"/>
      <c r="AX552" s="4">
        <v>41059.625839</v>
      </c>
      <c r="AY552" s="4">
        <f t="shared" si="66"/>
        <v>40237.05648806641</v>
      </c>
      <c r="AZ552" s="4"/>
      <c r="BA552" s="4"/>
      <c r="BB552" s="4"/>
      <c r="BC552" s="4"/>
      <c r="BD552" s="4"/>
      <c r="BE552" s="4"/>
      <c r="BF552" s="4"/>
      <c r="BG552" s="4"/>
      <c r="BH552" s="4">
        <v>46424</v>
      </c>
      <c r="BI552" s="4">
        <v>47178</v>
      </c>
      <c r="BJ552" s="4"/>
      <c r="BK552" s="4">
        <f t="shared" si="80"/>
        <v>47178</v>
      </c>
      <c r="BL552" s="4">
        <f t="shared" si="79"/>
        <v>93602</v>
      </c>
      <c r="BM552" s="4">
        <v>1864318</v>
      </c>
      <c r="BN552" s="4">
        <f>BM552/BM$680*BN$680</f>
        <v>1864318</v>
      </c>
      <c r="BO552" s="4">
        <v>10020.712532</v>
      </c>
      <c r="BP552" s="4"/>
      <c r="BQ552" s="4">
        <f t="shared" si="73"/>
        <v>5771882.875933</v>
      </c>
      <c r="BT552" s="4">
        <f t="shared" si="74"/>
        <v>4538640.508401919</v>
      </c>
      <c r="BW552" s="52"/>
      <c r="BX552" s="4">
        <f t="shared" si="71"/>
        <v>9192400.922097</v>
      </c>
      <c r="BY552" s="4">
        <f t="shared" si="72"/>
        <v>8024518.772008544</v>
      </c>
    </row>
    <row r="553" spans="1:77" ht="12.75">
      <c r="A553" s="3" t="s">
        <v>1186</v>
      </c>
      <c r="B553" s="3" t="s">
        <v>552</v>
      </c>
      <c r="C553" s="3" t="s">
        <v>1349</v>
      </c>
      <c r="D553" s="3"/>
      <c r="E553" s="4"/>
      <c r="F553" s="4">
        <v>2765308.522033</v>
      </c>
      <c r="G553" s="4">
        <f t="shared" si="67"/>
        <v>2818148.81226293</v>
      </c>
      <c r="H553" s="4"/>
      <c r="I553" s="4"/>
      <c r="J553" s="4">
        <v>58295.637518</v>
      </c>
      <c r="K553" s="4">
        <f t="shared" si="77"/>
        <v>59409.56689732485</v>
      </c>
      <c r="L553" s="4"/>
      <c r="M553" s="4"/>
      <c r="N553" s="4"/>
      <c r="O553" s="4"/>
      <c r="P553" s="4"/>
      <c r="Q553" s="4"/>
      <c r="R553" s="4"/>
      <c r="S553" s="4"/>
      <c r="T553" s="4">
        <v>48788.08961</v>
      </c>
      <c r="U553" s="4">
        <f t="shared" si="65"/>
        <v>49720.34609936306</v>
      </c>
      <c r="V553" s="4"/>
      <c r="W553" s="4"/>
      <c r="X553" s="4"/>
      <c r="Y553" s="4"/>
      <c r="Z553" s="13">
        <f t="shared" si="68"/>
        <v>2872392.249161</v>
      </c>
      <c r="AC553" s="13">
        <f t="shared" si="69"/>
        <v>2927278.725259618</v>
      </c>
      <c r="AF553" s="51"/>
      <c r="AG553" s="4"/>
      <c r="AH553" s="4"/>
      <c r="AI553" s="4"/>
      <c r="AJ553" s="4"/>
      <c r="AK553" s="4"/>
      <c r="AL553" s="4">
        <v>3055054.263901</v>
      </c>
      <c r="AM553" s="4">
        <f t="shared" si="70"/>
        <v>2045486.4102005172</v>
      </c>
      <c r="AN553" s="4"/>
      <c r="AO553" s="4"/>
      <c r="AP553" s="4"/>
      <c r="AQ553" s="4"/>
      <c r="AR553" s="4">
        <v>84198.468952</v>
      </c>
      <c r="AS553" s="4">
        <f t="shared" si="78"/>
        <v>82541.75657403469</v>
      </c>
      <c r="AT553" s="4"/>
      <c r="AU553" s="4"/>
      <c r="AV553" s="4"/>
      <c r="AW553" s="4"/>
      <c r="AX553" s="4">
        <v>69209.796097</v>
      </c>
      <c r="AY553" s="4">
        <f t="shared" si="66"/>
        <v>67823.27939377955</v>
      </c>
      <c r="AZ553" s="4"/>
      <c r="BA553" s="4"/>
      <c r="BB553" s="4"/>
      <c r="BC553" s="4"/>
      <c r="BD553" s="4">
        <v>56738.470588</v>
      </c>
      <c r="BE553" s="4">
        <f>BD553/BD$680*BE$680</f>
        <v>80628.36172383296</v>
      </c>
      <c r="BF553" s="4">
        <v>11944.932744696722</v>
      </c>
      <c r="BG553" s="4">
        <f>BE553+BF553</f>
        <v>92573.29446852968</v>
      </c>
      <c r="BH553" s="4">
        <v>57760</v>
      </c>
      <c r="BI553" s="4">
        <v>57748</v>
      </c>
      <c r="BJ553" s="4"/>
      <c r="BK553" s="4">
        <f t="shared" si="80"/>
        <v>57748</v>
      </c>
      <c r="BL553" s="4">
        <f t="shared" si="79"/>
        <v>115508</v>
      </c>
      <c r="BM553" s="4"/>
      <c r="BN553" s="4"/>
      <c r="BO553" s="4">
        <v>8414.929148</v>
      </c>
      <c r="BP553" s="4"/>
      <c r="BQ553" s="4">
        <f t="shared" si="73"/>
        <v>3401068.861430697</v>
      </c>
      <c r="BT553" s="4">
        <f t="shared" si="74"/>
        <v>2403932.740636861</v>
      </c>
      <c r="BW553" s="52"/>
      <c r="BX553" s="4">
        <f t="shared" si="71"/>
        <v>6273461.110591697</v>
      </c>
      <c r="BY553" s="4">
        <f t="shared" si="72"/>
        <v>5331211.465896479</v>
      </c>
    </row>
    <row r="554" spans="1:77" ht="12.75">
      <c r="A554" s="3" t="s">
        <v>1187</v>
      </c>
      <c r="B554" s="3" t="s">
        <v>553</v>
      </c>
      <c r="C554" s="3" t="s">
        <v>1349</v>
      </c>
      <c r="D554" s="3"/>
      <c r="E554" s="4"/>
      <c r="F554" s="4">
        <v>5101239.228033</v>
      </c>
      <c r="G554" s="4">
        <f t="shared" si="67"/>
        <v>5198715.136848917</v>
      </c>
      <c r="H554" s="4"/>
      <c r="I554" s="4"/>
      <c r="J554" s="4">
        <v>93753.854978</v>
      </c>
      <c r="K554" s="4">
        <f t="shared" si="77"/>
        <v>95545.32991388535</v>
      </c>
      <c r="L554" s="4"/>
      <c r="M554" s="4"/>
      <c r="N554" s="4"/>
      <c r="O554" s="4"/>
      <c r="P554" s="4"/>
      <c r="Q554" s="4"/>
      <c r="R554" s="4"/>
      <c r="S554" s="4"/>
      <c r="T554" s="4">
        <v>136669.372052</v>
      </c>
      <c r="U554" s="4">
        <f aca="true" t="shared" si="81" ref="U554:U617">T554*RPI_inc</f>
        <v>139280.888715414</v>
      </c>
      <c r="V554" s="4"/>
      <c r="W554" s="4"/>
      <c r="X554" s="4"/>
      <c r="Y554" s="4"/>
      <c r="Z554" s="13">
        <f t="shared" si="68"/>
        <v>5331662.455062999</v>
      </c>
      <c r="AC554" s="13">
        <f t="shared" si="69"/>
        <v>5433541.355478217</v>
      </c>
      <c r="AF554" s="51"/>
      <c r="AG554" s="4"/>
      <c r="AH554" s="4"/>
      <c r="AI554" s="4"/>
      <c r="AJ554" s="4"/>
      <c r="AK554" s="4"/>
      <c r="AL554" s="4">
        <v>5635741.014288</v>
      </c>
      <c r="AM554" s="4">
        <f t="shared" si="70"/>
        <v>3773363.9602904757</v>
      </c>
      <c r="AN554" s="4"/>
      <c r="AO554" s="4"/>
      <c r="AP554" s="4"/>
      <c r="AQ554" s="4"/>
      <c r="AR554" s="4">
        <v>135412.037394</v>
      </c>
      <c r="AS554" s="4">
        <f t="shared" si="78"/>
        <v>132747.6326694434</v>
      </c>
      <c r="AT554" s="4"/>
      <c r="AU554" s="4"/>
      <c r="AV554" s="4"/>
      <c r="AW554" s="4"/>
      <c r="AX554" s="4">
        <v>193876.404016</v>
      </c>
      <c r="AY554" s="4">
        <f aca="true" t="shared" si="82" ref="AY554:AY617">AX554/$AX$680*$AY$680</f>
        <v>189992.37476453753</v>
      </c>
      <c r="AZ554" s="4"/>
      <c r="BA554" s="4"/>
      <c r="BB554" s="4"/>
      <c r="BC554" s="4"/>
      <c r="BD554" s="4"/>
      <c r="BE554" s="4"/>
      <c r="BF554" s="4"/>
      <c r="BG554" s="4"/>
      <c r="BH554" s="4"/>
      <c r="BI554" s="4"/>
      <c r="BJ554" s="4"/>
      <c r="BK554" s="4"/>
      <c r="BL554" s="4"/>
      <c r="BM554" s="4"/>
      <c r="BN554" s="4"/>
      <c r="BO554" s="4">
        <v>15619.580443</v>
      </c>
      <c r="BP554" s="4"/>
      <c r="BQ554" s="4">
        <f t="shared" si="73"/>
        <v>5980649.036141001</v>
      </c>
      <c r="BT554" s="4">
        <f t="shared" si="74"/>
        <v>4096103.9677244565</v>
      </c>
      <c r="BW554" s="52"/>
      <c r="BX554" s="4">
        <f t="shared" si="71"/>
        <v>11312311.491204001</v>
      </c>
      <c r="BY554" s="4">
        <f t="shared" si="72"/>
        <v>9529645.323202673</v>
      </c>
    </row>
    <row r="555" spans="1:77" ht="12.75">
      <c r="A555" s="3" t="s">
        <v>1188</v>
      </c>
      <c r="B555" s="3" t="s">
        <v>554</v>
      </c>
      <c r="C555" s="3" t="s">
        <v>1349</v>
      </c>
      <c r="D555" s="3"/>
      <c r="E555" s="4"/>
      <c r="F555" s="4">
        <v>2638131.35132</v>
      </c>
      <c r="G555" s="4">
        <f aca="true" t="shared" si="83" ref="G555:G618">F555*RPI_inc</f>
        <v>2688541.5045299362</v>
      </c>
      <c r="H555" s="4"/>
      <c r="I555" s="4"/>
      <c r="J555" s="4">
        <v>61860.153423</v>
      </c>
      <c r="K555" s="4">
        <f t="shared" si="77"/>
        <v>63042.194571210195</v>
      </c>
      <c r="L555" s="4"/>
      <c r="M555" s="4"/>
      <c r="N555" s="4"/>
      <c r="O555" s="4"/>
      <c r="P555" s="4"/>
      <c r="Q555" s="4"/>
      <c r="R555" s="4"/>
      <c r="S555" s="4"/>
      <c r="T555" s="4">
        <v>79971.901857</v>
      </c>
      <c r="U555" s="4">
        <f t="shared" si="81"/>
        <v>81500.02737019109</v>
      </c>
      <c r="V555" s="4"/>
      <c r="W555" s="4"/>
      <c r="X555" s="4"/>
      <c r="Y555" s="4"/>
      <c r="Z555" s="13">
        <f aca="true" t="shared" si="84" ref="Z555:Z618">D555+F555+H555+J555+L555+N555+P555+R555+T555+V555+X555</f>
        <v>2779963.4066</v>
      </c>
      <c r="AC555" s="13">
        <f aca="true" t="shared" si="85" ref="AC555:AC618">E555+G555+I555+K555+M555+O555+Q555+S555+U555+W555+Y555</f>
        <v>2833083.7264713375</v>
      </c>
      <c r="AF555" s="51"/>
      <c r="AG555" s="4"/>
      <c r="AH555" s="4"/>
      <c r="AI555" s="4"/>
      <c r="AJ555" s="4"/>
      <c r="AK555" s="4"/>
      <c r="AL555" s="4">
        <v>2914551.620322</v>
      </c>
      <c r="AM555" s="4">
        <f aca="true" t="shared" si="86" ref="AM555:AM618">AL555/$AL$680*$AM$680</f>
        <v>1951414.0228671688</v>
      </c>
      <c r="AN555" s="4"/>
      <c r="AO555" s="4"/>
      <c r="AP555" s="4"/>
      <c r="AQ555" s="4"/>
      <c r="AR555" s="4">
        <v>89346.826437</v>
      </c>
      <c r="AS555" s="4">
        <f t="shared" si="78"/>
        <v>87588.81355229446</v>
      </c>
      <c r="AT555" s="4"/>
      <c r="AU555" s="4"/>
      <c r="AV555" s="4"/>
      <c r="AW555" s="4"/>
      <c r="AX555" s="4">
        <v>113446.520765</v>
      </c>
      <c r="AY555" s="4">
        <f t="shared" si="82"/>
        <v>111173.78619802535</v>
      </c>
      <c r="AZ555" s="4"/>
      <c r="BA555" s="4"/>
      <c r="BB555" s="4"/>
      <c r="BC555" s="4"/>
      <c r="BD555" s="4">
        <v>33450.058824</v>
      </c>
      <c r="BE555" s="4">
        <f>BD555/BD$680*BE$680</f>
        <v>47534.29929631156</v>
      </c>
      <c r="BF555" s="4">
        <v>7042.112676250643</v>
      </c>
      <c r="BG555" s="4">
        <f>BE555+BF555</f>
        <v>54576.4119725622</v>
      </c>
      <c r="BH555" s="4">
        <v>62321</v>
      </c>
      <c r="BI555" s="4">
        <v>63185</v>
      </c>
      <c r="BJ555" s="4"/>
      <c r="BK555" s="4">
        <f t="shared" si="80"/>
        <v>63185</v>
      </c>
      <c r="BL555" s="4">
        <f t="shared" si="79"/>
        <v>125506</v>
      </c>
      <c r="BM555" s="4"/>
      <c r="BN555" s="4"/>
      <c r="BO555" s="4">
        <v>8144.150614</v>
      </c>
      <c r="BP555" s="4"/>
      <c r="BQ555" s="4">
        <f t="shared" si="73"/>
        <v>3291487.2896382506</v>
      </c>
      <c r="BT555" s="4">
        <f t="shared" si="74"/>
        <v>2330259.034590051</v>
      </c>
      <c r="BW555" s="52"/>
      <c r="BX555" s="4">
        <f t="shared" si="71"/>
        <v>6071450.6962382505</v>
      </c>
      <c r="BY555" s="4">
        <f t="shared" si="72"/>
        <v>5163342.761061389</v>
      </c>
    </row>
    <row r="556" spans="1:77" ht="12.75">
      <c r="A556" s="3" t="s">
        <v>1189</v>
      </c>
      <c r="B556" s="3" t="s">
        <v>555</v>
      </c>
      <c r="C556" s="3" t="s">
        <v>1349</v>
      </c>
      <c r="D556" s="3"/>
      <c r="E556" s="4"/>
      <c r="F556" s="4">
        <v>4774751.524042</v>
      </c>
      <c r="G556" s="4">
        <f t="shared" si="83"/>
        <v>4865988.814310319</v>
      </c>
      <c r="H556" s="4"/>
      <c r="I556" s="4"/>
      <c r="J556" s="4">
        <v>64121.780116</v>
      </c>
      <c r="K556" s="4">
        <f t="shared" si="77"/>
        <v>65347.03706089172</v>
      </c>
      <c r="L556" s="4"/>
      <c r="M556" s="4"/>
      <c r="N556" s="4"/>
      <c r="O556" s="4"/>
      <c r="P556" s="4"/>
      <c r="Q556" s="4"/>
      <c r="R556" s="4"/>
      <c r="S556" s="4"/>
      <c r="T556" s="4">
        <v>51623.16676</v>
      </c>
      <c r="U556" s="4">
        <f t="shared" si="81"/>
        <v>52609.596698089175</v>
      </c>
      <c r="V556" s="4"/>
      <c r="W556" s="4"/>
      <c r="X556" s="4"/>
      <c r="Y556" s="4"/>
      <c r="Z556" s="13">
        <f t="shared" si="84"/>
        <v>4890496.470918001</v>
      </c>
      <c r="AC556" s="13">
        <f t="shared" si="85"/>
        <v>4983945.4480693</v>
      </c>
      <c r="AF556" s="51"/>
      <c r="AG556" s="4"/>
      <c r="AH556" s="4"/>
      <c r="AI556" s="4"/>
      <c r="AJ556" s="4"/>
      <c r="AK556" s="4"/>
      <c r="AL556" s="4">
        <v>5275044.316527</v>
      </c>
      <c r="AM556" s="4">
        <f t="shared" si="86"/>
        <v>3531862.4582738695</v>
      </c>
      <c r="AN556" s="4"/>
      <c r="AO556" s="4"/>
      <c r="AP556" s="4"/>
      <c r="AQ556" s="4"/>
      <c r="AR556" s="4">
        <v>92613.374553</v>
      </c>
      <c r="AS556" s="4">
        <f t="shared" si="78"/>
        <v>90791.0881635104</v>
      </c>
      <c r="AT556" s="4"/>
      <c r="AU556" s="4"/>
      <c r="AV556" s="4"/>
      <c r="AW556" s="4"/>
      <c r="AX556" s="4">
        <v>73231.579139</v>
      </c>
      <c r="AY556" s="4">
        <f t="shared" si="82"/>
        <v>71764.49191427928</v>
      </c>
      <c r="AZ556" s="4"/>
      <c r="BA556" s="4"/>
      <c r="BB556" s="4"/>
      <c r="BC556" s="4"/>
      <c r="BD556" s="4">
        <v>54283</v>
      </c>
      <c r="BE556" s="4">
        <f>BD556/BD$680*BE$680</f>
        <v>77139.00840288939</v>
      </c>
      <c r="BF556" s="4">
        <v>11427.991933175372</v>
      </c>
      <c r="BG556" s="4">
        <f>BE556+BF556</f>
        <v>88567.00033606477</v>
      </c>
      <c r="BH556" s="4">
        <v>64964</v>
      </c>
      <c r="BI556" s="4">
        <v>65130</v>
      </c>
      <c r="BJ556" s="4"/>
      <c r="BK556" s="4">
        <f t="shared" si="80"/>
        <v>65130</v>
      </c>
      <c r="BL556" s="4">
        <f t="shared" si="79"/>
        <v>130094</v>
      </c>
      <c r="BM556" s="4"/>
      <c r="BN556" s="4"/>
      <c r="BO556" s="4">
        <v>14327.145365</v>
      </c>
      <c r="BP556" s="4"/>
      <c r="BQ556" s="4">
        <f t="shared" si="73"/>
        <v>5651021.407517174</v>
      </c>
      <c r="BT556" s="4">
        <f t="shared" si="74"/>
        <v>3913079.038687724</v>
      </c>
      <c r="BW556" s="52"/>
      <c r="BX556" s="4">
        <f t="shared" si="71"/>
        <v>10541517.878435176</v>
      </c>
      <c r="BY556" s="4">
        <f t="shared" si="72"/>
        <v>8897024.486757023</v>
      </c>
    </row>
    <row r="557" spans="1:77" ht="12.75">
      <c r="A557" s="3" t="s">
        <v>1190</v>
      </c>
      <c r="B557" s="3" t="s">
        <v>556</v>
      </c>
      <c r="C557" s="3" t="s">
        <v>1349</v>
      </c>
      <c r="D557" s="3"/>
      <c r="E557" s="4"/>
      <c r="F557" s="4">
        <v>1820904.584576</v>
      </c>
      <c r="G557" s="4">
        <f t="shared" si="83"/>
        <v>1855698.9396952866</v>
      </c>
      <c r="H557" s="4"/>
      <c r="I557" s="4"/>
      <c r="J557" s="4">
        <v>33355.022746</v>
      </c>
      <c r="K557" s="4">
        <f t="shared" si="77"/>
        <v>33992.379868535034</v>
      </c>
      <c r="L557" s="4"/>
      <c r="M557" s="4"/>
      <c r="N557" s="4"/>
      <c r="O557" s="4"/>
      <c r="P557" s="4"/>
      <c r="Q557" s="4"/>
      <c r="R557" s="4"/>
      <c r="S557" s="4"/>
      <c r="T557" s="4">
        <v>28944.178682</v>
      </c>
      <c r="U557" s="4">
        <f t="shared" si="81"/>
        <v>29497.25216</v>
      </c>
      <c r="V557" s="4"/>
      <c r="W557" s="4"/>
      <c r="X557" s="4"/>
      <c r="Y557" s="4"/>
      <c r="Z557" s="13">
        <f t="shared" si="84"/>
        <v>1883203.7860039999</v>
      </c>
      <c r="AC557" s="13">
        <f t="shared" si="85"/>
        <v>1919188.5717238216</v>
      </c>
      <c r="AF557" s="51"/>
      <c r="AG557" s="4"/>
      <c r="AH557" s="4"/>
      <c r="AI557" s="4"/>
      <c r="AJ557" s="4"/>
      <c r="AK557" s="4"/>
      <c r="AL557" s="4">
        <v>2011696.803789</v>
      </c>
      <c r="AM557" s="4">
        <f t="shared" si="86"/>
        <v>1346915.0195518623</v>
      </c>
      <c r="AN557" s="4"/>
      <c r="AO557" s="4"/>
      <c r="AP557" s="4"/>
      <c r="AQ557" s="4"/>
      <c r="AR557" s="4">
        <v>48175.849286</v>
      </c>
      <c r="AS557" s="4">
        <f t="shared" si="78"/>
        <v>47227.92794224483</v>
      </c>
      <c r="AT557" s="4"/>
      <c r="AU557" s="4"/>
      <c r="AV557" s="4"/>
      <c r="AW557" s="4"/>
      <c r="AX557" s="4">
        <v>41059.625839</v>
      </c>
      <c r="AY557" s="4">
        <f t="shared" si="82"/>
        <v>40237.05648806641</v>
      </c>
      <c r="AZ557" s="4"/>
      <c r="BA557" s="4"/>
      <c r="BB557" s="4"/>
      <c r="BC557" s="4"/>
      <c r="BD557" s="4"/>
      <c r="BE557" s="4"/>
      <c r="BF557" s="4"/>
      <c r="BG557" s="4"/>
      <c r="BH557" s="4">
        <v>33381</v>
      </c>
      <c r="BI557" s="4">
        <v>34843</v>
      </c>
      <c r="BJ557" s="4"/>
      <c r="BK557" s="4">
        <f t="shared" si="80"/>
        <v>34843</v>
      </c>
      <c r="BL557" s="4">
        <f t="shared" si="79"/>
        <v>68224</v>
      </c>
      <c r="BM557" s="4"/>
      <c r="BN557" s="4"/>
      <c r="BO557" s="4">
        <v>5517.013366</v>
      </c>
      <c r="BP557" s="4"/>
      <c r="BQ557" s="4">
        <f t="shared" si="73"/>
        <v>2174673.2922799997</v>
      </c>
      <c r="BT557" s="4">
        <f t="shared" si="74"/>
        <v>1502604.0039821735</v>
      </c>
      <c r="BW557" s="52"/>
      <c r="BX557" s="4">
        <f t="shared" si="71"/>
        <v>4057877.0782839996</v>
      </c>
      <c r="BY557" s="4">
        <f t="shared" si="72"/>
        <v>3421792.575705995</v>
      </c>
    </row>
    <row r="558" spans="1:77" ht="12.75">
      <c r="A558" s="3" t="s">
        <v>1191</v>
      </c>
      <c r="B558" s="3" t="s">
        <v>557</v>
      </c>
      <c r="C558" s="3" t="s">
        <v>1349</v>
      </c>
      <c r="D558" s="3"/>
      <c r="E558" s="4"/>
      <c r="F558" s="4">
        <v>1823490.263441</v>
      </c>
      <c r="G558" s="4">
        <f t="shared" si="83"/>
        <v>1858334.0264366877</v>
      </c>
      <c r="H558" s="4"/>
      <c r="I558" s="4"/>
      <c r="J558" s="4">
        <v>40540.259218</v>
      </c>
      <c r="K558" s="4">
        <f t="shared" si="77"/>
        <v>41314.91385273885</v>
      </c>
      <c r="L558" s="4"/>
      <c r="M558" s="4"/>
      <c r="N558" s="4"/>
      <c r="O558" s="4"/>
      <c r="P558" s="4"/>
      <c r="Q558" s="4"/>
      <c r="R558" s="4"/>
      <c r="S558" s="4"/>
      <c r="T558" s="4">
        <v>22140.563715</v>
      </c>
      <c r="U558" s="4">
        <f t="shared" si="81"/>
        <v>22563.63181146497</v>
      </c>
      <c r="V558" s="4"/>
      <c r="W558" s="4"/>
      <c r="X558" s="4"/>
      <c r="Y558" s="4"/>
      <c r="Z558" s="13">
        <f t="shared" si="84"/>
        <v>1886171.086374</v>
      </c>
      <c r="AC558" s="13">
        <f t="shared" si="85"/>
        <v>1922212.5721008915</v>
      </c>
      <c r="AF558" s="51"/>
      <c r="AG558" s="4"/>
      <c r="AH558" s="4"/>
      <c r="AI558" s="4"/>
      <c r="AJ558" s="4"/>
      <c r="AK558" s="4"/>
      <c r="AL558" s="4">
        <v>2014553.407015</v>
      </c>
      <c r="AM558" s="4">
        <f t="shared" si="86"/>
        <v>1348827.6347047782</v>
      </c>
      <c r="AN558" s="4"/>
      <c r="AO558" s="4"/>
      <c r="AP558" s="4"/>
      <c r="AQ558" s="4"/>
      <c r="AR558" s="4">
        <v>58553.742654</v>
      </c>
      <c r="AS558" s="4">
        <f t="shared" si="78"/>
        <v>57401.62300813829</v>
      </c>
      <c r="AT558" s="4"/>
      <c r="AU558" s="4"/>
      <c r="AV558" s="4"/>
      <c r="AW558" s="4"/>
      <c r="AX558" s="4">
        <v>31408.155401</v>
      </c>
      <c r="AY558" s="4">
        <f t="shared" si="82"/>
        <v>30778.93909728779</v>
      </c>
      <c r="AZ558" s="4"/>
      <c r="BA558" s="4"/>
      <c r="BB558" s="4"/>
      <c r="BC558" s="4"/>
      <c r="BD558" s="4">
        <v>21776.235294</v>
      </c>
      <c r="BE558" s="4">
        <f>BD558/BD$680*BE$680</f>
        <v>30945.179841334535</v>
      </c>
      <c r="BF558" s="4">
        <v>4584.4673521132</v>
      </c>
      <c r="BG558" s="4">
        <f>BE558+BF558</f>
        <v>35529.64719344774</v>
      </c>
      <c r="BH558" s="4"/>
      <c r="BI558" s="4"/>
      <c r="BJ558" s="4"/>
      <c r="BK558" s="4"/>
      <c r="BL558" s="4"/>
      <c r="BM558" s="4"/>
      <c r="BN558" s="4"/>
      <c r="BO558" s="4">
        <v>5525.706337</v>
      </c>
      <c r="BP558" s="4"/>
      <c r="BQ558" s="4">
        <f t="shared" si="73"/>
        <v>2136401.7140531125</v>
      </c>
      <c r="BT558" s="4">
        <f t="shared" si="74"/>
        <v>1472537.844003652</v>
      </c>
      <c r="BW558" s="52"/>
      <c r="BX558" s="4">
        <f t="shared" si="71"/>
        <v>4022572.8004271127</v>
      </c>
      <c r="BY558" s="4">
        <f t="shared" si="72"/>
        <v>3394750.4161045435</v>
      </c>
    </row>
    <row r="559" spans="1:77" ht="12.75">
      <c r="A559" s="3" t="s">
        <v>1192</v>
      </c>
      <c r="B559" s="3" t="s">
        <v>558</v>
      </c>
      <c r="C559" s="3" t="s">
        <v>1349</v>
      </c>
      <c r="D559" s="3"/>
      <c r="E559" s="4"/>
      <c r="F559" s="4">
        <v>2088813.491011</v>
      </c>
      <c r="G559" s="4">
        <f t="shared" si="83"/>
        <v>2128727.1245971974</v>
      </c>
      <c r="H559" s="4"/>
      <c r="I559" s="4"/>
      <c r="J559" s="4">
        <v>37101.59288</v>
      </c>
      <c r="K559" s="4">
        <f t="shared" si="77"/>
        <v>37810.54051464968</v>
      </c>
      <c r="L559" s="4"/>
      <c r="M559" s="4"/>
      <c r="N559" s="4"/>
      <c r="O559" s="4"/>
      <c r="P559" s="4"/>
      <c r="Q559" s="4"/>
      <c r="R559" s="4"/>
      <c r="S559" s="4"/>
      <c r="T559" s="4">
        <v>20364.007684</v>
      </c>
      <c r="U559" s="4">
        <f t="shared" si="81"/>
        <v>20753.128849936307</v>
      </c>
      <c r="V559" s="4"/>
      <c r="W559" s="4"/>
      <c r="X559" s="4"/>
      <c r="Y559" s="4"/>
      <c r="Z559" s="13">
        <f t="shared" si="84"/>
        <v>2146279.091575</v>
      </c>
      <c r="AC559" s="13">
        <f t="shared" si="85"/>
        <v>2187290.7939617834</v>
      </c>
      <c r="AF559" s="51"/>
      <c r="AG559" s="4"/>
      <c r="AH559" s="4"/>
      <c r="AI559" s="4"/>
      <c r="AJ559" s="4"/>
      <c r="AK559" s="4"/>
      <c r="AL559" s="4">
        <v>2307676.887177</v>
      </c>
      <c r="AM559" s="4">
        <f t="shared" si="86"/>
        <v>1545086.0456491546</v>
      </c>
      <c r="AN559" s="4"/>
      <c r="AO559" s="4"/>
      <c r="AP559" s="4"/>
      <c r="AQ559" s="4"/>
      <c r="AR559" s="4">
        <v>53587.154189</v>
      </c>
      <c r="AS559" s="4">
        <f t="shared" si="78"/>
        <v>52532.758512334396</v>
      </c>
      <c r="AT559" s="4"/>
      <c r="AU559" s="4"/>
      <c r="AV559" s="4"/>
      <c r="AW559" s="4"/>
      <c r="AX559" s="4">
        <v>28887.968986</v>
      </c>
      <c r="AY559" s="4">
        <f t="shared" si="82"/>
        <v>28309.240918876858</v>
      </c>
      <c r="AZ559" s="4"/>
      <c r="BA559" s="4"/>
      <c r="BB559" s="4"/>
      <c r="BC559" s="4"/>
      <c r="BD559" s="4">
        <v>3952</v>
      </c>
      <c r="BE559" s="4">
        <f>BD559/BD$680*BE$680</f>
        <v>5616.000611760936</v>
      </c>
      <c r="BF559" s="4">
        <v>831.9994127058025</v>
      </c>
      <c r="BG559" s="4">
        <f>BE559+BF559</f>
        <v>6448.000024466739</v>
      </c>
      <c r="BH559" s="4">
        <v>38367</v>
      </c>
      <c r="BI559" s="4">
        <v>38720</v>
      </c>
      <c r="BJ559" s="4"/>
      <c r="BK559" s="4">
        <f t="shared" si="80"/>
        <v>38720</v>
      </c>
      <c r="BL559" s="4">
        <f t="shared" si="79"/>
        <v>77087</v>
      </c>
      <c r="BM559" s="4"/>
      <c r="BN559" s="4"/>
      <c r="BO559" s="4">
        <v>6287.715925</v>
      </c>
      <c r="BP559" s="4"/>
      <c r="BQ559" s="4">
        <f t="shared" si="73"/>
        <v>2478310.7256897055</v>
      </c>
      <c r="BT559" s="4">
        <f t="shared" si="74"/>
        <v>1709463.0451048326</v>
      </c>
      <c r="BW559" s="52"/>
      <c r="BX559" s="4">
        <f t="shared" si="71"/>
        <v>4624589.817264706</v>
      </c>
      <c r="BY559" s="4">
        <f t="shared" si="72"/>
        <v>3896753.8390666163</v>
      </c>
    </row>
    <row r="560" spans="1:77" ht="12.75">
      <c r="A560" s="3" t="s">
        <v>1193</v>
      </c>
      <c r="B560" s="3" t="s">
        <v>559</v>
      </c>
      <c r="C560" s="3" t="s">
        <v>1349</v>
      </c>
      <c r="D560" s="3"/>
      <c r="E560" s="4"/>
      <c r="F560" s="4">
        <v>2137178.633746</v>
      </c>
      <c r="G560" s="4">
        <f t="shared" si="83"/>
        <v>2178016.44203414</v>
      </c>
      <c r="H560" s="4"/>
      <c r="I560" s="4"/>
      <c r="J560" s="4">
        <v>65049.157026</v>
      </c>
      <c r="K560" s="4">
        <f t="shared" si="77"/>
        <v>66292.1345487898</v>
      </c>
      <c r="L560" s="4"/>
      <c r="M560" s="4"/>
      <c r="N560" s="4"/>
      <c r="O560" s="4"/>
      <c r="P560" s="4"/>
      <c r="Q560" s="4"/>
      <c r="R560" s="4"/>
      <c r="S560" s="4"/>
      <c r="T560" s="4">
        <v>45953.41974</v>
      </c>
      <c r="U560" s="4">
        <f t="shared" si="81"/>
        <v>46831.51056305732</v>
      </c>
      <c r="V560" s="4"/>
      <c r="W560" s="4"/>
      <c r="X560" s="4"/>
      <c r="Y560" s="4"/>
      <c r="Z560" s="13">
        <f t="shared" si="84"/>
        <v>2248181.2105119997</v>
      </c>
      <c r="AC560" s="13">
        <f t="shared" si="85"/>
        <v>2291140.0871459874</v>
      </c>
      <c r="AF560" s="51"/>
      <c r="AG560" s="4"/>
      <c r="AH560" s="4"/>
      <c r="AI560" s="4"/>
      <c r="AJ560" s="4"/>
      <c r="AK560" s="4"/>
      <c r="AL560" s="4">
        <v>2361109.672111</v>
      </c>
      <c r="AM560" s="4">
        <f t="shared" si="86"/>
        <v>1580861.5265409749</v>
      </c>
      <c r="AN560" s="4"/>
      <c r="AO560" s="4"/>
      <c r="AP560" s="4"/>
      <c r="AQ560" s="4"/>
      <c r="AR560" s="4">
        <v>93952.818108</v>
      </c>
      <c r="AS560" s="4">
        <f t="shared" si="78"/>
        <v>92104.17645641627</v>
      </c>
      <c r="AT560" s="4"/>
      <c r="AU560" s="4"/>
      <c r="AV560" s="4"/>
      <c r="AW560" s="4"/>
      <c r="AX560" s="4">
        <v>65188.590814</v>
      </c>
      <c r="AY560" s="4">
        <f t="shared" si="82"/>
        <v>63882.63305772607</v>
      </c>
      <c r="AZ560" s="4"/>
      <c r="BA560" s="4"/>
      <c r="BB560" s="4"/>
      <c r="BC560" s="4"/>
      <c r="BD560" s="4"/>
      <c r="BE560" s="4"/>
      <c r="BF560" s="4"/>
      <c r="BG560" s="4"/>
      <c r="BH560" s="4">
        <v>63104</v>
      </c>
      <c r="BI560" s="4">
        <v>67002</v>
      </c>
      <c r="BJ560" s="4"/>
      <c r="BK560" s="4">
        <f t="shared" si="80"/>
        <v>67002</v>
      </c>
      <c r="BL560" s="4">
        <f t="shared" si="79"/>
        <v>130106</v>
      </c>
      <c r="BM560" s="4"/>
      <c r="BN560" s="4"/>
      <c r="BO560" s="4">
        <v>6586.247266</v>
      </c>
      <c r="BP560" s="4"/>
      <c r="BQ560" s="4">
        <f t="shared" si="73"/>
        <v>2656943.328299</v>
      </c>
      <c r="BT560" s="4">
        <f t="shared" si="74"/>
        <v>1866954.3360551172</v>
      </c>
      <c r="BW560" s="52"/>
      <c r="BX560" s="4">
        <f t="shared" si="71"/>
        <v>4905124.538811</v>
      </c>
      <c r="BY560" s="4">
        <f t="shared" si="72"/>
        <v>4158094.4232011046</v>
      </c>
    </row>
    <row r="561" spans="1:77" ht="12.75">
      <c r="A561" s="3" t="s">
        <v>1194</v>
      </c>
      <c r="B561" s="3" t="s">
        <v>560</v>
      </c>
      <c r="C561" s="3" t="s">
        <v>1349</v>
      </c>
      <c r="D561" s="3"/>
      <c r="E561" s="4"/>
      <c r="F561" s="4">
        <v>5867211.427768</v>
      </c>
      <c r="G561" s="4">
        <f t="shared" si="83"/>
        <v>5979323.748043822</v>
      </c>
      <c r="H561" s="4"/>
      <c r="I561" s="4"/>
      <c r="J561" s="4">
        <v>142806.269407</v>
      </c>
      <c r="K561" s="4">
        <f t="shared" si="77"/>
        <v>145535.05162496815</v>
      </c>
      <c r="L561" s="4"/>
      <c r="M561" s="4"/>
      <c r="N561" s="4"/>
      <c r="O561" s="4"/>
      <c r="P561" s="4"/>
      <c r="Q561" s="4"/>
      <c r="R561" s="4"/>
      <c r="S561" s="4"/>
      <c r="T561" s="4">
        <v>74302.154838</v>
      </c>
      <c r="U561" s="4">
        <f t="shared" si="81"/>
        <v>75721.94123617835</v>
      </c>
      <c r="V561" s="4"/>
      <c r="W561" s="4"/>
      <c r="X561" s="4"/>
      <c r="Y561" s="4"/>
      <c r="Z561" s="13">
        <f t="shared" si="84"/>
        <v>6084319.852013001</v>
      </c>
      <c r="AC561" s="13">
        <f t="shared" si="85"/>
        <v>6200580.740904968</v>
      </c>
      <c r="AF561" s="51"/>
      <c r="AG561" s="4"/>
      <c r="AH561" s="4"/>
      <c r="AI561" s="4"/>
      <c r="AJ561" s="4"/>
      <c r="AK561" s="4"/>
      <c r="AL561" s="4">
        <v>6481970.871169</v>
      </c>
      <c r="AM561" s="4">
        <f t="shared" si="86"/>
        <v>4339950.188433527</v>
      </c>
      <c r="AN561" s="4"/>
      <c r="AO561" s="4"/>
      <c r="AP561" s="4"/>
      <c r="AQ561" s="4"/>
      <c r="AR561" s="4">
        <v>206260.18949</v>
      </c>
      <c r="AS561" s="4">
        <f t="shared" si="78"/>
        <v>202201.7569167859</v>
      </c>
      <c r="AT561" s="4"/>
      <c r="AU561" s="4"/>
      <c r="AV561" s="4"/>
      <c r="AW561" s="4"/>
      <c r="AX561" s="4">
        <v>105403.53244</v>
      </c>
      <c r="AY561" s="4">
        <f t="shared" si="82"/>
        <v>103291.92734147214</v>
      </c>
      <c r="AZ561" s="4"/>
      <c r="BA561" s="4"/>
      <c r="BB561" s="4"/>
      <c r="BC561" s="4"/>
      <c r="BD561" s="4"/>
      <c r="BE561" s="4"/>
      <c r="BF561" s="4"/>
      <c r="BG561" s="4"/>
      <c r="BH561" s="4">
        <v>146236</v>
      </c>
      <c r="BI561" s="4">
        <v>151872</v>
      </c>
      <c r="BJ561" s="4"/>
      <c r="BK561" s="4">
        <f t="shared" si="80"/>
        <v>151872</v>
      </c>
      <c r="BL561" s="4">
        <f t="shared" si="79"/>
        <v>298108</v>
      </c>
      <c r="BM561" s="4"/>
      <c r="BN561" s="4"/>
      <c r="BO561" s="4">
        <v>17824.557381</v>
      </c>
      <c r="BP561" s="4"/>
      <c r="BQ561" s="4">
        <f t="shared" si="73"/>
        <v>7109567.15048</v>
      </c>
      <c r="BT561" s="4">
        <f t="shared" si="74"/>
        <v>4943551.872691785</v>
      </c>
      <c r="BW561" s="52"/>
      <c r="BX561" s="4">
        <f t="shared" si="71"/>
        <v>13193887.002493002</v>
      </c>
      <c r="BY561" s="4">
        <f t="shared" si="72"/>
        <v>11144132.613596752</v>
      </c>
    </row>
    <row r="562" spans="1:77" ht="12.75">
      <c r="A562" s="3" t="s">
        <v>1195</v>
      </c>
      <c r="B562" s="3" t="s">
        <v>561</v>
      </c>
      <c r="C562" s="3" t="s">
        <v>1349</v>
      </c>
      <c r="D562" s="3"/>
      <c r="E562" s="4"/>
      <c r="F562" s="4">
        <v>1594636.59054</v>
      </c>
      <c r="G562" s="4">
        <f t="shared" si="83"/>
        <v>1625107.3534165605</v>
      </c>
      <c r="H562" s="4"/>
      <c r="I562" s="4"/>
      <c r="J562" s="4">
        <v>58195.85388</v>
      </c>
      <c r="K562" s="4">
        <f t="shared" si="77"/>
        <v>59307.8765656051</v>
      </c>
      <c r="L562" s="4"/>
      <c r="M562" s="4"/>
      <c r="N562" s="4"/>
      <c r="O562" s="4"/>
      <c r="P562" s="4"/>
      <c r="Q562" s="4"/>
      <c r="R562" s="4"/>
      <c r="S562" s="4"/>
      <c r="T562" s="4">
        <v>26676.035506</v>
      </c>
      <c r="U562" s="4">
        <f t="shared" si="81"/>
        <v>27185.76866853503</v>
      </c>
      <c r="V562" s="4"/>
      <c r="W562" s="4"/>
      <c r="X562" s="4"/>
      <c r="Y562" s="4"/>
      <c r="Z562" s="13">
        <f t="shared" si="84"/>
        <v>1679508.479926</v>
      </c>
      <c r="AC562" s="13">
        <f t="shared" si="85"/>
        <v>1711600.9986507006</v>
      </c>
      <c r="AF562" s="51"/>
      <c r="AG562" s="4"/>
      <c r="AH562" s="4"/>
      <c r="AI562" s="4"/>
      <c r="AJ562" s="4"/>
      <c r="AK562" s="4"/>
      <c r="AL562" s="4">
        <v>1761720.718135</v>
      </c>
      <c r="AM562" s="4">
        <f t="shared" si="86"/>
        <v>1179545.591086304</v>
      </c>
      <c r="AN562" s="4"/>
      <c r="AO562" s="4"/>
      <c r="AP562" s="4"/>
      <c r="AQ562" s="4"/>
      <c r="AR562" s="4">
        <v>84054.347884</v>
      </c>
      <c r="AS562" s="4">
        <f t="shared" si="78"/>
        <v>82400.47127205577</v>
      </c>
      <c r="AT562" s="4"/>
      <c r="AU562" s="4"/>
      <c r="AV562" s="4"/>
      <c r="AW562" s="4"/>
      <c r="AX562" s="4">
        <v>37842.083853</v>
      </c>
      <c r="AY562" s="4">
        <f t="shared" si="82"/>
        <v>37083.973234189376</v>
      </c>
      <c r="AZ562" s="4"/>
      <c r="BA562" s="4"/>
      <c r="BB562" s="4"/>
      <c r="BC562" s="4"/>
      <c r="BD562" s="4">
        <v>22121.588235</v>
      </c>
      <c r="BE562" s="4">
        <f>BD562/BD$680*BE$680</f>
        <v>31435.94460042599</v>
      </c>
      <c r="BF562" s="4">
        <v>4657.173183107183</v>
      </c>
      <c r="BG562" s="4">
        <f>BE562+BF562</f>
        <v>36093.11778353318</v>
      </c>
      <c r="BH562" s="4">
        <v>58241</v>
      </c>
      <c r="BI562" s="4">
        <v>58774</v>
      </c>
      <c r="BJ562" s="4"/>
      <c r="BK562" s="4">
        <f t="shared" si="80"/>
        <v>58774</v>
      </c>
      <c r="BL562" s="4">
        <f t="shared" si="79"/>
        <v>117015</v>
      </c>
      <c r="BM562" s="4"/>
      <c r="BN562" s="4"/>
      <c r="BO562" s="4">
        <v>4920.269808</v>
      </c>
      <c r="BP562" s="4"/>
      <c r="BQ562" s="4">
        <f t="shared" si="73"/>
        <v>2032331.1810981072</v>
      </c>
      <c r="BT562" s="4">
        <f t="shared" si="74"/>
        <v>1452138.1533760824</v>
      </c>
      <c r="BW562" s="52"/>
      <c r="BX562" s="4">
        <f t="shared" si="71"/>
        <v>3711839.6610241076</v>
      </c>
      <c r="BY562" s="4">
        <f t="shared" si="72"/>
        <v>3163739.1520267827</v>
      </c>
    </row>
    <row r="563" spans="1:77" ht="12.75">
      <c r="A563" s="3" t="s">
        <v>1196</v>
      </c>
      <c r="B563" s="3" t="s">
        <v>562</v>
      </c>
      <c r="C563" s="3" t="s">
        <v>1349</v>
      </c>
      <c r="D563" s="3"/>
      <c r="E563" s="4"/>
      <c r="F563" s="4">
        <v>2099887.047224</v>
      </c>
      <c r="G563" s="4">
        <f t="shared" si="83"/>
        <v>2140012.2774257325</v>
      </c>
      <c r="H563" s="4"/>
      <c r="I563" s="4"/>
      <c r="J563" s="4">
        <v>32505.843626</v>
      </c>
      <c r="K563" s="4">
        <f t="shared" si="77"/>
        <v>33126.97439592357</v>
      </c>
      <c r="L563" s="4"/>
      <c r="M563" s="4"/>
      <c r="N563" s="4"/>
      <c r="O563" s="4"/>
      <c r="P563" s="4"/>
      <c r="Q563" s="4"/>
      <c r="R563" s="4"/>
      <c r="S563" s="4"/>
      <c r="T563" s="4">
        <v>23274.431663</v>
      </c>
      <c r="U563" s="4">
        <f t="shared" si="81"/>
        <v>23719.16602598726</v>
      </c>
      <c r="V563" s="4"/>
      <c r="W563" s="4"/>
      <c r="X563" s="4"/>
      <c r="Y563" s="4"/>
      <c r="Z563" s="13">
        <f t="shared" si="84"/>
        <v>2155667.322513</v>
      </c>
      <c r="AC563" s="13">
        <f t="shared" si="85"/>
        <v>2196858.4178476436</v>
      </c>
      <c r="AF563" s="51"/>
      <c r="AG563" s="4"/>
      <c r="AH563" s="4"/>
      <c r="AI563" s="4"/>
      <c r="AJ563" s="4"/>
      <c r="AK563" s="4"/>
      <c r="AL563" s="4">
        <v>2319910.717455</v>
      </c>
      <c r="AM563" s="4">
        <f t="shared" si="86"/>
        <v>1553277.1059108458</v>
      </c>
      <c r="AN563" s="4"/>
      <c r="AO563" s="4"/>
      <c r="AP563" s="4"/>
      <c r="AQ563" s="4"/>
      <c r="AR563" s="4">
        <v>46949.349588</v>
      </c>
      <c r="AS563" s="4">
        <f t="shared" si="78"/>
        <v>46025.56119175016</v>
      </c>
      <c r="AT563" s="4"/>
      <c r="AU563" s="4"/>
      <c r="AV563" s="4"/>
      <c r="AW563" s="4"/>
      <c r="AX563" s="4">
        <v>33016.637514</v>
      </c>
      <c r="AY563" s="4">
        <f t="shared" si="82"/>
        <v>32355.197631513187</v>
      </c>
      <c r="AZ563" s="4"/>
      <c r="BA563" s="4"/>
      <c r="BB563" s="4"/>
      <c r="BC563" s="4"/>
      <c r="BD563" s="4"/>
      <c r="BE563" s="4"/>
      <c r="BF563" s="4"/>
      <c r="BG563" s="4"/>
      <c r="BH563" s="4">
        <v>31909</v>
      </c>
      <c r="BI563" s="4"/>
      <c r="BJ563" s="4"/>
      <c r="BK563" s="4"/>
      <c r="BL563" s="4">
        <f t="shared" si="79"/>
        <v>31909</v>
      </c>
      <c r="BM563" s="4"/>
      <c r="BN563" s="4"/>
      <c r="BO563" s="4">
        <v>6315.219584</v>
      </c>
      <c r="BP563" s="4"/>
      <c r="BQ563" s="4">
        <f t="shared" si="73"/>
        <v>2438100.924141</v>
      </c>
      <c r="BT563" s="4">
        <f t="shared" si="74"/>
        <v>1663566.8647341093</v>
      </c>
      <c r="BW563" s="52"/>
      <c r="BX563" s="4">
        <f t="shared" si="71"/>
        <v>4593768.246654</v>
      </c>
      <c r="BY563" s="4">
        <f t="shared" si="72"/>
        <v>3860425.282581753</v>
      </c>
    </row>
    <row r="564" spans="1:77" ht="12.75">
      <c r="A564" s="3" t="s">
        <v>1197</v>
      </c>
      <c r="B564" s="3" t="s">
        <v>563</v>
      </c>
      <c r="C564" s="3" t="s">
        <v>1349</v>
      </c>
      <c r="D564" s="3"/>
      <c r="E564" s="4"/>
      <c r="F564" s="4">
        <v>1253779.144549</v>
      </c>
      <c r="G564" s="4">
        <f t="shared" si="83"/>
        <v>1277736.707820637</v>
      </c>
      <c r="H564" s="4"/>
      <c r="I564" s="4"/>
      <c r="J564" s="4">
        <v>34626.144106</v>
      </c>
      <c r="K564" s="4">
        <f t="shared" si="77"/>
        <v>35287.790171719746</v>
      </c>
      <c r="L564" s="4"/>
      <c r="M564" s="4"/>
      <c r="N564" s="4"/>
      <c r="O564" s="4"/>
      <c r="P564" s="4"/>
      <c r="Q564" s="4"/>
      <c r="R564" s="4"/>
      <c r="S564" s="4"/>
      <c r="T564" s="4">
        <v>34613.925701</v>
      </c>
      <c r="U564" s="4">
        <f t="shared" si="81"/>
        <v>35275.33829401274</v>
      </c>
      <c r="V564" s="4"/>
      <c r="W564" s="4"/>
      <c r="X564" s="4"/>
      <c r="Y564" s="4"/>
      <c r="Z564" s="13">
        <f t="shared" si="84"/>
        <v>1323019.214356</v>
      </c>
      <c r="AC564" s="13">
        <f t="shared" si="85"/>
        <v>1348299.8362863695</v>
      </c>
      <c r="AF564" s="51"/>
      <c r="AG564" s="4"/>
      <c r="AH564" s="4"/>
      <c r="AI564" s="4"/>
      <c r="AJ564" s="4"/>
      <c r="AK564" s="4"/>
      <c r="AL564" s="4">
        <v>1385148.633878</v>
      </c>
      <c r="AM564" s="4">
        <f t="shared" si="86"/>
        <v>927414.8548469367</v>
      </c>
      <c r="AN564" s="4"/>
      <c r="AO564" s="4"/>
      <c r="AP564" s="4"/>
      <c r="AQ564" s="4"/>
      <c r="AR564" s="4">
        <v>50011.775213</v>
      </c>
      <c r="AS564" s="4">
        <f t="shared" si="78"/>
        <v>49027.7296825922</v>
      </c>
      <c r="AT564" s="4"/>
      <c r="AU564" s="4"/>
      <c r="AV564" s="4"/>
      <c r="AW564" s="4"/>
      <c r="AX564" s="4">
        <v>49102.614164</v>
      </c>
      <c r="AY564" s="4">
        <f t="shared" si="82"/>
        <v>48118.91534461963</v>
      </c>
      <c r="AZ564" s="4"/>
      <c r="BA564" s="4"/>
      <c r="BB564" s="4"/>
      <c r="BC564" s="4"/>
      <c r="BD564" s="4">
        <v>32829.764706</v>
      </c>
      <c r="BE564" s="4">
        <f>BD564/BD$680*BE$680</f>
        <v>46652.828611554556</v>
      </c>
      <c r="BF564" s="4">
        <v>6911.524533062167</v>
      </c>
      <c r="BG564" s="4">
        <f>BE564+BF564</f>
        <v>53564.353144616725</v>
      </c>
      <c r="BH564" s="4">
        <v>34258</v>
      </c>
      <c r="BI564" s="4">
        <v>35022</v>
      </c>
      <c r="BJ564" s="4"/>
      <c r="BK564" s="4">
        <f t="shared" si="80"/>
        <v>35022</v>
      </c>
      <c r="BL564" s="4">
        <f t="shared" si="79"/>
        <v>69280</v>
      </c>
      <c r="BM564" s="4"/>
      <c r="BN564" s="4"/>
      <c r="BO564" s="4">
        <v>3875.902726</v>
      </c>
      <c r="BP564" s="4"/>
      <c r="BQ564" s="4">
        <f t="shared" si="73"/>
        <v>1597160.215220062</v>
      </c>
      <c r="BT564" s="4">
        <f t="shared" si="74"/>
        <v>1147405.8530187653</v>
      </c>
      <c r="BW564" s="52"/>
      <c r="BX564" s="4">
        <f t="shared" si="71"/>
        <v>2920179.429576062</v>
      </c>
      <c r="BY564" s="4">
        <f t="shared" si="72"/>
        <v>2495705.689305135</v>
      </c>
    </row>
    <row r="565" spans="1:77" ht="12.75">
      <c r="A565" s="3" t="s">
        <v>1198</v>
      </c>
      <c r="B565" s="3" t="s">
        <v>564</v>
      </c>
      <c r="C565" s="3" t="s">
        <v>1349</v>
      </c>
      <c r="D565" s="3"/>
      <c r="E565" s="4"/>
      <c r="F565" s="4">
        <v>1797388.77894</v>
      </c>
      <c r="G565" s="4">
        <f t="shared" si="83"/>
        <v>1831733.7874547772</v>
      </c>
      <c r="H565" s="4"/>
      <c r="I565" s="4"/>
      <c r="J565" s="4">
        <v>32907.421857</v>
      </c>
      <c r="K565" s="4">
        <f t="shared" si="77"/>
        <v>33536.226096305734</v>
      </c>
      <c r="L565" s="4"/>
      <c r="M565" s="4"/>
      <c r="N565" s="4"/>
      <c r="O565" s="4"/>
      <c r="P565" s="4"/>
      <c r="Q565" s="4"/>
      <c r="R565" s="4"/>
      <c r="S565" s="4"/>
      <c r="T565" s="4">
        <v>28944.178682</v>
      </c>
      <c r="U565" s="4">
        <f t="shared" si="81"/>
        <v>29497.25216</v>
      </c>
      <c r="V565" s="4"/>
      <c r="W565" s="4"/>
      <c r="X565" s="4"/>
      <c r="Y565" s="4"/>
      <c r="Z565" s="13">
        <f t="shared" si="84"/>
        <v>1859240.379479</v>
      </c>
      <c r="AC565" s="13">
        <f t="shared" si="85"/>
        <v>1894767.2657110828</v>
      </c>
      <c r="AF565" s="51"/>
      <c r="AG565" s="4"/>
      <c r="AH565" s="4"/>
      <c r="AI565" s="4"/>
      <c r="AJ565" s="4"/>
      <c r="AK565" s="4"/>
      <c r="AL565" s="4">
        <v>1985717.039974</v>
      </c>
      <c r="AM565" s="4">
        <f t="shared" si="86"/>
        <v>1329520.482750429</v>
      </c>
      <c r="AN565" s="4"/>
      <c r="AO565" s="4"/>
      <c r="AP565" s="4"/>
      <c r="AQ565" s="4"/>
      <c r="AR565" s="4">
        <v>47529.363355</v>
      </c>
      <c r="AS565" s="4">
        <f t="shared" si="78"/>
        <v>46594.162447345385</v>
      </c>
      <c r="AT565" s="4"/>
      <c r="AU565" s="4"/>
      <c r="AV565" s="4"/>
      <c r="AW565" s="4"/>
      <c r="AX565" s="4">
        <v>41059.625839</v>
      </c>
      <c r="AY565" s="4">
        <f t="shared" si="82"/>
        <v>40237.05648806641</v>
      </c>
      <c r="AZ565" s="4"/>
      <c r="BA565" s="4"/>
      <c r="BB565" s="4"/>
      <c r="BC565" s="4"/>
      <c r="BD565" s="4">
        <v>73753.529412</v>
      </c>
      <c r="BE565" s="4">
        <f>BD565/BD$680*BE$680</f>
        <v>104807.65847604256</v>
      </c>
      <c r="BF565" s="4">
        <v>15527.04786330064</v>
      </c>
      <c r="BG565" s="4">
        <f>BE565+BF565</f>
        <v>120334.7063393432</v>
      </c>
      <c r="BH565" s="4">
        <v>32661</v>
      </c>
      <c r="BI565" s="4">
        <v>32925</v>
      </c>
      <c r="BJ565" s="4"/>
      <c r="BK565" s="4">
        <f t="shared" si="80"/>
        <v>32925</v>
      </c>
      <c r="BL565" s="4">
        <f t="shared" si="79"/>
        <v>65586</v>
      </c>
      <c r="BM565" s="4"/>
      <c r="BN565" s="4"/>
      <c r="BO565" s="4">
        <v>5446.81043</v>
      </c>
      <c r="BP565" s="4"/>
      <c r="BQ565" s="4">
        <f t="shared" si="73"/>
        <v>2234619.416873301</v>
      </c>
      <c r="BT565" s="4">
        <f t="shared" si="74"/>
        <v>1602272.4080251842</v>
      </c>
      <c r="BW565" s="52"/>
      <c r="BX565" s="4">
        <f t="shared" si="71"/>
        <v>4093859.796352301</v>
      </c>
      <c r="BY565" s="4">
        <f t="shared" si="72"/>
        <v>3497039.673736267</v>
      </c>
    </row>
    <row r="566" spans="1:77" ht="12.75">
      <c r="A566" s="3" t="s">
        <v>1199</v>
      </c>
      <c r="B566" s="3" t="s">
        <v>565</v>
      </c>
      <c r="C566" s="3" t="s">
        <v>1349</v>
      </c>
      <c r="D566" s="3"/>
      <c r="E566" s="4"/>
      <c r="F566" s="4">
        <v>1270630.597607</v>
      </c>
      <c r="G566" s="4">
        <f t="shared" si="83"/>
        <v>1294910.1631663695</v>
      </c>
      <c r="H566" s="4"/>
      <c r="I566" s="4"/>
      <c r="J566" s="4">
        <v>37236.402611</v>
      </c>
      <c r="K566" s="4">
        <f t="shared" si="77"/>
        <v>37947.926227770695</v>
      </c>
      <c r="L566" s="4"/>
      <c r="M566" s="4"/>
      <c r="N566" s="4"/>
      <c r="O566" s="4"/>
      <c r="P566" s="4"/>
      <c r="Q566" s="4"/>
      <c r="R566" s="4"/>
      <c r="S566" s="4"/>
      <c r="T566" s="4">
        <v>31823.649369</v>
      </c>
      <c r="U566" s="4">
        <f t="shared" si="81"/>
        <v>32431.74457987261</v>
      </c>
      <c r="V566" s="4"/>
      <c r="W566" s="4"/>
      <c r="X566" s="4"/>
      <c r="Y566" s="4"/>
      <c r="Z566" s="13">
        <f t="shared" si="84"/>
        <v>1339690.649587</v>
      </c>
      <c r="AC566" s="13">
        <f t="shared" si="85"/>
        <v>1365289.8339740129</v>
      </c>
      <c r="AF566" s="51"/>
      <c r="AG566" s="4"/>
      <c r="AH566" s="4"/>
      <c r="AI566" s="4"/>
      <c r="AJ566" s="4"/>
      <c r="AK566" s="4"/>
      <c r="AL566" s="4">
        <v>1403765.762169</v>
      </c>
      <c r="AM566" s="4">
        <f t="shared" si="86"/>
        <v>939879.7996978912</v>
      </c>
      <c r="AN566" s="4"/>
      <c r="AO566" s="4"/>
      <c r="AP566" s="4"/>
      <c r="AQ566" s="4"/>
      <c r="AR566" s="4">
        <v>53781.864692</v>
      </c>
      <c r="AS566" s="4">
        <f t="shared" si="78"/>
        <v>52723.63783758906</v>
      </c>
      <c r="AT566" s="4"/>
      <c r="AU566" s="4"/>
      <c r="AV566" s="4"/>
      <c r="AW566" s="4"/>
      <c r="AX566" s="4">
        <v>45144.384653</v>
      </c>
      <c r="AY566" s="4">
        <f t="shared" si="82"/>
        <v>44239.98315338763</v>
      </c>
      <c r="AZ566" s="4"/>
      <c r="BA566" s="4"/>
      <c r="BB566" s="4"/>
      <c r="BC566" s="4"/>
      <c r="BD566" s="4">
        <v>42443.764706</v>
      </c>
      <c r="BE566" s="4">
        <f>BD566/BD$680*BE$680</f>
        <v>60314.83009978067</v>
      </c>
      <c r="BF566" s="4">
        <v>8935.523104356089</v>
      </c>
      <c r="BG566" s="4">
        <f>BE566+BF566</f>
        <v>69250.35320413676</v>
      </c>
      <c r="BH566" s="4"/>
      <c r="BI566" s="4"/>
      <c r="BJ566" s="4"/>
      <c r="BK566" s="4"/>
      <c r="BL566" s="4"/>
      <c r="BM566" s="4"/>
      <c r="BN566" s="4"/>
      <c r="BO566" s="4">
        <v>3924.743182</v>
      </c>
      <c r="BP566" s="4"/>
      <c r="BQ566" s="4">
        <f t="shared" si="73"/>
        <v>1557996.042506356</v>
      </c>
      <c r="BT566" s="4">
        <f t="shared" si="74"/>
        <v>1106093.7738930047</v>
      </c>
      <c r="BW566" s="52"/>
      <c r="BX566" s="4">
        <f t="shared" si="71"/>
        <v>2897686.692093356</v>
      </c>
      <c r="BY566" s="4">
        <f t="shared" si="72"/>
        <v>2471383.6078670174</v>
      </c>
    </row>
    <row r="567" spans="1:77" ht="12.75">
      <c r="A567" s="3" t="s">
        <v>1200</v>
      </c>
      <c r="B567" s="3" t="s">
        <v>566</v>
      </c>
      <c r="C567" s="3" t="s">
        <v>1349</v>
      </c>
      <c r="D567" s="3"/>
      <c r="E567" s="4"/>
      <c r="F567" s="4">
        <v>3701119.706165</v>
      </c>
      <c r="G567" s="4">
        <f t="shared" si="83"/>
        <v>3771841.738766879</v>
      </c>
      <c r="H567" s="4"/>
      <c r="I567" s="4"/>
      <c r="J567" s="4">
        <v>89385.368049</v>
      </c>
      <c r="K567" s="4">
        <f t="shared" si="77"/>
        <v>91093.36871235668</v>
      </c>
      <c r="L567" s="4"/>
      <c r="M567" s="4"/>
      <c r="N567" s="4"/>
      <c r="O567" s="4"/>
      <c r="P567" s="4"/>
      <c r="Q567" s="4"/>
      <c r="R567" s="4"/>
      <c r="S567" s="4"/>
      <c r="T567" s="4">
        <v>26676.035506</v>
      </c>
      <c r="U567" s="4">
        <f t="shared" si="81"/>
        <v>27185.76866853503</v>
      </c>
      <c r="V567" s="4"/>
      <c r="W567" s="4"/>
      <c r="X567" s="4"/>
      <c r="Y567" s="4"/>
      <c r="Z567" s="13">
        <f t="shared" si="84"/>
        <v>3817181.1097199996</v>
      </c>
      <c r="AC567" s="13">
        <f t="shared" si="85"/>
        <v>3890120.876147771</v>
      </c>
      <c r="AF567" s="51"/>
      <c r="AG567" s="4"/>
      <c r="AH567" s="4"/>
      <c r="AI567" s="4"/>
      <c r="AJ567" s="4"/>
      <c r="AK567" s="4"/>
      <c r="AL567" s="4">
        <v>4088918.632203</v>
      </c>
      <c r="AM567" s="4">
        <f t="shared" si="86"/>
        <v>2737701.779446349</v>
      </c>
      <c r="AN567" s="4"/>
      <c r="AO567" s="4"/>
      <c r="AP567" s="4"/>
      <c r="AQ567" s="4"/>
      <c r="AR567" s="4">
        <v>129102.475879</v>
      </c>
      <c r="AS567" s="4">
        <f t="shared" si="78"/>
        <v>126562.21983305411</v>
      </c>
      <c r="AT567" s="4"/>
      <c r="AU567" s="4"/>
      <c r="AV567" s="4"/>
      <c r="AW567" s="4"/>
      <c r="AX567" s="4">
        <v>37842.083853</v>
      </c>
      <c r="AY567" s="4">
        <f t="shared" si="82"/>
        <v>37083.973234189376</v>
      </c>
      <c r="AZ567" s="4"/>
      <c r="BA567" s="4"/>
      <c r="BB567" s="4"/>
      <c r="BC567" s="4"/>
      <c r="BD567" s="4">
        <v>2430.882353</v>
      </c>
      <c r="BE567" s="4">
        <f>BD567/BD$680*BE$680</f>
        <v>3454.412141084733</v>
      </c>
      <c r="BF567" s="4">
        <v>511.76434464901297</v>
      </c>
      <c r="BG567" s="4">
        <f>BE567+BF567</f>
        <v>3966.1764857337457</v>
      </c>
      <c r="BH567" s="4">
        <v>89943</v>
      </c>
      <c r="BI567" s="4">
        <v>89528</v>
      </c>
      <c r="BJ567" s="4"/>
      <c r="BK567" s="4">
        <f t="shared" si="80"/>
        <v>89528</v>
      </c>
      <c r="BL567" s="4">
        <f t="shared" si="79"/>
        <v>179471</v>
      </c>
      <c r="BM567" s="4"/>
      <c r="BN567" s="4"/>
      <c r="BO567" s="4">
        <v>11182.772336</v>
      </c>
      <c r="BP567" s="4"/>
      <c r="BQ567" s="4">
        <f t="shared" si="73"/>
        <v>4449459.610968649</v>
      </c>
      <c r="BT567" s="4">
        <f t="shared" si="74"/>
        <v>3084785.148999326</v>
      </c>
      <c r="BW567" s="52"/>
      <c r="BX567" s="4">
        <f t="shared" si="71"/>
        <v>8266640.7206886485</v>
      </c>
      <c r="BY567" s="4">
        <f t="shared" si="72"/>
        <v>6974906.025147097</v>
      </c>
    </row>
    <row r="568" spans="1:77" ht="12.75">
      <c r="A568" s="3" t="s">
        <v>1201</v>
      </c>
      <c r="B568" s="3" t="s">
        <v>567</v>
      </c>
      <c r="C568" s="3" t="s">
        <v>1349</v>
      </c>
      <c r="D568" s="3"/>
      <c r="E568" s="4"/>
      <c r="F568" s="4">
        <v>3379626.428007</v>
      </c>
      <c r="G568" s="4">
        <f t="shared" si="83"/>
        <v>3444205.276949809</v>
      </c>
      <c r="H568" s="4"/>
      <c r="I568" s="4"/>
      <c r="J568" s="4">
        <v>60189.490232</v>
      </c>
      <c r="K568" s="4">
        <f t="shared" si="77"/>
        <v>61339.60787974522</v>
      </c>
      <c r="L568" s="4"/>
      <c r="M568" s="4"/>
      <c r="N568" s="4"/>
      <c r="O568" s="4"/>
      <c r="P568" s="4"/>
      <c r="Q568" s="4"/>
      <c r="R568" s="4"/>
      <c r="S568" s="4"/>
      <c r="T568" s="4">
        <v>20364.007684</v>
      </c>
      <c r="U568" s="4">
        <f t="shared" si="81"/>
        <v>20753.128849936307</v>
      </c>
      <c r="V568" s="4"/>
      <c r="W568" s="4"/>
      <c r="X568" s="4"/>
      <c r="Y568" s="4"/>
      <c r="Z568" s="13">
        <f t="shared" si="84"/>
        <v>3460179.925923</v>
      </c>
      <c r="AC568" s="13">
        <f t="shared" si="85"/>
        <v>3526298.0136794904</v>
      </c>
      <c r="AF568" s="51"/>
      <c r="AG568" s="4"/>
      <c r="AH568" s="4"/>
      <c r="AI568" s="4"/>
      <c r="AJ568" s="4"/>
      <c r="AK568" s="4"/>
      <c r="AL568" s="4">
        <v>3733739.67028</v>
      </c>
      <c r="AM568" s="4">
        <f t="shared" si="86"/>
        <v>2499894.631996556</v>
      </c>
      <c r="AN568" s="4"/>
      <c r="AO568" s="4"/>
      <c r="AP568" s="4"/>
      <c r="AQ568" s="4"/>
      <c r="AR568" s="4">
        <v>86933.827991</v>
      </c>
      <c r="AS568" s="4">
        <f t="shared" si="78"/>
        <v>85223.2939315422</v>
      </c>
      <c r="AT568" s="4"/>
      <c r="AU568" s="4"/>
      <c r="AV568" s="4"/>
      <c r="AW568" s="4"/>
      <c r="AX568" s="4">
        <v>28887.968986</v>
      </c>
      <c r="AY568" s="4">
        <f t="shared" si="82"/>
        <v>28309.240918876858</v>
      </c>
      <c r="AZ568" s="4"/>
      <c r="BA568" s="4"/>
      <c r="BB568" s="4"/>
      <c r="BC568" s="4"/>
      <c r="BD568" s="4"/>
      <c r="BE568" s="4"/>
      <c r="BF568" s="4"/>
      <c r="BG568" s="4"/>
      <c r="BH568" s="4">
        <v>61199</v>
      </c>
      <c r="BI568" s="4"/>
      <c r="BJ568" s="4"/>
      <c r="BK568" s="4"/>
      <c r="BL568" s="4">
        <f t="shared" si="79"/>
        <v>61199</v>
      </c>
      <c r="BM568" s="4"/>
      <c r="BN568" s="4"/>
      <c r="BO568" s="4">
        <v>10136.905544</v>
      </c>
      <c r="BP568" s="4"/>
      <c r="BQ568" s="4">
        <f t="shared" si="73"/>
        <v>3920897.3728010003</v>
      </c>
      <c r="BT568" s="4">
        <f t="shared" si="74"/>
        <v>2674626.166846975</v>
      </c>
      <c r="BW568" s="52"/>
      <c r="BX568" s="4">
        <f t="shared" si="71"/>
        <v>7381077.298724</v>
      </c>
      <c r="BY568" s="4">
        <f t="shared" si="72"/>
        <v>6200924.180526465</v>
      </c>
    </row>
    <row r="569" spans="1:77" ht="12.75">
      <c r="A569" s="3" t="s">
        <v>1202</v>
      </c>
      <c r="B569" s="3" t="s">
        <v>568</v>
      </c>
      <c r="C569" s="3" t="s">
        <v>1349</v>
      </c>
      <c r="D569" s="3"/>
      <c r="E569" s="4"/>
      <c r="F569" s="4">
        <v>3518684.379397</v>
      </c>
      <c r="G569" s="4">
        <f t="shared" si="83"/>
        <v>3585920.386646624</v>
      </c>
      <c r="H569" s="4"/>
      <c r="I569" s="4"/>
      <c r="J569" s="4">
        <v>56354.540305</v>
      </c>
      <c r="K569" s="4">
        <f t="shared" si="77"/>
        <v>57431.37865477707</v>
      </c>
      <c r="L569" s="4"/>
      <c r="M569" s="4"/>
      <c r="N569" s="4"/>
      <c r="O569" s="4"/>
      <c r="P569" s="4"/>
      <c r="Q569" s="4"/>
      <c r="R569" s="4"/>
      <c r="S569" s="4"/>
      <c r="T569" s="4">
        <v>37448.595571</v>
      </c>
      <c r="U569" s="4">
        <f t="shared" si="81"/>
        <v>38164.17383031847</v>
      </c>
      <c r="V569" s="4"/>
      <c r="W569" s="4"/>
      <c r="X569" s="4"/>
      <c r="Y569" s="4"/>
      <c r="Z569" s="13">
        <f t="shared" si="84"/>
        <v>3612487.515273</v>
      </c>
      <c r="AC569" s="13">
        <f t="shared" si="85"/>
        <v>3681515.9391317195</v>
      </c>
      <c r="AF569" s="51"/>
      <c r="AG569" s="4"/>
      <c r="AH569" s="4"/>
      <c r="AI569" s="4"/>
      <c r="AJ569" s="4"/>
      <c r="AK569" s="4"/>
      <c r="AL569" s="4">
        <v>3887367.948621</v>
      </c>
      <c r="AM569" s="4">
        <f t="shared" si="86"/>
        <v>2602755.1799358125</v>
      </c>
      <c r="AN569" s="4"/>
      <c r="AO569" s="4"/>
      <c r="AP569" s="4"/>
      <c r="AQ569" s="4"/>
      <c r="AR569" s="4">
        <v>81394.873</v>
      </c>
      <c r="AS569" s="4">
        <f t="shared" si="78"/>
        <v>79793.32495191271</v>
      </c>
      <c r="AT569" s="4"/>
      <c r="AU569" s="4"/>
      <c r="AV569" s="4"/>
      <c r="AW569" s="4"/>
      <c r="AX569" s="4">
        <v>53123.819447</v>
      </c>
      <c r="AY569" s="4">
        <f t="shared" si="82"/>
        <v>52059.561680673105</v>
      </c>
      <c r="AZ569" s="4"/>
      <c r="BA569" s="4"/>
      <c r="BB569" s="4"/>
      <c r="BC569" s="4"/>
      <c r="BD569" s="4">
        <v>6301.294118</v>
      </c>
      <c r="BE569" s="4">
        <f>BD569/BD$680*BE$680</f>
        <v>8954.471564163357</v>
      </c>
      <c r="BF569" s="4">
        <v>1326.5872989530687</v>
      </c>
      <c r="BG569" s="4">
        <f>BE569+BF569</f>
        <v>10281.058863116426</v>
      </c>
      <c r="BH569" s="4">
        <v>55624</v>
      </c>
      <c r="BI569" s="4"/>
      <c r="BJ569" s="4"/>
      <c r="BK569" s="4"/>
      <c r="BL569" s="4">
        <f t="shared" si="79"/>
        <v>55624</v>
      </c>
      <c r="BM569" s="4"/>
      <c r="BN569" s="4"/>
      <c r="BO569" s="4">
        <v>10583.104204</v>
      </c>
      <c r="BP569" s="4"/>
      <c r="BQ569" s="4">
        <f t="shared" si="73"/>
        <v>4095721.6266889535</v>
      </c>
      <c r="BT569" s="4">
        <f t="shared" si="74"/>
        <v>2800513.125431515</v>
      </c>
      <c r="BW569" s="52"/>
      <c r="BX569" s="4">
        <f t="shared" si="71"/>
        <v>7708209.141961954</v>
      </c>
      <c r="BY569" s="4">
        <f t="shared" si="72"/>
        <v>6482029.064563234</v>
      </c>
    </row>
    <row r="570" spans="1:77" ht="12.75">
      <c r="A570" s="3" t="s">
        <v>1203</v>
      </c>
      <c r="B570" s="3" t="s">
        <v>569</v>
      </c>
      <c r="C570" s="3" t="s">
        <v>1349</v>
      </c>
      <c r="D570" s="3"/>
      <c r="E570" s="4"/>
      <c r="F570" s="4">
        <v>2485680.045099</v>
      </c>
      <c r="G570" s="4">
        <f t="shared" si="83"/>
        <v>2533177.116024459</v>
      </c>
      <c r="H570" s="4"/>
      <c r="I570" s="4"/>
      <c r="J570" s="4">
        <v>59070.28437</v>
      </c>
      <c r="K570" s="4">
        <f t="shared" si="77"/>
        <v>60199.01591847134</v>
      </c>
      <c r="L570" s="4"/>
      <c r="M570" s="4"/>
      <c r="N570" s="4"/>
      <c r="O570" s="4"/>
      <c r="P570" s="4"/>
      <c r="Q570" s="4"/>
      <c r="R570" s="4"/>
      <c r="S570" s="4"/>
      <c r="T570" s="4">
        <v>35747.793649</v>
      </c>
      <c r="U570" s="4">
        <f t="shared" si="81"/>
        <v>36430.87250853503</v>
      </c>
      <c r="V570" s="4"/>
      <c r="W570" s="4"/>
      <c r="X570" s="4"/>
      <c r="Y570" s="4"/>
      <c r="Z570" s="13">
        <f t="shared" si="84"/>
        <v>2580498.123118</v>
      </c>
      <c r="AC570" s="13">
        <f t="shared" si="85"/>
        <v>2629807.0044514653</v>
      </c>
      <c r="AF570" s="51"/>
      <c r="AG570" s="4"/>
      <c r="AH570" s="4"/>
      <c r="AI570" s="4"/>
      <c r="AJ570" s="4"/>
      <c r="AK570" s="4"/>
      <c r="AL570" s="4">
        <v>2746126.647341</v>
      </c>
      <c r="AM570" s="4">
        <f t="shared" si="86"/>
        <v>1838646.4699494285</v>
      </c>
      <c r="AN570" s="4"/>
      <c r="AO570" s="4"/>
      <c r="AP570" s="4"/>
      <c r="AQ570" s="4"/>
      <c r="AR570" s="4">
        <v>85317.319036</v>
      </c>
      <c r="AS570" s="4">
        <f t="shared" si="78"/>
        <v>83638.59185412766</v>
      </c>
      <c r="AT570" s="4"/>
      <c r="AU570" s="4"/>
      <c r="AV570" s="4"/>
      <c r="AW570" s="4"/>
      <c r="AX570" s="4">
        <v>50711.096277</v>
      </c>
      <c r="AY570" s="4">
        <f t="shared" si="82"/>
        <v>49695.173878845024</v>
      </c>
      <c r="AZ570" s="4"/>
      <c r="BA570" s="4"/>
      <c r="BB570" s="4"/>
      <c r="BC570" s="4"/>
      <c r="BD570" s="4"/>
      <c r="BE570" s="4"/>
      <c r="BF570" s="4"/>
      <c r="BG570" s="4"/>
      <c r="BH570" s="4">
        <v>59305</v>
      </c>
      <c r="BI570" s="4">
        <v>59456</v>
      </c>
      <c r="BJ570" s="4"/>
      <c r="BK570" s="4">
        <f t="shared" si="80"/>
        <v>59456</v>
      </c>
      <c r="BL570" s="4">
        <f t="shared" si="79"/>
        <v>118761</v>
      </c>
      <c r="BM570" s="4"/>
      <c r="BN570" s="4"/>
      <c r="BO570" s="4">
        <v>7559.799285</v>
      </c>
      <c r="BP570" s="4"/>
      <c r="BQ570" s="4">
        <f t="shared" si="73"/>
        <v>3008475.861939</v>
      </c>
      <c r="BT570" s="4">
        <f t="shared" si="74"/>
        <v>2090741.235682401</v>
      </c>
      <c r="BW570" s="52"/>
      <c r="BX570" s="4">
        <f t="shared" si="71"/>
        <v>5588973.985057</v>
      </c>
      <c r="BY570" s="4">
        <f t="shared" si="72"/>
        <v>4720548.240133867</v>
      </c>
    </row>
    <row r="571" spans="1:77" ht="12.75">
      <c r="A571" s="3" t="s">
        <v>1204</v>
      </c>
      <c r="B571" s="3" t="s">
        <v>570</v>
      </c>
      <c r="C571" s="3" t="s">
        <v>1349</v>
      </c>
      <c r="D571" s="3"/>
      <c r="E571" s="4"/>
      <c r="F571" s="4">
        <v>2651536.753038</v>
      </c>
      <c r="G571" s="4">
        <f t="shared" si="83"/>
        <v>2702203.0604208917</v>
      </c>
      <c r="H571" s="4"/>
      <c r="I571" s="4"/>
      <c r="J571" s="4">
        <v>56571.620627</v>
      </c>
      <c r="K571" s="4">
        <f t="shared" si="77"/>
        <v>57652.60700840764</v>
      </c>
      <c r="L571" s="4"/>
      <c r="M571" s="4"/>
      <c r="N571" s="4"/>
      <c r="O571" s="4"/>
      <c r="P571" s="4"/>
      <c r="Q571" s="4"/>
      <c r="R571" s="4"/>
      <c r="S571" s="4"/>
      <c r="T571" s="4">
        <v>31778.848552</v>
      </c>
      <c r="U571" s="4">
        <f t="shared" si="81"/>
        <v>32386.08769630573</v>
      </c>
      <c r="V571" s="4"/>
      <c r="W571" s="4"/>
      <c r="X571" s="4"/>
      <c r="Y571" s="4"/>
      <c r="Z571" s="13">
        <f t="shared" si="84"/>
        <v>2739887.2222169996</v>
      </c>
      <c r="AC571" s="13">
        <f t="shared" si="85"/>
        <v>2792241.7551256055</v>
      </c>
      <c r="AF571" s="51"/>
      <c r="AG571" s="4"/>
      <c r="AH571" s="4"/>
      <c r="AI571" s="4"/>
      <c r="AJ571" s="4"/>
      <c r="AK571" s="4"/>
      <c r="AL571" s="4">
        <v>2929361.624107</v>
      </c>
      <c r="AM571" s="4">
        <f t="shared" si="86"/>
        <v>1961329.938874027</v>
      </c>
      <c r="AN571" s="4"/>
      <c r="AO571" s="4"/>
      <c r="AP571" s="4"/>
      <c r="AQ571" s="4"/>
      <c r="AR571" s="4">
        <v>81708.409853</v>
      </c>
      <c r="AS571" s="4">
        <f t="shared" si="78"/>
        <v>80100.69256701827</v>
      </c>
      <c r="AT571" s="4"/>
      <c r="AU571" s="4"/>
      <c r="AV571" s="4"/>
      <c r="AW571" s="4"/>
      <c r="AX571" s="4">
        <v>45080.831122</v>
      </c>
      <c r="AY571" s="4">
        <f t="shared" si="82"/>
        <v>44177.70282411989</v>
      </c>
      <c r="AZ571" s="4"/>
      <c r="BA571" s="4"/>
      <c r="BB571" s="4"/>
      <c r="BC571" s="4"/>
      <c r="BD571" s="4"/>
      <c r="BE571" s="4"/>
      <c r="BF571" s="4"/>
      <c r="BG571" s="4"/>
      <c r="BH571" s="4"/>
      <c r="BI571" s="4">
        <v>60621</v>
      </c>
      <c r="BJ571" s="4"/>
      <c r="BK571" s="4">
        <f>BI571</f>
        <v>60621</v>
      </c>
      <c r="BL571" s="4">
        <f>BH571+BK571</f>
        <v>60621</v>
      </c>
      <c r="BM571" s="4"/>
      <c r="BN571" s="4"/>
      <c r="BO571" s="4">
        <v>8026.743859</v>
      </c>
      <c r="BP571" s="4"/>
      <c r="BQ571" s="4">
        <f t="shared" si="73"/>
        <v>3124798.6089410004</v>
      </c>
      <c r="BT571" s="4">
        <f t="shared" si="74"/>
        <v>2146229.334265165</v>
      </c>
      <c r="BW571" s="52"/>
      <c r="BX571" s="4">
        <f t="shared" si="71"/>
        <v>5864685.831158</v>
      </c>
      <c r="BY571" s="4">
        <f t="shared" si="72"/>
        <v>4938471.0893907705</v>
      </c>
    </row>
    <row r="572" spans="1:77" ht="12.75">
      <c r="A572" s="3" t="s">
        <v>1205</v>
      </c>
      <c r="B572" s="3" t="s">
        <v>571</v>
      </c>
      <c r="C572" s="3" t="s">
        <v>1349</v>
      </c>
      <c r="D572" s="3"/>
      <c r="E572" s="4"/>
      <c r="F572" s="4">
        <v>3209820.050923</v>
      </c>
      <c r="G572" s="4">
        <f t="shared" si="83"/>
        <v>3271154.19202344</v>
      </c>
      <c r="H572" s="4"/>
      <c r="I572" s="4"/>
      <c r="J572" s="4">
        <v>59469.418921</v>
      </c>
      <c r="K572" s="4">
        <f t="shared" si="77"/>
        <v>60605.777244331206</v>
      </c>
      <c r="L572" s="4"/>
      <c r="M572" s="4"/>
      <c r="N572" s="4"/>
      <c r="O572" s="4"/>
      <c r="P572" s="4"/>
      <c r="Q572" s="4"/>
      <c r="R572" s="4"/>
      <c r="S572" s="4"/>
      <c r="T572" s="4">
        <v>54457.836629</v>
      </c>
      <c r="U572" s="4">
        <f t="shared" si="81"/>
        <v>55498.432233375795</v>
      </c>
      <c r="V572" s="4"/>
      <c r="W572" s="4"/>
      <c r="X572" s="4"/>
      <c r="Y572" s="4"/>
      <c r="Z572" s="13">
        <f t="shared" si="84"/>
        <v>3323747.306473</v>
      </c>
      <c r="AC572" s="13">
        <f t="shared" si="85"/>
        <v>3387258.401501147</v>
      </c>
      <c r="AF572" s="51"/>
      <c r="AG572" s="4"/>
      <c r="AH572" s="4"/>
      <c r="AI572" s="4"/>
      <c r="AJ572" s="4"/>
      <c r="AK572" s="4"/>
      <c r="AL572" s="4">
        <v>3546141.182727</v>
      </c>
      <c r="AM572" s="4">
        <f t="shared" si="86"/>
        <v>2374289.610377776</v>
      </c>
      <c r="AN572" s="4"/>
      <c r="AO572" s="4"/>
      <c r="AP572" s="4"/>
      <c r="AQ572" s="4"/>
      <c r="AR572" s="4">
        <v>85893.803307</v>
      </c>
      <c r="AS572" s="4">
        <f t="shared" si="78"/>
        <v>84203.73306106302</v>
      </c>
      <c r="AT572" s="4"/>
      <c r="AU572" s="4"/>
      <c r="AV572" s="4"/>
      <c r="AW572" s="4"/>
      <c r="AX572" s="4">
        <v>77252.784422</v>
      </c>
      <c r="AY572" s="4">
        <f t="shared" si="82"/>
        <v>75705.13825033276</v>
      </c>
      <c r="AZ572" s="4"/>
      <c r="BA572" s="4"/>
      <c r="BB572" s="4"/>
      <c r="BC572" s="4"/>
      <c r="BD572" s="4"/>
      <c r="BE572" s="4"/>
      <c r="BF572" s="4"/>
      <c r="BG572" s="4"/>
      <c r="BH572" s="4">
        <v>58620</v>
      </c>
      <c r="BI572" s="4">
        <v>58699</v>
      </c>
      <c r="BJ572" s="4"/>
      <c r="BK572" s="4">
        <f t="shared" si="80"/>
        <v>58699</v>
      </c>
      <c r="BL572" s="4">
        <f t="shared" si="79"/>
        <v>117319</v>
      </c>
      <c r="BM572" s="4"/>
      <c r="BN572" s="4"/>
      <c r="BO572" s="4">
        <v>9737.214023</v>
      </c>
      <c r="BP572" s="4"/>
      <c r="BQ572" s="4">
        <f t="shared" si="73"/>
        <v>3836343.9844790003</v>
      </c>
      <c r="BT572" s="4">
        <f t="shared" si="74"/>
        <v>2651517.481689172</v>
      </c>
      <c r="BW572" s="52"/>
      <c r="BX572" s="4">
        <f t="shared" si="71"/>
        <v>7160091.290952001</v>
      </c>
      <c r="BY572" s="4">
        <f t="shared" si="72"/>
        <v>6038775.883190319</v>
      </c>
    </row>
    <row r="573" spans="1:77" ht="12.75">
      <c r="A573" s="3" t="s">
        <v>1206</v>
      </c>
      <c r="B573" s="3" t="s">
        <v>572</v>
      </c>
      <c r="C573" s="3" t="s">
        <v>1349</v>
      </c>
      <c r="D573" s="3"/>
      <c r="E573" s="4"/>
      <c r="F573" s="4">
        <v>3177665.245144</v>
      </c>
      <c r="G573" s="4">
        <f t="shared" si="83"/>
        <v>3238384.963204076</v>
      </c>
      <c r="H573" s="4"/>
      <c r="I573" s="4"/>
      <c r="J573" s="4">
        <v>65954.948088</v>
      </c>
      <c r="K573" s="4">
        <f t="shared" si="77"/>
        <v>67215.23372025478</v>
      </c>
      <c r="L573" s="4"/>
      <c r="M573" s="4"/>
      <c r="N573" s="4"/>
      <c r="O573" s="4"/>
      <c r="P573" s="4"/>
      <c r="Q573" s="4"/>
      <c r="R573" s="4"/>
      <c r="S573" s="4"/>
      <c r="T573" s="4">
        <v>31778.848552</v>
      </c>
      <c r="U573" s="4">
        <f t="shared" si="81"/>
        <v>32386.08769630573</v>
      </c>
      <c r="V573" s="4"/>
      <c r="W573" s="4"/>
      <c r="X573" s="4"/>
      <c r="Y573" s="4"/>
      <c r="Z573" s="13">
        <f t="shared" si="84"/>
        <v>3275399.0417839997</v>
      </c>
      <c r="AC573" s="13">
        <f t="shared" si="85"/>
        <v>3337986.2846206366</v>
      </c>
      <c r="AF573" s="51"/>
      <c r="AG573" s="4"/>
      <c r="AH573" s="4"/>
      <c r="AI573" s="4"/>
      <c r="AJ573" s="4"/>
      <c r="AK573" s="4"/>
      <c r="AL573" s="4">
        <v>3510617.234597</v>
      </c>
      <c r="AM573" s="4">
        <f t="shared" si="86"/>
        <v>2350504.8436077745</v>
      </c>
      <c r="AN573" s="4"/>
      <c r="AO573" s="4"/>
      <c r="AP573" s="4"/>
      <c r="AQ573" s="4"/>
      <c r="AR573" s="4">
        <v>95261.084453</v>
      </c>
      <c r="AS573" s="4">
        <f t="shared" si="78"/>
        <v>93386.70099073474</v>
      </c>
      <c r="AT573" s="4"/>
      <c r="AU573" s="4"/>
      <c r="AV573" s="4"/>
      <c r="AW573" s="4"/>
      <c r="AX573" s="4">
        <v>45080.831122</v>
      </c>
      <c r="AY573" s="4">
        <f t="shared" si="82"/>
        <v>44177.70282411989</v>
      </c>
      <c r="AZ573" s="4"/>
      <c r="BA573" s="4"/>
      <c r="BB573" s="4"/>
      <c r="BC573" s="4"/>
      <c r="BD573" s="4">
        <v>4454.941176</v>
      </c>
      <c r="BE573" s="4">
        <f>BD573/BD$680*BE$680</f>
        <v>6330.706571299339</v>
      </c>
      <c r="BF573" s="4">
        <v>937.8816908074132</v>
      </c>
      <c r="BG573" s="4">
        <f>BE573+BF573</f>
        <v>7268.588262106752</v>
      </c>
      <c r="BH573" s="4">
        <v>63513</v>
      </c>
      <c r="BI573" s="4">
        <v>64785</v>
      </c>
      <c r="BJ573" s="4"/>
      <c r="BK573" s="4">
        <f t="shared" si="80"/>
        <v>64785</v>
      </c>
      <c r="BL573" s="4">
        <f t="shared" si="79"/>
        <v>128298</v>
      </c>
      <c r="BM573" s="4"/>
      <c r="BN573" s="4"/>
      <c r="BO573" s="4">
        <v>9595.573472</v>
      </c>
      <c r="BP573" s="4"/>
      <c r="BQ573" s="4">
        <f t="shared" si="73"/>
        <v>3794245.5465108077</v>
      </c>
      <c r="BT573" s="4">
        <f t="shared" si="74"/>
        <v>2623635.835684736</v>
      </c>
      <c r="BW573" s="52"/>
      <c r="BX573" s="4">
        <f t="shared" si="71"/>
        <v>7069644.588294808</v>
      </c>
      <c r="BY573" s="4">
        <f t="shared" si="72"/>
        <v>5961622.120305372</v>
      </c>
    </row>
    <row r="574" spans="1:77" ht="12.75">
      <c r="A574" s="3" t="s">
        <v>1207</v>
      </c>
      <c r="B574" s="3" t="s">
        <v>573</v>
      </c>
      <c r="C574" s="3" t="s">
        <v>1349</v>
      </c>
      <c r="D574" s="3"/>
      <c r="E574" s="4"/>
      <c r="F574" s="4">
        <v>2047899.027168</v>
      </c>
      <c r="G574" s="4">
        <f t="shared" si="83"/>
        <v>2087030.8557126112</v>
      </c>
      <c r="H574" s="4"/>
      <c r="I574" s="4"/>
      <c r="J574" s="4">
        <v>55219.857797</v>
      </c>
      <c r="K574" s="4">
        <f t="shared" si="77"/>
        <v>56275.01431541401</v>
      </c>
      <c r="L574" s="4"/>
      <c r="M574" s="4"/>
      <c r="N574" s="4"/>
      <c r="O574" s="4"/>
      <c r="P574" s="4"/>
      <c r="Q574" s="4"/>
      <c r="R574" s="4"/>
      <c r="S574" s="4"/>
      <c r="T574" s="4">
        <v>20364.007684</v>
      </c>
      <c r="U574" s="4">
        <f t="shared" si="81"/>
        <v>20753.128849936307</v>
      </c>
      <c r="V574" s="4"/>
      <c r="W574" s="4"/>
      <c r="X574" s="4"/>
      <c r="Y574" s="4"/>
      <c r="Z574" s="13">
        <f t="shared" si="84"/>
        <v>2123482.8926489996</v>
      </c>
      <c r="AC574" s="13">
        <f t="shared" si="85"/>
        <v>2164058.9988779617</v>
      </c>
      <c r="AF574" s="51"/>
      <c r="AG574" s="4"/>
      <c r="AH574" s="4"/>
      <c r="AI574" s="4"/>
      <c r="AJ574" s="4"/>
      <c r="AK574" s="4"/>
      <c r="AL574" s="4">
        <v>2262475.454416</v>
      </c>
      <c r="AM574" s="4">
        <f t="shared" si="86"/>
        <v>1514821.7987823389</v>
      </c>
      <c r="AN574" s="4"/>
      <c r="AO574" s="4"/>
      <c r="AP574" s="4"/>
      <c r="AQ574" s="4"/>
      <c r="AR574" s="4">
        <v>79756.010574</v>
      </c>
      <c r="AS574" s="4">
        <f t="shared" si="78"/>
        <v>78186.70923658015</v>
      </c>
      <c r="AT574" s="4"/>
      <c r="AU574" s="4"/>
      <c r="AV574" s="4"/>
      <c r="AW574" s="4"/>
      <c r="AX574" s="4">
        <v>28887.968986</v>
      </c>
      <c r="AY574" s="4">
        <f t="shared" si="82"/>
        <v>28309.240918876858</v>
      </c>
      <c r="AZ574" s="4"/>
      <c r="BA574" s="4"/>
      <c r="BB574" s="4"/>
      <c r="BC574" s="4"/>
      <c r="BD574" s="4"/>
      <c r="BE574" s="4"/>
      <c r="BF574" s="4"/>
      <c r="BG574" s="4"/>
      <c r="BH574" s="4"/>
      <c r="BI574" s="4">
        <v>58099</v>
      </c>
      <c r="BJ574" s="4"/>
      <c r="BK574" s="4">
        <f>BI574</f>
        <v>58099</v>
      </c>
      <c r="BL574" s="4">
        <f>BH574+BK574</f>
        <v>58099</v>
      </c>
      <c r="BM574" s="4"/>
      <c r="BN574" s="4"/>
      <c r="BO574" s="4">
        <v>6220.932428</v>
      </c>
      <c r="BP574" s="4"/>
      <c r="BQ574" s="4">
        <f t="shared" si="73"/>
        <v>2435439.3664039997</v>
      </c>
      <c r="BT574" s="4">
        <f t="shared" si="74"/>
        <v>1679416.7489377959</v>
      </c>
      <c r="BW574" s="52"/>
      <c r="BX574" s="4">
        <f t="shared" si="71"/>
        <v>4558922.259052999</v>
      </c>
      <c r="BY574" s="4">
        <f t="shared" si="72"/>
        <v>3843475.7478157575</v>
      </c>
    </row>
    <row r="575" spans="1:77" ht="12.75">
      <c r="A575" s="3" t="s">
        <v>1208</v>
      </c>
      <c r="B575" s="3" t="s">
        <v>574</v>
      </c>
      <c r="C575" s="3" t="s">
        <v>1349</v>
      </c>
      <c r="D575" s="3"/>
      <c r="E575" s="4"/>
      <c r="F575" s="4">
        <v>3296472.983289</v>
      </c>
      <c r="G575" s="4">
        <f t="shared" si="83"/>
        <v>3359462.9129059874</v>
      </c>
      <c r="H575" s="4"/>
      <c r="I575" s="4"/>
      <c r="J575" s="4">
        <v>63297.445085</v>
      </c>
      <c r="K575" s="4">
        <f t="shared" si="77"/>
        <v>64506.950405095544</v>
      </c>
      <c r="L575" s="4"/>
      <c r="M575" s="4"/>
      <c r="N575" s="4"/>
      <c r="O575" s="4"/>
      <c r="P575" s="4"/>
      <c r="Q575" s="4"/>
      <c r="R575" s="4"/>
      <c r="S575" s="4"/>
      <c r="T575" s="4">
        <v>41296.171183</v>
      </c>
      <c r="U575" s="4">
        <f t="shared" si="81"/>
        <v>42085.26999541401</v>
      </c>
      <c r="V575" s="4"/>
      <c r="W575" s="4"/>
      <c r="X575" s="4"/>
      <c r="Y575" s="4"/>
      <c r="Z575" s="13">
        <f t="shared" si="84"/>
        <v>3401066.5995569997</v>
      </c>
      <c r="AC575" s="13">
        <f t="shared" si="85"/>
        <v>3466055.1333064972</v>
      </c>
      <c r="AF575" s="51"/>
      <c r="AG575" s="4"/>
      <c r="AH575" s="4"/>
      <c r="AI575" s="4"/>
      <c r="AJ575" s="4"/>
      <c r="AK575" s="4"/>
      <c r="AL575" s="4">
        <v>3641873.506407</v>
      </c>
      <c r="AM575" s="4">
        <f t="shared" si="86"/>
        <v>2438386.398908895</v>
      </c>
      <c r="AN575" s="4"/>
      <c r="AO575" s="4"/>
      <c r="AP575" s="4"/>
      <c r="AQ575" s="4"/>
      <c r="AR575" s="4">
        <v>91422.75806</v>
      </c>
      <c r="AS575" s="4">
        <f t="shared" si="78"/>
        <v>89623.89857014305</v>
      </c>
      <c r="AT575" s="4"/>
      <c r="AU575" s="4"/>
      <c r="AV575" s="4"/>
      <c r="AW575" s="4"/>
      <c r="AX575" s="4">
        <v>58581.912307</v>
      </c>
      <c r="AY575" s="4">
        <f t="shared" si="82"/>
        <v>57408.309659675164</v>
      </c>
      <c r="AZ575" s="4"/>
      <c r="BA575" s="4"/>
      <c r="BB575" s="4"/>
      <c r="BC575" s="4"/>
      <c r="BD575" s="4"/>
      <c r="BE575" s="4"/>
      <c r="BF575" s="4"/>
      <c r="BG575" s="4"/>
      <c r="BH575" s="4">
        <v>63031</v>
      </c>
      <c r="BI575" s="4">
        <v>63904</v>
      </c>
      <c r="BJ575" s="4"/>
      <c r="BK575" s="4">
        <f t="shared" si="80"/>
        <v>63904</v>
      </c>
      <c r="BL575" s="4">
        <f t="shared" si="79"/>
        <v>126935</v>
      </c>
      <c r="BM575" s="4"/>
      <c r="BN575" s="4"/>
      <c r="BO575" s="4">
        <v>9963.727785</v>
      </c>
      <c r="BP575" s="4"/>
      <c r="BQ575" s="4">
        <f t="shared" si="73"/>
        <v>3928776.904559</v>
      </c>
      <c r="BT575" s="4">
        <f t="shared" si="74"/>
        <v>2712353.6071387134</v>
      </c>
      <c r="BW575" s="52"/>
      <c r="BX575" s="4">
        <f t="shared" si="71"/>
        <v>7329843.504116</v>
      </c>
      <c r="BY575" s="4">
        <f t="shared" si="72"/>
        <v>6178408.740445211</v>
      </c>
    </row>
    <row r="576" spans="1:77" ht="12.75">
      <c r="A576" s="3" t="s">
        <v>1209</v>
      </c>
      <c r="B576" s="3" t="s">
        <v>575</v>
      </c>
      <c r="C576" s="3" t="s">
        <v>1349</v>
      </c>
      <c r="D576" s="3"/>
      <c r="E576" s="4"/>
      <c r="F576" s="4">
        <v>5059431.68328</v>
      </c>
      <c r="G576" s="4">
        <f t="shared" si="83"/>
        <v>5156108.721814013</v>
      </c>
      <c r="H576" s="4"/>
      <c r="I576" s="4"/>
      <c r="J576" s="4">
        <v>125797.435629</v>
      </c>
      <c r="K576" s="4">
        <f t="shared" si="77"/>
        <v>128201.20828433121</v>
      </c>
      <c r="L576" s="4"/>
      <c r="M576" s="4"/>
      <c r="N576" s="4"/>
      <c r="O576" s="4"/>
      <c r="P576" s="4"/>
      <c r="Q576" s="4"/>
      <c r="R576" s="4"/>
      <c r="S576" s="4"/>
      <c r="T576" s="4">
        <v>389783.398283</v>
      </c>
      <c r="U576" s="4">
        <f t="shared" si="81"/>
        <v>397231.48869605095</v>
      </c>
      <c r="V576" s="4"/>
      <c r="W576" s="4"/>
      <c r="X576" s="4"/>
      <c r="Y576" s="4"/>
      <c r="Z576" s="13">
        <f t="shared" si="84"/>
        <v>5575012.5171920005</v>
      </c>
      <c r="AC576" s="13">
        <f t="shared" si="85"/>
        <v>5681541.418794395</v>
      </c>
      <c r="AF576" s="51"/>
      <c r="AG576" s="4"/>
      <c r="AH576" s="4"/>
      <c r="AI576" s="4"/>
      <c r="AJ576" s="4"/>
      <c r="AK576" s="4"/>
      <c r="AL576" s="4">
        <v>5589552.924661</v>
      </c>
      <c r="AM576" s="4">
        <f t="shared" si="86"/>
        <v>3742439.105448614</v>
      </c>
      <c r="AN576" s="4"/>
      <c r="AO576" s="4"/>
      <c r="AP576" s="4"/>
      <c r="AQ576" s="4"/>
      <c r="AR576" s="4">
        <v>181693.724078</v>
      </c>
      <c r="AS576" s="4">
        <f t="shared" si="78"/>
        <v>178118.66807727586</v>
      </c>
      <c r="AT576" s="4"/>
      <c r="AU576" s="4"/>
      <c r="AV576" s="4"/>
      <c r="AW576" s="4"/>
      <c r="AX576" s="4">
        <v>552938.836771</v>
      </c>
      <c r="AY576" s="4">
        <f t="shared" si="82"/>
        <v>541861.5185837338</v>
      </c>
      <c r="AZ576" s="4"/>
      <c r="BA576" s="4"/>
      <c r="BB576" s="4"/>
      <c r="BC576" s="4"/>
      <c r="BD576" s="4"/>
      <c r="BE576" s="4"/>
      <c r="BF576" s="4"/>
      <c r="BG576" s="4"/>
      <c r="BH576" s="4"/>
      <c r="BI576" s="4"/>
      <c r="BJ576" s="4"/>
      <c r="BK576" s="4"/>
      <c r="BL576" s="4"/>
      <c r="BM576" s="4"/>
      <c r="BN576" s="4"/>
      <c r="BO576" s="4">
        <v>16332.496143</v>
      </c>
      <c r="BP576" s="4"/>
      <c r="BQ576" s="4">
        <f t="shared" si="73"/>
        <v>6340517.981653</v>
      </c>
      <c r="BT576" s="4">
        <f t="shared" si="74"/>
        <v>4462419.292109624</v>
      </c>
      <c r="BW576" s="52"/>
      <c r="BX576" s="4">
        <f t="shared" si="71"/>
        <v>11915530.498845</v>
      </c>
      <c r="BY576" s="4">
        <f t="shared" si="72"/>
        <v>10143960.710904019</v>
      </c>
    </row>
    <row r="577" spans="1:77" ht="12.75">
      <c r="A577" s="3" t="s">
        <v>1210</v>
      </c>
      <c r="B577" s="3" t="s">
        <v>576</v>
      </c>
      <c r="C577" s="3" t="s">
        <v>1349</v>
      </c>
      <c r="D577" s="3"/>
      <c r="E577" s="4"/>
      <c r="F577" s="4">
        <v>2229814.578823</v>
      </c>
      <c r="G577" s="4">
        <f t="shared" si="83"/>
        <v>2272422.5007113377</v>
      </c>
      <c r="H577" s="4"/>
      <c r="I577" s="4"/>
      <c r="J577" s="4">
        <v>69743.060797</v>
      </c>
      <c r="K577" s="4">
        <f t="shared" si="77"/>
        <v>71075.73074853503</v>
      </c>
      <c r="L577" s="4"/>
      <c r="M577" s="4"/>
      <c r="N577" s="4"/>
      <c r="O577" s="4"/>
      <c r="P577" s="4"/>
      <c r="Q577" s="4"/>
      <c r="R577" s="4"/>
      <c r="S577" s="4"/>
      <c r="T577" s="4">
        <v>20364.007684</v>
      </c>
      <c r="U577" s="4">
        <f t="shared" si="81"/>
        <v>20753.128849936307</v>
      </c>
      <c r="V577" s="4"/>
      <c r="W577" s="4"/>
      <c r="X577" s="4"/>
      <c r="Y577" s="4"/>
      <c r="Z577" s="13">
        <f t="shared" si="84"/>
        <v>2319921.647304</v>
      </c>
      <c r="AC577" s="13">
        <f t="shared" si="85"/>
        <v>2364251.360309809</v>
      </c>
      <c r="AF577" s="51"/>
      <c r="AG577" s="4"/>
      <c r="AH577" s="4"/>
      <c r="AI577" s="4"/>
      <c r="AJ577" s="4"/>
      <c r="AK577" s="4"/>
      <c r="AL577" s="4">
        <v>2463451.901466</v>
      </c>
      <c r="AM577" s="4">
        <f t="shared" si="86"/>
        <v>1649383.9229543111</v>
      </c>
      <c r="AN577" s="4"/>
      <c r="AO577" s="4"/>
      <c r="AP577" s="4"/>
      <c r="AQ577" s="4"/>
      <c r="AR577" s="4">
        <v>100732.390779</v>
      </c>
      <c r="AS577" s="4">
        <f t="shared" si="78"/>
        <v>98750.35237921929</v>
      </c>
      <c r="AT577" s="4"/>
      <c r="AU577" s="4"/>
      <c r="AV577" s="4"/>
      <c r="AW577" s="4"/>
      <c r="AX577" s="4">
        <v>28887.968986</v>
      </c>
      <c r="AY577" s="4">
        <f t="shared" si="82"/>
        <v>28309.240918876858</v>
      </c>
      <c r="AZ577" s="4"/>
      <c r="BA577" s="4"/>
      <c r="BB577" s="4"/>
      <c r="BC577" s="4"/>
      <c r="BD577" s="4">
        <v>4952.294118</v>
      </c>
      <c r="BE577" s="4">
        <f>BD577/BD$680*BE$680</f>
        <v>7037.471355341114</v>
      </c>
      <c r="BF577" s="4">
        <v>1042.587499423684</v>
      </c>
      <c r="BG577" s="4">
        <f>BE577+BF577</f>
        <v>8080.058854764798</v>
      </c>
      <c r="BH577" s="4">
        <v>67536</v>
      </c>
      <c r="BI577" s="4">
        <v>66936</v>
      </c>
      <c r="BJ577" s="4"/>
      <c r="BK577" s="4">
        <f t="shared" si="80"/>
        <v>66936</v>
      </c>
      <c r="BL577" s="4">
        <f t="shared" si="79"/>
        <v>134472</v>
      </c>
      <c r="BM577" s="4"/>
      <c r="BN577" s="4"/>
      <c r="BO577" s="4">
        <v>6796.417271</v>
      </c>
      <c r="BP577" s="4"/>
      <c r="BQ577" s="4">
        <f t="shared" si="73"/>
        <v>2740335.5601194235</v>
      </c>
      <c r="BT577" s="4">
        <f t="shared" si="74"/>
        <v>1918995.5751071721</v>
      </c>
      <c r="BW577" s="52"/>
      <c r="BX577" s="4">
        <f t="shared" si="71"/>
        <v>5060257.207423423</v>
      </c>
      <c r="BY577" s="4">
        <f t="shared" si="72"/>
        <v>4283246.935416982</v>
      </c>
    </row>
    <row r="578" spans="1:77" ht="12.75">
      <c r="A578" s="3" t="s">
        <v>1211</v>
      </c>
      <c r="B578" s="3" t="s">
        <v>577</v>
      </c>
      <c r="C578" s="3" t="s">
        <v>1349</v>
      </c>
      <c r="D578" s="3"/>
      <c r="E578" s="4"/>
      <c r="F578" s="4">
        <v>2018617.421844</v>
      </c>
      <c r="G578" s="4">
        <f t="shared" si="83"/>
        <v>2057189.7292677707</v>
      </c>
      <c r="H578" s="4"/>
      <c r="I578" s="4"/>
      <c r="J578" s="4">
        <v>57536.874591</v>
      </c>
      <c r="K578" s="4">
        <f t="shared" si="77"/>
        <v>58636.30531566879</v>
      </c>
      <c r="L578" s="4"/>
      <c r="M578" s="4"/>
      <c r="N578" s="4"/>
      <c r="O578" s="4"/>
      <c r="P578" s="4"/>
      <c r="Q578" s="4"/>
      <c r="R578" s="4"/>
      <c r="S578" s="4"/>
      <c r="T578" s="4">
        <v>34613.925701</v>
      </c>
      <c r="U578" s="4">
        <f t="shared" si="81"/>
        <v>35275.33829401274</v>
      </c>
      <c r="V578" s="4"/>
      <c r="W578" s="4"/>
      <c r="X578" s="4"/>
      <c r="Y578" s="4"/>
      <c r="Z578" s="13">
        <f t="shared" si="84"/>
        <v>2110768.2221359997</v>
      </c>
      <c r="AC578" s="13">
        <f t="shared" si="85"/>
        <v>2151101.3728774525</v>
      </c>
      <c r="AF578" s="51"/>
      <c r="AG578" s="4"/>
      <c r="AH578" s="4"/>
      <c r="AI578" s="4"/>
      <c r="AJ578" s="4"/>
      <c r="AK578" s="4"/>
      <c r="AL578" s="4">
        <v>2230125.757272</v>
      </c>
      <c r="AM578" s="4">
        <f t="shared" si="86"/>
        <v>1493162.3256056954</v>
      </c>
      <c r="AN578" s="4"/>
      <c r="AO578" s="4"/>
      <c r="AP578" s="4"/>
      <c r="AQ578" s="4"/>
      <c r="AR578" s="4">
        <v>83102.560589</v>
      </c>
      <c r="AS578" s="4">
        <f t="shared" si="78"/>
        <v>81467.41160728995</v>
      </c>
      <c r="AT578" s="4"/>
      <c r="AU578" s="4"/>
      <c r="AV578" s="4"/>
      <c r="AW578" s="4"/>
      <c r="AX578" s="4">
        <v>49102.614164</v>
      </c>
      <c r="AY578" s="4">
        <f t="shared" si="82"/>
        <v>48118.91534461963</v>
      </c>
      <c r="AZ578" s="4"/>
      <c r="BA578" s="4"/>
      <c r="BB578" s="4"/>
      <c r="BC578" s="4"/>
      <c r="BD578" s="4">
        <v>1067.352941</v>
      </c>
      <c r="BE578" s="4">
        <f>BD578/BD$680*BE$680</f>
        <v>1516.7648708554746</v>
      </c>
      <c r="BF578" s="4">
        <v>224.705723699851</v>
      </c>
      <c r="BG578" s="4">
        <f>BE578+BF578</f>
        <v>1741.4705945553255</v>
      </c>
      <c r="BH578" s="4">
        <v>58155</v>
      </c>
      <c r="BI578" s="4">
        <v>58422</v>
      </c>
      <c r="BJ578" s="4"/>
      <c r="BK578" s="4">
        <f t="shared" si="80"/>
        <v>58422</v>
      </c>
      <c r="BL578" s="4">
        <f t="shared" si="79"/>
        <v>116577</v>
      </c>
      <c r="BM578" s="4"/>
      <c r="BN578" s="4"/>
      <c r="BO578" s="4">
        <v>6183.683667</v>
      </c>
      <c r="BP578" s="4"/>
      <c r="BQ578" s="4">
        <f t="shared" si="73"/>
        <v>2486383.6743566995</v>
      </c>
      <c r="BT578" s="4">
        <f t="shared" si="74"/>
        <v>1741067.1231521603</v>
      </c>
      <c r="BW578" s="52"/>
      <c r="BX578" s="4">
        <f aca="true" t="shared" si="87" ref="BX578:BX641">Z578+BQ578</f>
        <v>4597151.896492699</v>
      </c>
      <c r="BY578" s="4">
        <f aca="true" t="shared" si="88" ref="BY578:BY641">AC578+BT578</f>
        <v>3892168.4960296126</v>
      </c>
    </row>
    <row r="579" spans="1:77" ht="12.75">
      <c r="A579" s="3" t="s">
        <v>1212</v>
      </c>
      <c r="B579" s="3" t="s">
        <v>578</v>
      </c>
      <c r="C579" s="3" t="s">
        <v>1349</v>
      </c>
      <c r="D579" s="3"/>
      <c r="E579" s="4"/>
      <c r="F579" s="4">
        <v>1821745.02562</v>
      </c>
      <c r="G579" s="4">
        <f t="shared" si="83"/>
        <v>1856555.4401222928</v>
      </c>
      <c r="H579" s="4"/>
      <c r="I579" s="4"/>
      <c r="J579" s="4">
        <v>35090.443481</v>
      </c>
      <c r="K579" s="4">
        <f t="shared" si="77"/>
        <v>35760.96150929936</v>
      </c>
      <c r="L579" s="4"/>
      <c r="M579" s="4"/>
      <c r="N579" s="4"/>
      <c r="O579" s="4"/>
      <c r="P579" s="4"/>
      <c r="Q579" s="4"/>
      <c r="R579" s="4"/>
      <c r="S579" s="4"/>
      <c r="T579" s="4">
        <v>54457.836629</v>
      </c>
      <c r="U579" s="4">
        <f t="shared" si="81"/>
        <v>55498.432233375795</v>
      </c>
      <c r="V579" s="4"/>
      <c r="W579" s="4"/>
      <c r="X579" s="4"/>
      <c r="Y579" s="4"/>
      <c r="Z579" s="13">
        <f t="shared" si="84"/>
        <v>1911293.30573</v>
      </c>
      <c r="AC579" s="13">
        <f t="shared" si="85"/>
        <v>1947814.833864968</v>
      </c>
      <c r="AF579" s="51"/>
      <c r="AG579" s="4"/>
      <c r="AH579" s="4"/>
      <c r="AI579" s="4"/>
      <c r="AJ579" s="4"/>
      <c r="AK579" s="4"/>
      <c r="AL579" s="4">
        <v>2012625.305248</v>
      </c>
      <c r="AM579" s="4">
        <f t="shared" si="86"/>
        <v>1347536.6900533251</v>
      </c>
      <c r="AN579" s="4"/>
      <c r="AO579" s="4"/>
      <c r="AP579" s="4"/>
      <c r="AQ579" s="4"/>
      <c r="AR579" s="4">
        <v>50682.379365</v>
      </c>
      <c r="AS579" s="4">
        <f t="shared" si="78"/>
        <v>49685.13884170027</v>
      </c>
      <c r="AT579" s="4"/>
      <c r="AU579" s="4"/>
      <c r="AV579" s="4"/>
      <c r="AW579" s="4"/>
      <c r="AX579" s="4">
        <v>77252.784422</v>
      </c>
      <c r="AY579" s="4">
        <f t="shared" si="82"/>
        <v>75705.13825033276</v>
      </c>
      <c r="AZ579" s="4"/>
      <c r="BA579" s="4"/>
      <c r="BB579" s="4"/>
      <c r="BC579" s="4"/>
      <c r="BD579" s="4">
        <v>14890.411765</v>
      </c>
      <c r="BE579" s="4">
        <f>BD579/BD$680*BE$680</f>
        <v>21160.061128950467</v>
      </c>
      <c r="BF579" s="4">
        <v>3134.821316656774</v>
      </c>
      <c r="BG579" s="4">
        <f>BE579+BF579</f>
        <v>24294.88244560724</v>
      </c>
      <c r="BH579" s="4">
        <v>35317</v>
      </c>
      <c r="BI579" s="4">
        <v>35685</v>
      </c>
      <c r="BJ579" s="4"/>
      <c r="BK579" s="4">
        <f t="shared" si="80"/>
        <v>35685</v>
      </c>
      <c r="BL579" s="4">
        <f t="shared" si="79"/>
        <v>71002</v>
      </c>
      <c r="BM579" s="4"/>
      <c r="BN579" s="4"/>
      <c r="BO579" s="4">
        <v>5599.304118</v>
      </c>
      <c r="BP579" s="4"/>
      <c r="BQ579" s="4">
        <f t="shared" si="73"/>
        <v>2235187.0062346566</v>
      </c>
      <c r="BT579" s="4">
        <f t="shared" si="74"/>
        <v>1568223.8495909655</v>
      </c>
      <c r="BW579" s="52"/>
      <c r="BX579" s="4">
        <f t="shared" si="87"/>
        <v>4146480.311964656</v>
      </c>
      <c r="BY579" s="4">
        <f t="shared" si="88"/>
        <v>3516038.683455934</v>
      </c>
    </row>
    <row r="580" spans="1:77" ht="12.75">
      <c r="A580" s="3" t="s">
        <v>1213</v>
      </c>
      <c r="B580" s="3" t="s">
        <v>579</v>
      </c>
      <c r="C580" s="3" t="s">
        <v>1349</v>
      </c>
      <c r="D580" s="3"/>
      <c r="E580" s="4"/>
      <c r="F580" s="4">
        <v>2444485.498939</v>
      </c>
      <c r="G580" s="4">
        <f t="shared" si="83"/>
        <v>2491195.412931465</v>
      </c>
      <c r="H580" s="4"/>
      <c r="I580" s="4"/>
      <c r="J580" s="4">
        <v>61175.515484</v>
      </c>
      <c r="K580" s="4">
        <f t="shared" si="77"/>
        <v>62344.47437859873</v>
      </c>
      <c r="L580" s="4"/>
      <c r="M580" s="4"/>
      <c r="N580" s="4"/>
      <c r="O580" s="4"/>
      <c r="P580" s="4"/>
      <c r="Q580" s="4"/>
      <c r="R580" s="4"/>
      <c r="S580" s="4"/>
      <c r="T580" s="4">
        <v>82806.571727</v>
      </c>
      <c r="U580" s="4">
        <f t="shared" si="81"/>
        <v>84388.86290649681</v>
      </c>
      <c r="V580" s="4"/>
      <c r="W580" s="4"/>
      <c r="X580" s="4"/>
      <c r="Y580" s="4"/>
      <c r="Z580" s="13">
        <f t="shared" si="84"/>
        <v>2588467.5861500003</v>
      </c>
      <c r="AC580" s="13">
        <f t="shared" si="85"/>
        <v>2637928.750216561</v>
      </c>
      <c r="AF580" s="51"/>
      <c r="AG580" s="4"/>
      <c r="AH580" s="4"/>
      <c r="AI580" s="4"/>
      <c r="AJ580" s="4"/>
      <c r="AK580" s="4"/>
      <c r="AL580" s="4">
        <v>2700615.785571</v>
      </c>
      <c r="AM580" s="4">
        <f t="shared" si="86"/>
        <v>1808175.0474391847</v>
      </c>
      <c r="AN580" s="4"/>
      <c r="AO580" s="4"/>
      <c r="AP580" s="4"/>
      <c r="AQ580" s="4"/>
      <c r="AR580" s="4">
        <v>88357.979438</v>
      </c>
      <c r="AS580" s="4">
        <f t="shared" si="78"/>
        <v>86619.42338052121</v>
      </c>
      <c r="AT580" s="4"/>
      <c r="AU580" s="4"/>
      <c r="AV580" s="4"/>
      <c r="AW580" s="4"/>
      <c r="AX580" s="4">
        <v>117467.726048</v>
      </c>
      <c r="AY580" s="4">
        <f t="shared" si="82"/>
        <v>115114.43253407883</v>
      </c>
      <c r="AZ580" s="4"/>
      <c r="BA580" s="4"/>
      <c r="BB580" s="4"/>
      <c r="BC580" s="4"/>
      <c r="BD580" s="4">
        <v>28532.411765</v>
      </c>
      <c r="BE580" s="4">
        <f>BD580/BD$680*BE$680</f>
        <v>40546.06324070216</v>
      </c>
      <c r="BF580" s="4">
        <v>6006.81928936238</v>
      </c>
      <c r="BG580" s="4">
        <f>BE580+BF580</f>
        <v>46552.88253006454</v>
      </c>
      <c r="BH580" s="4">
        <v>59854</v>
      </c>
      <c r="BI580" s="4">
        <v>60671</v>
      </c>
      <c r="BJ580" s="4"/>
      <c r="BK580" s="4">
        <f t="shared" si="80"/>
        <v>60671</v>
      </c>
      <c r="BL580" s="4">
        <f t="shared" si="79"/>
        <v>120525</v>
      </c>
      <c r="BM580" s="4"/>
      <c r="BN580" s="4"/>
      <c r="BO580" s="4">
        <v>7583.146537</v>
      </c>
      <c r="BP580" s="4"/>
      <c r="BQ580" s="4">
        <f t="shared" si="73"/>
        <v>3069088.8686483623</v>
      </c>
      <c r="BT580" s="4">
        <f t="shared" si="74"/>
        <v>2176986.7858838495</v>
      </c>
      <c r="BW580" s="52"/>
      <c r="BX580" s="4">
        <f t="shared" si="87"/>
        <v>5657556.454798363</v>
      </c>
      <c r="BY580" s="4">
        <f t="shared" si="88"/>
        <v>4814915.53610041</v>
      </c>
    </row>
    <row r="581" spans="1:77" ht="12.75">
      <c r="A581" s="3" t="s">
        <v>1214</v>
      </c>
      <c r="B581" s="3" t="s">
        <v>580</v>
      </c>
      <c r="C581" s="3" t="s">
        <v>1349</v>
      </c>
      <c r="D581" s="3"/>
      <c r="E581" s="4"/>
      <c r="F581" s="4">
        <v>3062009.780003</v>
      </c>
      <c r="G581" s="4">
        <f t="shared" si="83"/>
        <v>3120519.5210221657</v>
      </c>
      <c r="H581" s="4"/>
      <c r="I581" s="4"/>
      <c r="J581" s="4">
        <v>53389.540786</v>
      </c>
      <c r="K581" s="4">
        <f t="shared" si="77"/>
        <v>54409.723094012734</v>
      </c>
      <c r="L581" s="4"/>
      <c r="M581" s="4"/>
      <c r="N581" s="4"/>
      <c r="O581" s="4"/>
      <c r="P581" s="4"/>
      <c r="Q581" s="4"/>
      <c r="R581" s="4"/>
      <c r="S581" s="4"/>
      <c r="T581" s="4">
        <v>48788.08961</v>
      </c>
      <c r="U581" s="4">
        <f t="shared" si="81"/>
        <v>49720.34609936306</v>
      </c>
      <c r="V581" s="4"/>
      <c r="W581" s="4"/>
      <c r="X581" s="4"/>
      <c r="Y581" s="4"/>
      <c r="Z581" s="13">
        <f t="shared" si="84"/>
        <v>3164187.410399</v>
      </c>
      <c r="AC581" s="13">
        <f t="shared" si="85"/>
        <v>3224649.5902155414</v>
      </c>
      <c r="AF581" s="51"/>
      <c r="AG581" s="4"/>
      <c r="AH581" s="4"/>
      <c r="AI581" s="4"/>
      <c r="AJ581" s="4"/>
      <c r="AK581" s="4"/>
      <c r="AL581" s="4">
        <v>3382843.527212</v>
      </c>
      <c r="AM581" s="4">
        <f t="shared" si="86"/>
        <v>2264955.0106227375</v>
      </c>
      <c r="AN581" s="4"/>
      <c r="AO581" s="4"/>
      <c r="AP581" s="4"/>
      <c r="AQ581" s="4"/>
      <c r="AR581" s="4">
        <v>77112.418419</v>
      </c>
      <c r="AS581" s="4">
        <f t="shared" si="78"/>
        <v>75595.13313246555</v>
      </c>
      <c r="AT581" s="4"/>
      <c r="AU581" s="4"/>
      <c r="AV581" s="4"/>
      <c r="AW581" s="4"/>
      <c r="AX581" s="4">
        <v>69209.796097</v>
      </c>
      <c r="AY581" s="4">
        <f t="shared" si="82"/>
        <v>67823.27939377955</v>
      </c>
      <c r="AZ581" s="4"/>
      <c r="BA581" s="4"/>
      <c r="BB581" s="4"/>
      <c r="BC581" s="4"/>
      <c r="BD581" s="4"/>
      <c r="BE581" s="4"/>
      <c r="BF581" s="4"/>
      <c r="BG581" s="4"/>
      <c r="BH581" s="4"/>
      <c r="BI581" s="4"/>
      <c r="BJ581" s="4"/>
      <c r="BK581" s="4"/>
      <c r="BL581" s="4"/>
      <c r="BM581" s="4"/>
      <c r="BN581" s="4"/>
      <c r="BO581" s="4">
        <v>9269.769084</v>
      </c>
      <c r="BP581" s="4"/>
      <c r="BQ581" s="4">
        <f t="shared" si="73"/>
        <v>3538435.5108120004</v>
      </c>
      <c r="BT581" s="4">
        <f t="shared" si="74"/>
        <v>2408373.4231489827</v>
      </c>
      <c r="BW581" s="52"/>
      <c r="BX581" s="4">
        <f t="shared" si="87"/>
        <v>6702622.9212110005</v>
      </c>
      <c r="BY581" s="4">
        <f t="shared" si="88"/>
        <v>5633023.013364524</v>
      </c>
    </row>
    <row r="582" spans="1:77" ht="12.75">
      <c r="A582" s="3" t="s">
        <v>1215</v>
      </c>
      <c r="B582" s="3" t="s">
        <v>581</v>
      </c>
      <c r="C582" s="3" t="s">
        <v>1349</v>
      </c>
      <c r="D582" s="3"/>
      <c r="E582" s="4"/>
      <c r="F582" s="4">
        <v>2305989.650784</v>
      </c>
      <c r="G582" s="4">
        <f t="shared" si="83"/>
        <v>2350053.147295796</v>
      </c>
      <c r="H582" s="4"/>
      <c r="I582" s="4"/>
      <c r="J582" s="4">
        <v>56074.73884</v>
      </c>
      <c r="K582" s="4">
        <f t="shared" si="77"/>
        <v>57146.23066496815</v>
      </c>
      <c r="L582" s="4"/>
      <c r="M582" s="4"/>
      <c r="N582" s="4"/>
      <c r="O582" s="4"/>
      <c r="P582" s="4"/>
      <c r="Q582" s="4"/>
      <c r="R582" s="4"/>
      <c r="S582" s="4"/>
      <c r="T582" s="4">
        <v>49800.588072</v>
      </c>
      <c r="U582" s="4">
        <f t="shared" si="81"/>
        <v>50752.191665732484</v>
      </c>
      <c r="V582" s="4"/>
      <c r="W582" s="4"/>
      <c r="X582" s="4"/>
      <c r="Y582" s="4"/>
      <c r="Z582" s="13">
        <f t="shared" si="84"/>
        <v>2411864.9776959997</v>
      </c>
      <c r="AC582" s="13">
        <f t="shared" si="85"/>
        <v>2457951.569626496</v>
      </c>
      <c r="AF582" s="51"/>
      <c r="AG582" s="4"/>
      <c r="AH582" s="4"/>
      <c r="AI582" s="4"/>
      <c r="AJ582" s="4"/>
      <c r="AK582" s="4"/>
      <c r="AL582" s="4">
        <v>2547608.506975</v>
      </c>
      <c r="AM582" s="4">
        <f t="shared" si="86"/>
        <v>1705730.2847624505</v>
      </c>
      <c r="AN582" s="4"/>
      <c r="AO582" s="4"/>
      <c r="AP582" s="4"/>
      <c r="AQ582" s="4"/>
      <c r="AR582" s="4">
        <v>80990.745761</v>
      </c>
      <c r="AS582" s="4">
        <f t="shared" si="78"/>
        <v>79397.14943231399</v>
      </c>
      <c r="AT582" s="4"/>
      <c r="AU582" s="4"/>
      <c r="AV582" s="4"/>
      <c r="AW582" s="4"/>
      <c r="AX582" s="4">
        <v>70646.105915</v>
      </c>
      <c r="AY582" s="4">
        <f t="shared" si="82"/>
        <v>69230.81485228185</v>
      </c>
      <c r="AZ582" s="4"/>
      <c r="BA582" s="4"/>
      <c r="BB582" s="4"/>
      <c r="BC582" s="4"/>
      <c r="BD582" s="4">
        <v>3254.588235</v>
      </c>
      <c r="BE582" s="4">
        <f>BD582/BD$680*BE$680</f>
        <v>4624.941679855755</v>
      </c>
      <c r="BF582" s="4">
        <v>685.1759868722706</v>
      </c>
      <c r="BG582" s="4">
        <f>BE582+BF582</f>
        <v>5310.117666728025</v>
      </c>
      <c r="BH582" s="4">
        <v>56747</v>
      </c>
      <c r="BI582" s="4"/>
      <c r="BJ582" s="4"/>
      <c r="BK582" s="4"/>
      <c r="BL582" s="4">
        <f t="shared" si="79"/>
        <v>56747</v>
      </c>
      <c r="BM582" s="4"/>
      <c r="BN582" s="4"/>
      <c r="BO582" s="4">
        <v>7065.773453</v>
      </c>
      <c r="BP582" s="4"/>
      <c r="BQ582" s="4">
        <f t="shared" si="73"/>
        <v>2766997.8963258723</v>
      </c>
      <c r="BT582" s="4">
        <f t="shared" si="74"/>
        <v>1916415.3667137746</v>
      </c>
      <c r="BW582" s="52"/>
      <c r="BX582" s="4">
        <f t="shared" si="87"/>
        <v>5178862.874021872</v>
      </c>
      <c r="BY582" s="4">
        <f t="shared" si="88"/>
        <v>4374366.936340271</v>
      </c>
    </row>
    <row r="583" spans="1:77" ht="12.75">
      <c r="A583" s="3" t="s">
        <v>1216</v>
      </c>
      <c r="B583" s="3" t="s">
        <v>582</v>
      </c>
      <c r="C583" s="3" t="s">
        <v>1349</v>
      </c>
      <c r="D583" s="3"/>
      <c r="E583" s="4"/>
      <c r="F583" s="4">
        <v>1030804.22854</v>
      </c>
      <c r="G583" s="4">
        <f t="shared" si="83"/>
        <v>1050501.1246267515</v>
      </c>
      <c r="H583" s="4"/>
      <c r="I583" s="4"/>
      <c r="J583" s="4">
        <v>19962.022173</v>
      </c>
      <c r="K583" s="4">
        <f t="shared" si="77"/>
        <v>20343.462087133757</v>
      </c>
      <c r="L583" s="4"/>
      <c r="M583" s="4"/>
      <c r="N583" s="4"/>
      <c r="O583" s="4"/>
      <c r="P583" s="4"/>
      <c r="Q583" s="4"/>
      <c r="R583" s="4"/>
      <c r="S583" s="4"/>
      <c r="T583" s="4">
        <v>20364.007684</v>
      </c>
      <c r="U583" s="4">
        <f t="shared" si="81"/>
        <v>20753.128849936307</v>
      </c>
      <c r="V583" s="4"/>
      <c r="W583" s="4"/>
      <c r="X583" s="4"/>
      <c r="Y583" s="4"/>
      <c r="Z583" s="13">
        <f t="shared" si="84"/>
        <v>1071130.2583970001</v>
      </c>
      <c r="AC583" s="13">
        <f t="shared" si="85"/>
        <v>1091597.7155638216</v>
      </c>
      <c r="AF583" s="51"/>
      <c r="AG583" s="4"/>
      <c r="AH583" s="4"/>
      <c r="AI583" s="4"/>
      <c r="AJ583" s="4"/>
      <c r="AK583" s="4"/>
      <c r="AL583" s="4">
        <v>1138810.671054</v>
      </c>
      <c r="AM583" s="4">
        <f t="shared" si="86"/>
        <v>762481.3015458025</v>
      </c>
      <c r="AN583" s="4"/>
      <c r="AO583" s="4"/>
      <c r="AP583" s="4"/>
      <c r="AQ583" s="4"/>
      <c r="AR583" s="4">
        <v>28831.860765</v>
      </c>
      <c r="AS583" s="4">
        <f t="shared" si="78"/>
        <v>28264.557093048694</v>
      </c>
      <c r="AT583" s="4"/>
      <c r="AU583" s="4"/>
      <c r="AV583" s="4"/>
      <c r="AW583" s="4"/>
      <c r="AX583" s="4">
        <v>28887.968986</v>
      </c>
      <c r="AY583" s="4">
        <f t="shared" si="82"/>
        <v>28309.240918876858</v>
      </c>
      <c r="AZ583" s="4"/>
      <c r="BA583" s="4"/>
      <c r="BB583" s="4"/>
      <c r="BC583" s="4"/>
      <c r="BD583" s="4">
        <v>25069.941176</v>
      </c>
      <c r="BE583" s="4">
        <f>BD583/BD$680*BE$680</f>
        <v>35625.70976245614</v>
      </c>
      <c r="BF583" s="4">
        <v>5277.878627277584</v>
      </c>
      <c r="BG583" s="4">
        <f>BE583+BF583</f>
        <v>40903.588389733726</v>
      </c>
      <c r="BH583" s="4"/>
      <c r="BI583" s="4">
        <v>20532</v>
      </c>
      <c r="BJ583" s="4"/>
      <c r="BK583" s="4">
        <f t="shared" si="80"/>
        <v>20532</v>
      </c>
      <c r="BL583" s="4">
        <f t="shared" si="79"/>
        <v>20532</v>
      </c>
      <c r="BM583" s="4"/>
      <c r="BN583" s="4"/>
      <c r="BO583" s="4">
        <v>3137.971576</v>
      </c>
      <c r="BP583" s="4"/>
      <c r="BQ583" s="4">
        <f t="shared" si="73"/>
        <v>1250548.292184278</v>
      </c>
      <c r="BT583" s="4">
        <f t="shared" si="74"/>
        <v>880490.6879474617</v>
      </c>
      <c r="BW583" s="52"/>
      <c r="BX583" s="4">
        <f t="shared" si="87"/>
        <v>2321678.5505812783</v>
      </c>
      <c r="BY583" s="4">
        <f t="shared" si="88"/>
        <v>1972088.4035112835</v>
      </c>
    </row>
    <row r="584" spans="1:77" ht="12.75">
      <c r="A584" s="3" t="s">
        <v>1217</v>
      </c>
      <c r="B584" s="3" t="s">
        <v>583</v>
      </c>
      <c r="C584" s="3" t="s">
        <v>1349</v>
      </c>
      <c r="D584" s="3"/>
      <c r="E584" s="4"/>
      <c r="F584" s="4">
        <v>3150642.196871</v>
      </c>
      <c r="G584" s="4">
        <f t="shared" si="83"/>
        <v>3210845.5509513374</v>
      </c>
      <c r="H584" s="4"/>
      <c r="I584" s="4"/>
      <c r="J584" s="4">
        <v>92810.594142</v>
      </c>
      <c r="K584" s="4">
        <f t="shared" si="77"/>
        <v>94584.04498547771</v>
      </c>
      <c r="L584" s="4"/>
      <c r="M584" s="4"/>
      <c r="N584" s="4"/>
      <c r="O584" s="4"/>
      <c r="P584" s="4"/>
      <c r="Q584" s="4"/>
      <c r="R584" s="4"/>
      <c r="S584" s="4"/>
      <c r="T584" s="4">
        <v>22585.720923</v>
      </c>
      <c r="U584" s="4">
        <f t="shared" si="81"/>
        <v>23017.295208152867</v>
      </c>
      <c r="V584" s="4"/>
      <c r="W584" s="4"/>
      <c r="X584" s="4"/>
      <c r="Y584" s="4"/>
      <c r="Z584" s="13">
        <f t="shared" si="84"/>
        <v>3266038.511936</v>
      </c>
      <c r="AC584" s="13">
        <f t="shared" si="85"/>
        <v>3328446.891144968</v>
      </c>
      <c r="AF584" s="51"/>
      <c r="AG584" s="4"/>
      <c r="AH584" s="4"/>
      <c r="AI584" s="4"/>
      <c r="AJ584" s="4"/>
      <c r="AK584" s="4"/>
      <c r="AL584" s="4">
        <v>3480762.743429</v>
      </c>
      <c r="AM584" s="4">
        <f t="shared" si="86"/>
        <v>2330516.015033051</v>
      </c>
      <c r="AN584" s="4"/>
      <c r="AO584" s="4"/>
      <c r="AP584" s="4"/>
      <c r="AQ584" s="4"/>
      <c r="AR584" s="4">
        <v>134049.652118</v>
      </c>
      <c r="AS584" s="4">
        <f t="shared" si="78"/>
        <v>131412.0540631893</v>
      </c>
      <c r="AT584" s="4"/>
      <c r="AU584" s="4"/>
      <c r="AV584" s="4"/>
      <c r="AW584" s="4"/>
      <c r="AX584" s="4">
        <v>32039.646403</v>
      </c>
      <c r="AY584" s="4">
        <f t="shared" si="82"/>
        <v>31397.779103741155</v>
      </c>
      <c r="AZ584" s="4"/>
      <c r="BA584" s="4"/>
      <c r="BB584" s="4"/>
      <c r="BC584" s="4"/>
      <c r="BD584" s="4">
        <v>19502.941176</v>
      </c>
      <c r="BE584" s="4">
        <f>BD584/BD$680*BE$680</f>
        <v>27714.70890069675</v>
      </c>
      <c r="BF584" s="4">
        <v>4105.879454571815</v>
      </c>
      <c r="BG584" s="4">
        <f>BE584+BF584</f>
        <v>31820.588355268566</v>
      </c>
      <c r="BH584" s="4">
        <v>91249</v>
      </c>
      <c r="BI584" s="4">
        <v>93036</v>
      </c>
      <c r="BJ584" s="4"/>
      <c r="BK584" s="4">
        <f t="shared" si="80"/>
        <v>93036</v>
      </c>
      <c r="BL584" s="4">
        <f t="shared" si="79"/>
        <v>184285</v>
      </c>
      <c r="BM584" s="4"/>
      <c r="BN584" s="4"/>
      <c r="BO584" s="4">
        <v>9568.150965</v>
      </c>
      <c r="BP584" s="4"/>
      <c r="BQ584" s="4">
        <f t="shared" si="73"/>
        <v>3864314.0135455723</v>
      </c>
      <c r="BT584" s="4">
        <f t="shared" si="74"/>
        <v>2709431.4365552496</v>
      </c>
      <c r="BW584" s="52"/>
      <c r="BX584" s="4">
        <f t="shared" si="87"/>
        <v>7130352.525481572</v>
      </c>
      <c r="BY584" s="4">
        <f t="shared" si="88"/>
        <v>6037878.327700218</v>
      </c>
    </row>
    <row r="585" spans="1:77" ht="12.75">
      <c r="A585" s="3" t="s">
        <v>1218</v>
      </c>
      <c r="B585" s="3" t="s">
        <v>584</v>
      </c>
      <c r="C585" s="3" t="s">
        <v>1349</v>
      </c>
      <c r="D585" s="3"/>
      <c r="E585" s="4"/>
      <c r="F585" s="4">
        <v>2621283.604569</v>
      </c>
      <c r="G585" s="4">
        <f t="shared" si="83"/>
        <v>2671371.826312357</v>
      </c>
      <c r="H585" s="4"/>
      <c r="I585" s="4"/>
      <c r="J585" s="4">
        <v>61026.858228</v>
      </c>
      <c r="K585" s="4">
        <f t="shared" si="77"/>
        <v>62192.97653808917</v>
      </c>
      <c r="L585" s="4"/>
      <c r="M585" s="4"/>
      <c r="N585" s="4"/>
      <c r="O585" s="4"/>
      <c r="P585" s="4"/>
      <c r="Q585" s="4"/>
      <c r="R585" s="4"/>
      <c r="S585" s="4"/>
      <c r="T585" s="4">
        <v>30078.04663</v>
      </c>
      <c r="U585" s="4">
        <f t="shared" si="81"/>
        <v>30652.786374522293</v>
      </c>
      <c r="V585" s="4"/>
      <c r="W585" s="4"/>
      <c r="X585" s="4"/>
      <c r="Y585" s="4"/>
      <c r="Z585" s="13">
        <f t="shared" si="84"/>
        <v>2712388.5094270003</v>
      </c>
      <c r="AC585" s="13">
        <f t="shared" si="85"/>
        <v>2764217.5892249686</v>
      </c>
      <c r="AF585" s="51"/>
      <c r="AG585" s="4"/>
      <c r="AH585" s="4"/>
      <c r="AI585" s="4"/>
      <c r="AJ585" s="4"/>
      <c r="AK585" s="4"/>
      <c r="AL585" s="4">
        <v>2895938.586681</v>
      </c>
      <c r="AM585" s="4">
        <f t="shared" si="86"/>
        <v>1938951.8195553836</v>
      </c>
      <c r="AN585" s="4"/>
      <c r="AO585" s="4"/>
      <c r="AP585" s="4"/>
      <c r="AQ585" s="4"/>
      <c r="AR585" s="4">
        <v>88143.26846</v>
      </c>
      <c r="AS585" s="4">
        <f t="shared" si="78"/>
        <v>86408.93711514802</v>
      </c>
      <c r="AT585" s="4"/>
      <c r="AU585" s="4"/>
      <c r="AV585" s="4"/>
      <c r="AW585" s="4"/>
      <c r="AX585" s="4">
        <v>42668.107952</v>
      </c>
      <c r="AY585" s="4">
        <f t="shared" si="82"/>
        <v>41813.315022291805</v>
      </c>
      <c r="AZ585" s="4"/>
      <c r="BA585" s="4"/>
      <c r="BB585" s="4"/>
      <c r="BC585" s="4"/>
      <c r="BD585" s="4"/>
      <c r="BE585" s="4"/>
      <c r="BF585" s="4"/>
      <c r="BG585" s="4"/>
      <c r="BH585" s="4"/>
      <c r="BI585" s="4">
        <v>61159</v>
      </c>
      <c r="BJ585" s="4"/>
      <c r="BK585" s="4">
        <f t="shared" si="80"/>
        <v>61159</v>
      </c>
      <c r="BL585" s="4">
        <f t="shared" si="79"/>
        <v>61159</v>
      </c>
      <c r="BM585" s="4"/>
      <c r="BN585" s="4"/>
      <c r="BO585" s="4">
        <v>7946.183929</v>
      </c>
      <c r="BP585" s="4"/>
      <c r="BQ585" s="4">
        <f aca="true" t="shared" si="89" ref="BQ585:BQ648">AG585+AI585+AL585+AN585+AP585+AR585+AT585+AV585+AX585+AZ585+BB585+BD585+BF585+BH585+BK585+BM585+BO585</f>
        <v>3095855.147022</v>
      </c>
      <c r="BT585" s="4">
        <f aca="true" t="shared" si="90" ref="BT585:BT648">AJ585+AM585+AQ585+AS585+AU585+AW585+AY585+BA585+BC585+BG585+BL585+BN585+BP585</f>
        <v>2128333.0716928234</v>
      </c>
      <c r="BW585" s="52"/>
      <c r="BX585" s="4">
        <f t="shared" si="87"/>
        <v>5808243.656449</v>
      </c>
      <c r="BY585" s="4">
        <f t="shared" si="88"/>
        <v>4892550.6609177925</v>
      </c>
    </row>
    <row r="586" spans="1:77" ht="12.75">
      <c r="A586" s="3" t="s">
        <v>1219</v>
      </c>
      <c r="B586" s="3" t="s">
        <v>585</v>
      </c>
      <c r="C586" s="3" t="s">
        <v>1349</v>
      </c>
      <c r="D586" s="3"/>
      <c r="E586" s="4"/>
      <c r="F586" s="4">
        <v>2757892.19195</v>
      </c>
      <c r="G586" s="4">
        <f t="shared" si="83"/>
        <v>2810590.768866242</v>
      </c>
      <c r="H586" s="4"/>
      <c r="I586" s="4"/>
      <c r="J586" s="4">
        <v>71050.02281</v>
      </c>
      <c r="K586" s="4">
        <f t="shared" si="77"/>
        <v>72407.66655796178</v>
      </c>
      <c r="L586" s="4"/>
      <c r="M586" s="4"/>
      <c r="N586" s="4"/>
      <c r="O586" s="4"/>
      <c r="P586" s="4"/>
      <c r="Q586" s="4"/>
      <c r="R586" s="4"/>
      <c r="S586" s="4"/>
      <c r="T586" s="4">
        <v>20364.007684</v>
      </c>
      <c r="U586" s="4">
        <f t="shared" si="81"/>
        <v>20753.128849936307</v>
      </c>
      <c r="V586" s="4"/>
      <c r="W586" s="4"/>
      <c r="X586" s="4"/>
      <c r="Y586" s="4"/>
      <c r="Z586" s="13">
        <f t="shared" si="84"/>
        <v>2849306.2224439997</v>
      </c>
      <c r="AC586" s="13">
        <f t="shared" si="85"/>
        <v>2903751.5642741397</v>
      </c>
      <c r="AF586" s="51"/>
      <c r="AG586" s="4"/>
      <c r="AH586" s="4"/>
      <c r="AI586" s="4"/>
      <c r="AJ586" s="4"/>
      <c r="AK586" s="4"/>
      <c r="AL586" s="4">
        <v>3046860.859563</v>
      </c>
      <c r="AM586" s="4">
        <f t="shared" si="86"/>
        <v>2040000.5838357648</v>
      </c>
      <c r="AN586" s="4"/>
      <c r="AO586" s="4"/>
      <c r="AP586" s="4"/>
      <c r="AQ586" s="4"/>
      <c r="AR586" s="4">
        <v>102620.082641</v>
      </c>
      <c r="AS586" s="4">
        <f t="shared" si="78"/>
        <v>100600.9014937028</v>
      </c>
      <c r="AT586" s="4"/>
      <c r="AU586" s="4"/>
      <c r="AV586" s="4"/>
      <c r="AW586" s="4"/>
      <c r="AX586" s="4">
        <v>28887.968986</v>
      </c>
      <c r="AY586" s="4">
        <f t="shared" si="82"/>
        <v>28309.240918876858</v>
      </c>
      <c r="AZ586" s="4"/>
      <c r="BA586" s="4"/>
      <c r="BB586" s="4"/>
      <c r="BC586" s="4"/>
      <c r="BD586" s="4"/>
      <c r="BE586" s="4"/>
      <c r="BF586" s="4"/>
      <c r="BG586" s="4"/>
      <c r="BH586" s="4">
        <v>68835</v>
      </c>
      <c r="BI586" s="4">
        <v>68634</v>
      </c>
      <c r="BJ586" s="4"/>
      <c r="BK586" s="4">
        <f t="shared" si="80"/>
        <v>68634</v>
      </c>
      <c r="BL586" s="4">
        <f t="shared" si="79"/>
        <v>137469</v>
      </c>
      <c r="BM586" s="4"/>
      <c r="BN586" s="4"/>
      <c r="BO586" s="4">
        <v>8347.296574</v>
      </c>
      <c r="BP586" s="4"/>
      <c r="BQ586" s="4">
        <f t="shared" si="89"/>
        <v>3324185.2077639997</v>
      </c>
      <c r="BT586" s="4">
        <f t="shared" si="90"/>
        <v>2306379.726248345</v>
      </c>
      <c r="BW586" s="52"/>
      <c r="BX586" s="4">
        <f t="shared" si="87"/>
        <v>6173491.430207999</v>
      </c>
      <c r="BY586" s="4">
        <f t="shared" si="88"/>
        <v>5210131.290522484</v>
      </c>
    </row>
    <row r="587" spans="1:77" ht="12.75">
      <c r="A587" s="3" t="s">
        <v>1220</v>
      </c>
      <c r="B587" s="3" t="s">
        <v>586</v>
      </c>
      <c r="C587" s="3" t="s">
        <v>1349</v>
      </c>
      <c r="D587" s="3"/>
      <c r="E587" s="4"/>
      <c r="F587" s="4">
        <v>1801364.747583</v>
      </c>
      <c r="G587" s="4">
        <f t="shared" si="83"/>
        <v>1835785.7300208916</v>
      </c>
      <c r="H587" s="4"/>
      <c r="I587" s="4"/>
      <c r="J587" s="4">
        <v>54874.891507</v>
      </c>
      <c r="K587" s="4">
        <f t="shared" si="77"/>
        <v>55923.45631286624</v>
      </c>
      <c r="L587" s="4"/>
      <c r="M587" s="4"/>
      <c r="N587" s="4"/>
      <c r="O587" s="4"/>
      <c r="P587" s="4"/>
      <c r="Q587" s="4"/>
      <c r="R587" s="4"/>
      <c r="S587" s="4"/>
      <c r="T587" s="4">
        <v>28944.178682</v>
      </c>
      <c r="U587" s="4">
        <f t="shared" si="81"/>
        <v>29497.25216</v>
      </c>
      <c r="V587" s="4"/>
      <c r="W587" s="4"/>
      <c r="X587" s="4"/>
      <c r="Y587" s="4"/>
      <c r="Z587" s="13">
        <f t="shared" si="84"/>
        <v>1885183.8177719999</v>
      </c>
      <c r="AC587" s="13">
        <f t="shared" si="85"/>
        <v>1921206.4384937577</v>
      </c>
      <c r="AF587" s="51"/>
      <c r="AG587" s="4"/>
      <c r="AH587" s="4"/>
      <c r="AI587" s="4"/>
      <c r="AJ587" s="4"/>
      <c r="AK587" s="4"/>
      <c r="AL587" s="4">
        <v>1990109.60589</v>
      </c>
      <c r="AM587" s="4">
        <f t="shared" si="86"/>
        <v>1332461.4890668325</v>
      </c>
      <c r="AN587" s="4"/>
      <c r="AO587" s="4"/>
      <c r="AP587" s="4"/>
      <c r="AQ587" s="4"/>
      <c r="AR587" s="4">
        <v>79257.763454</v>
      </c>
      <c r="AS587" s="4">
        <f t="shared" si="78"/>
        <v>77698.26576480872</v>
      </c>
      <c r="AT587" s="4"/>
      <c r="AU587" s="4"/>
      <c r="AV587" s="4"/>
      <c r="AW587" s="4"/>
      <c r="AX587" s="4">
        <v>41059.625839</v>
      </c>
      <c r="AY587" s="4">
        <f t="shared" si="82"/>
        <v>40237.05648806641</v>
      </c>
      <c r="AZ587" s="4"/>
      <c r="BA587" s="4"/>
      <c r="BB587" s="4"/>
      <c r="BC587" s="4"/>
      <c r="BD587" s="4"/>
      <c r="BE587" s="4"/>
      <c r="BF587" s="4"/>
      <c r="BG587" s="4"/>
      <c r="BH587" s="4"/>
      <c r="BI587" s="4"/>
      <c r="BJ587" s="4"/>
      <c r="BK587" s="4"/>
      <c r="BL587" s="4"/>
      <c r="BM587" s="4"/>
      <c r="BN587" s="4"/>
      <c r="BO587" s="4">
        <v>5522.814045</v>
      </c>
      <c r="BP587" s="4"/>
      <c r="BQ587" s="4">
        <f t="shared" si="89"/>
        <v>2115949.8092279998</v>
      </c>
      <c r="BT587" s="4">
        <f t="shared" si="90"/>
        <v>1450396.8113197077</v>
      </c>
      <c r="BW587" s="52"/>
      <c r="BX587" s="4">
        <f t="shared" si="87"/>
        <v>4001133.6269999994</v>
      </c>
      <c r="BY587" s="4">
        <f t="shared" si="88"/>
        <v>3371603.2498134654</v>
      </c>
    </row>
    <row r="588" spans="1:77" ht="12.75">
      <c r="A588" s="3" t="s">
        <v>1221</v>
      </c>
      <c r="B588" s="3" t="s">
        <v>587</v>
      </c>
      <c r="C588" s="3" t="s">
        <v>1349</v>
      </c>
      <c r="D588" s="3"/>
      <c r="E588" s="4"/>
      <c r="F588" s="4">
        <v>3205313.164957</v>
      </c>
      <c r="G588" s="4">
        <f t="shared" si="83"/>
        <v>3266561.187217325</v>
      </c>
      <c r="H588" s="4"/>
      <c r="I588" s="4"/>
      <c r="J588" s="4">
        <v>70368.643113</v>
      </c>
      <c r="K588" s="4">
        <f t="shared" si="77"/>
        <v>71713.2668667516</v>
      </c>
      <c r="L588" s="4"/>
      <c r="M588" s="4"/>
      <c r="N588" s="4"/>
      <c r="O588" s="4"/>
      <c r="P588" s="4"/>
      <c r="Q588" s="4"/>
      <c r="R588" s="4"/>
      <c r="S588" s="4"/>
      <c r="T588" s="4">
        <v>51623.16676</v>
      </c>
      <c r="U588" s="4">
        <f t="shared" si="81"/>
        <v>52609.596698089175</v>
      </c>
      <c r="V588" s="4"/>
      <c r="W588" s="4"/>
      <c r="X588" s="4"/>
      <c r="Y588" s="4"/>
      <c r="Z588" s="13">
        <f t="shared" si="84"/>
        <v>3327304.9748299997</v>
      </c>
      <c r="AC588" s="13">
        <f t="shared" si="85"/>
        <v>3390884.0507821655</v>
      </c>
      <c r="AF588" s="51"/>
      <c r="AG588" s="4"/>
      <c r="AH588" s="4"/>
      <c r="AI588" s="4"/>
      <c r="AJ588" s="4"/>
      <c r="AK588" s="4"/>
      <c r="AL588" s="4">
        <v>3541162.070603</v>
      </c>
      <c r="AM588" s="4">
        <f t="shared" si="86"/>
        <v>2370955.8868806674</v>
      </c>
      <c r="AN588" s="4"/>
      <c r="AO588" s="4"/>
      <c r="AP588" s="4"/>
      <c r="AQ588" s="4"/>
      <c r="AR588" s="4">
        <v>101635.941636</v>
      </c>
      <c r="AS588" s="4">
        <f t="shared" si="78"/>
        <v>99636.12471948918</v>
      </c>
      <c r="AT588" s="4"/>
      <c r="AU588" s="4"/>
      <c r="AV588" s="4"/>
      <c r="AW588" s="4"/>
      <c r="AX588" s="4">
        <v>73231.579139</v>
      </c>
      <c r="AY588" s="4">
        <f t="shared" si="82"/>
        <v>71764.49191427928</v>
      </c>
      <c r="AZ588" s="4"/>
      <c r="BA588" s="4"/>
      <c r="BB588" s="4"/>
      <c r="BC588" s="4"/>
      <c r="BD588" s="4"/>
      <c r="BE588" s="4"/>
      <c r="BF588" s="4"/>
      <c r="BG588" s="4"/>
      <c r="BH588" s="4">
        <v>69606</v>
      </c>
      <c r="BI588" s="4">
        <v>69875</v>
      </c>
      <c r="BJ588" s="4"/>
      <c r="BK588" s="4">
        <f t="shared" si="80"/>
        <v>69875</v>
      </c>
      <c r="BL588" s="4">
        <f t="shared" si="79"/>
        <v>139481</v>
      </c>
      <c r="BM588" s="4"/>
      <c r="BN588" s="4"/>
      <c r="BO588" s="4">
        <v>9747.63653</v>
      </c>
      <c r="BP588" s="4"/>
      <c r="BQ588" s="4">
        <f t="shared" si="89"/>
        <v>3865258.2279079994</v>
      </c>
      <c r="BT588" s="4">
        <f t="shared" si="90"/>
        <v>2681837.503514436</v>
      </c>
      <c r="BW588" s="52"/>
      <c r="BX588" s="4">
        <f t="shared" si="87"/>
        <v>7192563.202737999</v>
      </c>
      <c r="BY588" s="4">
        <f t="shared" si="88"/>
        <v>6072721.554296602</v>
      </c>
    </row>
    <row r="589" spans="1:77" ht="12.75">
      <c r="A589" s="3" t="s">
        <v>1222</v>
      </c>
      <c r="B589" s="3" t="s">
        <v>588</v>
      </c>
      <c r="C589" s="3" t="s">
        <v>1349</v>
      </c>
      <c r="D589" s="3"/>
      <c r="E589" s="4"/>
      <c r="F589" s="4">
        <v>2032095.611772</v>
      </c>
      <c r="G589" s="4">
        <f t="shared" si="83"/>
        <v>2070925.4642262422</v>
      </c>
      <c r="H589" s="4"/>
      <c r="I589" s="4"/>
      <c r="J589" s="4">
        <v>38531.5535</v>
      </c>
      <c r="K589" s="4">
        <f t="shared" si="77"/>
        <v>39267.82522292994</v>
      </c>
      <c r="L589" s="4"/>
      <c r="M589" s="4"/>
      <c r="N589" s="4"/>
      <c r="O589" s="4"/>
      <c r="P589" s="4"/>
      <c r="Q589" s="4"/>
      <c r="R589" s="4"/>
      <c r="S589" s="4"/>
      <c r="T589" s="4">
        <v>20364.007684</v>
      </c>
      <c r="U589" s="4">
        <f t="shared" si="81"/>
        <v>20753.128849936307</v>
      </c>
      <c r="V589" s="4"/>
      <c r="W589" s="4"/>
      <c r="X589" s="4"/>
      <c r="Y589" s="4"/>
      <c r="Z589" s="13">
        <f t="shared" si="84"/>
        <v>2090991.172956</v>
      </c>
      <c r="AC589" s="13">
        <f t="shared" si="85"/>
        <v>2130946.4182991083</v>
      </c>
      <c r="AF589" s="51"/>
      <c r="AG589" s="4"/>
      <c r="AH589" s="4"/>
      <c r="AI589" s="4"/>
      <c r="AJ589" s="4"/>
      <c r="AK589" s="4"/>
      <c r="AL589" s="4">
        <v>2245016.175929</v>
      </c>
      <c r="AM589" s="4">
        <f t="shared" si="86"/>
        <v>1503132.082727521</v>
      </c>
      <c r="AN589" s="4"/>
      <c r="AO589" s="4"/>
      <c r="AP589" s="4"/>
      <c r="AQ589" s="4"/>
      <c r="AR589" s="4">
        <v>55652.497325</v>
      </c>
      <c r="AS589" s="4">
        <f t="shared" si="78"/>
        <v>54557.463385183706</v>
      </c>
      <c r="AT589" s="4"/>
      <c r="AU589" s="4"/>
      <c r="AV589" s="4"/>
      <c r="AW589" s="4"/>
      <c r="AX589" s="4">
        <v>28887.968986</v>
      </c>
      <c r="AY589" s="4">
        <f t="shared" si="82"/>
        <v>28309.240918876858</v>
      </c>
      <c r="AZ589" s="4"/>
      <c r="BA589" s="4"/>
      <c r="BB589" s="4"/>
      <c r="BC589" s="4"/>
      <c r="BD589" s="4"/>
      <c r="BE589" s="4"/>
      <c r="BF589" s="4"/>
      <c r="BG589" s="4"/>
      <c r="BH589" s="4">
        <v>37820</v>
      </c>
      <c r="BI589" s="4">
        <v>38590</v>
      </c>
      <c r="BJ589" s="4"/>
      <c r="BK589" s="4">
        <f t="shared" si="80"/>
        <v>38590</v>
      </c>
      <c r="BL589" s="4">
        <f t="shared" si="79"/>
        <v>76410</v>
      </c>
      <c r="BM589" s="4"/>
      <c r="BN589" s="4"/>
      <c r="BO589" s="4">
        <v>6125.745038</v>
      </c>
      <c r="BP589" s="4"/>
      <c r="BQ589" s="4">
        <f t="shared" si="89"/>
        <v>2412092.387278</v>
      </c>
      <c r="BT589" s="4">
        <f t="shared" si="90"/>
        <v>1662408.7870315814</v>
      </c>
      <c r="BW589" s="52"/>
      <c r="BX589" s="4">
        <f t="shared" si="87"/>
        <v>4503083.560234</v>
      </c>
      <c r="BY589" s="4">
        <f t="shared" si="88"/>
        <v>3793355.2053306894</v>
      </c>
    </row>
    <row r="590" spans="1:77" ht="12.75">
      <c r="A590" s="3" t="s">
        <v>1223</v>
      </c>
      <c r="B590" s="3" t="s">
        <v>589</v>
      </c>
      <c r="C590" s="3" t="s">
        <v>1349</v>
      </c>
      <c r="D590" s="3"/>
      <c r="E590" s="4"/>
      <c r="F590" s="4">
        <v>2424864.368259</v>
      </c>
      <c r="G590" s="4">
        <f t="shared" si="83"/>
        <v>2471199.356187516</v>
      </c>
      <c r="H590" s="4"/>
      <c r="I590" s="4"/>
      <c r="J590" s="4">
        <v>70132.827904</v>
      </c>
      <c r="K590" s="4">
        <f t="shared" si="77"/>
        <v>71472.94563464969</v>
      </c>
      <c r="L590" s="4"/>
      <c r="M590" s="4"/>
      <c r="N590" s="4"/>
      <c r="O590" s="4"/>
      <c r="P590" s="4"/>
      <c r="Q590" s="4"/>
      <c r="R590" s="4"/>
      <c r="S590" s="4"/>
      <c r="T590" s="4">
        <v>20439.354513</v>
      </c>
      <c r="U590" s="4">
        <f t="shared" si="81"/>
        <v>20829.915427261145</v>
      </c>
      <c r="V590" s="4"/>
      <c r="W590" s="4"/>
      <c r="X590" s="4"/>
      <c r="Y590" s="4"/>
      <c r="Z590" s="13">
        <f t="shared" si="84"/>
        <v>2515436.5506760003</v>
      </c>
      <c r="AC590" s="13">
        <f t="shared" si="85"/>
        <v>2563502.2172494265</v>
      </c>
      <c r="AF590" s="51"/>
      <c r="AG590" s="4"/>
      <c r="AH590" s="4"/>
      <c r="AI590" s="4"/>
      <c r="AJ590" s="4"/>
      <c r="AK590" s="4"/>
      <c r="AL590" s="4">
        <v>2678938.776128</v>
      </c>
      <c r="AM590" s="4">
        <f t="shared" si="86"/>
        <v>1793661.3843748742</v>
      </c>
      <c r="AN590" s="4"/>
      <c r="AO590" s="4"/>
      <c r="AP590" s="4"/>
      <c r="AQ590" s="4"/>
      <c r="AR590" s="4">
        <v>101295.345317</v>
      </c>
      <c r="AS590" s="4">
        <f t="shared" si="78"/>
        <v>99302.23006792566</v>
      </c>
      <c r="AT590" s="4"/>
      <c r="AU590" s="4"/>
      <c r="AV590" s="4"/>
      <c r="AW590" s="4"/>
      <c r="AX590" s="4">
        <v>28994.854471</v>
      </c>
      <c r="AY590" s="4">
        <f t="shared" si="82"/>
        <v>28413.985110033478</v>
      </c>
      <c r="AZ590" s="4"/>
      <c r="BA590" s="4"/>
      <c r="BB590" s="4"/>
      <c r="BC590" s="4"/>
      <c r="BD590" s="4">
        <v>2948.352941</v>
      </c>
      <c r="BE590" s="4">
        <f>BD590/BD$680*BE$680</f>
        <v>4189.76516203015</v>
      </c>
      <c r="BF590" s="4">
        <v>620.7054441704012</v>
      </c>
      <c r="BG590" s="4">
        <f>BE590+BF590</f>
        <v>4810.470606200552</v>
      </c>
      <c r="BH590" s="4">
        <v>69460</v>
      </c>
      <c r="BI590" s="4">
        <v>70066</v>
      </c>
      <c r="BJ590" s="4"/>
      <c r="BK590" s="4">
        <f t="shared" si="80"/>
        <v>70066</v>
      </c>
      <c r="BL590" s="4">
        <f t="shared" si="79"/>
        <v>139526</v>
      </c>
      <c r="BM590" s="4"/>
      <c r="BN590" s="4"/>
      <c r="BO590" s="4">
        <v>7369.195609</v>
      </c>
      <c r="BP590" s="4"/>
      <c r="BQ590" s="4">
        <f t="shared" si="89"/>
        <v>2959693.2299101707</v>
      </c>
      <c r="BT590" s="4">
        <f t="shared" si="90"/>
        <v>2065714.070159034</v>
      </c>
      <c r="BW590" s="52"/>
      <c r="BX590" s="4">
        <f t="shared" si="87"/>
        <v>5475129.780586171</v>
      </c>
      <c r="BY590" s="4">
        <f t="shared" si="88"/>
        <v>4629216.287408461</v>
      </c>
    </row>
    <row r="591" spans="1:77" ht="12.75">
      <c r="A591" s="3" t="s">
        <v>1224</v>
      </c>
      <c r="B591" s="3" t="s">
        <v>590</v>
      </c>
      <c r="C591" s="3" t="s">
        <v>1349</v>
      </c>
      <c r="D591" s="3"/>
      <c r="E591" s="4"/>
      <c r="F591" s="4">
        <v>2259267.366942</v>
      </c>
      <c r="G591" s="4">
        <f t="shared" si="83"/>
        <v>2302438.08096</v>
      </c>
      <c r="H591" s="4"/>
      <c r="I591" s="4"/>
      <c r="J591" s="4">
        <v>52996.108158</v>
      </c>
      <c r="K591" s="4">
        <f t="shared" si="77"/>
        <v>54008.772645095545</v>
      </c>
      <c r="L591" s="4"/>
      <c r="M591" s="4"/>
      <c r="N591" s="4"/>
      <c r="O591" s="4"/>
      <c r="P591" s="4"/>
      <c r="Q591" s="4"/>
      <c r="R591" s="4"/>
      <c r="S591" s="4"/>
      <c r="T591" s="4">
        <v>23274.431663</v>
      </c>
      <c r="U591" s="4">
        <f t="shared" si="81"/>
        <v>23719.16602598726</v>
      </c>
      <c r="V591" s="4"/>
      <c r="W591" s="4"/>
      <c r="X591" s="4"/>
      <c r="Y591" s="4"/>
      <c r="Z591" s="13">
        <f t="shared" si="84"/>
        <v>2335537.906763</v>
      </c>
      <c r="AC591" s="13">
        <f t="shared" si="85"/>
        <v>2380166.0196310827</v>
      </c>
      <c r="AF591" s="51"/>
      <c r="AG591" s="4"/>
      <c r="AH591" s="4"/>
      <c r="AI591" s="4"/>
      <c r="AJ591" s="4"/>
      <c r="AK591" s="4"/>
      <c r="AL591" s="4">
        <v>2495990.717736</v>
      </c>
      <c r="AM591" s="4">
        <f t="shared" si="86"/>
        <v>1671170.0192835163</v>
      </c>
      <c r="AN591" s="4"/>
      <c r="AO591" s="4"/>
      <c r="AP591" s="4"/>
      <c r="AQ591" s="4"/>
      <c r="AR591" s="4">
        <v>76544.169638</v>
      </c>
      <c r="AS591" s="4">
        <f t="shared" si="78"/>
        <v>75038.0653717497</v>
      </c>
      <c r="AT591" s="4"/>
      <c r="AU591" s="4"/>
      <c r="AV591" s="4"/>
      <c r="AW591" s="4"/>
      <c r="AX591" s="4">
        <v>33016.637514</v>
      </c>
      <c r="AY591" s="4">
        <f t="shared" si="82"/>
        <v>32355.197631513187</v>
      </c>
      <c r="AZ591" s="4"/>
      <c r="BA591" s="4"/>
      <c r="BB591" s="4"/>
      <c r="BC591" s="4"/>
      <c r="BD591" s="4">
        <v>7090.352941</v>
      </c>
      <c r="BE591" s="4">
        <f>BD591/BD$680*BE$680</f>
        <v>10075.76580320267</v>
      </c>
      <c r="BF591" s="4">
        <v>1492.7048286409056</v>
      </c>
      <c r="BG591" s="4">
        <f>BE591+BF591</f>
        <v>11568.470631843576</v>
      </c>
      <c r="BH591" s="4">
        <v>52622</v>
      </c>
      <c r="BI591" s="4">
        <v>54269</v>
      </c>
      <c r="BJ591" s="4"/>
      <c r="BK591" s="4">
        <f t="shared" si="80"/>
        <v>54269</v>
      </c>
      <c r="BL591" s="4">
        <f t="shared" si="79"/>
        <v>106891</v>
      </c>
      <c r="BM591" s="4"/>
      <c r="BN591" s="4"/>
      <c r="BO591" s="4">
        <v>6842.166495</v>
      </c>
      <c r="BP591" s="4"/>
      <c r="BQ591" s="4">
        <f t="shared" si="89"/>
        <v>2727867.749152641</v>
      </c>
      <c r="BT591" s="4">
        <f t="shared" si="90"/>
        <v>1897022.752918623</v>
      </c>
      <c r="BW591" s="52"/>
      <c r="BX591" s="4">
        <f t="shared" si="87"/>
        <v>5063405.65591564</v>
      </c>
      <c r="BY591" s="4">
        <f t="shared" si="88"/>
        <v>4277188.772549706</v>
      </c>
    </row>
    <row r="592" spans="1:77" ht="12.75">
      <c r="A592" s="3" t="s">
        <v>1225</v>
      </c>
      <c r="B592" s="3" t="s">
        <v>591</v>
      </c>
      <c r="C592" s="3" t="s">
        <v>1349</v>
      </c>
      <c r="D592" s="3"/>
      <c r="E592" s="4"/>
      <c r="F592" s="4">
        <v>1981071.146735</v>
      </c>
      <c r="G592" s="4">
        <f t="shared" si="83"/>
        <v>2018926.009411465</v>
      </c>
      <c r="H592" s="4"/>
      <c r="I592" s="4"/>
      <c r="J592" s="4">
        <v>35485.50523</v>
      </c>
      <c r="K592" s="4">
        <f t="shared" si="77"/>
        <v>36163.5722089172</v>
      </c>
      <c r="L592" s="4"/>
      <c r="M592" s="4"/>
      <c r="N592" s="4"/>
      <c r="O592" s="4"/>
      <c r="P592" s="4"/>
      <c r="Q592" s="4"/>
      <c r="R592" s="4"/>
      <c r="S592" s="4"/>
      <c r="T592" s="4">
        <v>66121.525671</v>
      </c>
      <c r="U592" s="4">
        <f t="shared" si="81"/>
        <v>67384.9943143949</v>
      </c>
      <c r="V592" s="4"/>
      <c r="W592" s="4"/>
      <c r="X592" s="4"/>
      <c r="Y592" s="4"/>
      <c r="Z592" s="13">
        <f t="shared" si="84"/>
        <v>2082678.1776359999</v>
      </c>
      <c r="AC592" s="13">
        <f t="shared" si="85"/>
        <v>2122474.575934777</v>
      </c>
      <c r="AF592" s="51"/>
      <c r="AG592" s="4"/>
      <c r="AH592" s="4"/>
      <c r="AI592" s="4"/>
      <c r="AJ592" s="4"/>
      <c r="AK592" s="4"/>
      <c r="AL592" s="4">
        <v>2188645.428061</v>
      </c>
      <c r="AM592" s="4">
        <f t="shared" si="86"/>
        <v>1465389.5129606584</v>
      </c>
      <c r="AN592" s="4"/>
      <c r="AO592" s="4"/>
      <c r="AP592" s="4"/>
      <c r="AQ592" s="4"/>
      <c r="AR592" s="4">
        <v>51252.981143</v>
      </c>
      <c r="AS592" s="4">
        <f t="shared" si="78"/>
        <v>50244.513301195926</v>
      </c>
      <c r="AT592" s="4"/>
      <c r="AU592" s="4"/>
      <c r="AV592" s="4"/>
      <c r="AW592" s="4"/>
      <c r="AX592" s="4">
        <v>93798.657539</v>
      </c>
      <c r="AY592" s="4">
        <f t="shared" si="82"/>
        <v>91919.53907959574</v>
      </c>
      <c r="AZ592" s="4"/>
      <c r="BA592" s="4"/>
      <c r="BB592" s="4"/>
      <c r="BC592" s="4"/>
      <c r="BD592" s="4"/>
      <c r="BE592" s="4"/>
      <c r="BF592" s="4"/>
      <c r="BG592" s="4"/>
      <c r="BH592" s="4"/>
      <c r="BI592" s="4"/>
      <c r="BJ592" s="4"/>
      <c r="BK592" s="4"/>
      <c r="BL592" s="4"/>
      <c r="BM592" s="4"/>
      <c r="BN592" s="4"/>
      <c r="BO592" s="4">
        <v>6101.391378</v>
      </c>
      <c r="BP592" s="4"/>
      <c r="BQ592" s="4">
        <f t="shared" si="89"/>
        <v>2339798.458121</v>
      </c>
      <c r="BT592" s="4">
        <f t="shared" si="90"/>
        <v>1607553.5653414503</v>
      </c>
      <c r="BW592" s="52"/>
      <c r="BX592" s="4">
        <f t="shared" si="87"/>
        <v>4422476.635756999</v>
      </c>
      <c r="BY592" s="4">
        <f t="shared" si="88"/>
        <v>3730028.1412762273</v>
      </c>
    </row>
    <row r="593" spans="1:77" ht="12.75">
      <c r="A593" s="3" t="s">
        <v>1226</v>
      </c>
      <c r="B593" s="3" t="s">
        <v>592</v>
      </c>
      <c r="C593" s="3" t="s">
        <v>1349</v>
      </c>
      <c r="D593" s="3"/>
      <c r="E593" s="4"/>
      <c r="F593" s="4">
        <v>1837127.296137</v>
      </c>
      <c r="G593" s="4">
        <f t="shared" si="83"/>
        <v>1872231.6393752866</v>
      </c>
      <c r="H593" s="4"/>
      <c r="I593" s="4"/>
      <c r="J593" s="4">
        <v>47236.352224</v>
      </c>
      <c r="K593" s="4">
        <f t="shared" si="77"/>
        <v>48138.95768050956</v>
      </c>
      <c r="L593" s="4"/>
      <c r="M593" s="4"/>
      <c r="N593" s="4"/>
      <c r="O593" s="4"/>
      <c r="P593" s="4"/>
      <c r="Q593" s="4"/>
      <c r="R593" s="4"/>
      <c r="S593" s="4"/>
      <c r="T593" s="4">
        <v>20364.007684</v>
      </c>
      <c r="U593" s="4">
        <f t="shared" si="81"/>
        <v>20753.128849936307</v>
      </c>
      <c r="V593" s="4"/>
      <c r="W593" s="4"/>
      <c r="X593" s="4"/>
      <c r="Y593" s="4"/>
      <c r="Z593" s="13">
        <f t="shared" si="84"/>
        <v>1904727.656045</v>
      </c>
      <c r="AC593" s="13">
        <f t="shared" si="85"/>
        <v>1941123.7259057327</v>
      </c>
      <c r="AF593" s="51"/>
      <c r="AG593" s="4"/>
      <c r="AH593" s="4"/>
      <c r="AI593" s="4"/>
      <c r="AJ593" s="4"/>
      <c r="AK593" s="4"/>
      <c r="AL593" s="4">
        <v>2029619.311796</v>
      </c>
      <c r="AM593" s="4">
        <f t="shared" si="86"/>
        <v>1358914.8871150056</v>
      </c>
      <c r="AN593" s="4"/>
      <c r="AO593" s="4"/>
      <c r="AP593" s="4"/>
      <c r="AQ593" s="4"/>
      <c r="AR593" s="4">
        <v>68225.148665</v>
      </c>
      <c r="AS593" s="4">
        <f t="shared" si="78"/>
        <v>66882.73175779633</v>
      </c>
      <c r="AT593" s="4"/>
      <c r="AU593" s="4"/>
      <c r="AV593" s="4"/>
      <c r="AW593" s="4"/>
      <c r="AX593" s="4">
        <v>28887.968986</v>
      </c>
      <c r="AY593" s="4">
        <f t="shared" si="82"/>
        <v>28309.240918876858</v>
      </c>
      <c r="AZ593" s="4"/>
      <c r="BA593" s="4"/>
      <c r="BB593" s="4"/>
      <c r="BC593" s="4"/>
      <c r="BD593" s="4">
        <v>26595.529412</v>
      </c>
      <c r="BE593" s="4">
        <f>BD593/BD$680*BE$680</f>
        <v>37793.651176087544</v>
      </c>
      <c r="BF593" s="4">
        <v>5599.054871301592</v>
      </c>
      <c r="BG593" s="4">
        <f>BE593+BF593</f>
        <v>43392.70604738913</v>
      </c>
      <c r="BH593" s="4">
        <v>49399</v>
      </c>
      <c r="BI593" s="4">
        <v>49313</v>
      </c>
      <c r="BJ593" s="4"/>
      <c r="BK593" s="4">
        <f t="shared" si="80"/>
        <v>49313</v>
      </c>
      <c r="BL593" s="4">
        <f t="shared" si="79"/>
        <v>98712</v>
      </c>
      <c r="BM593" s="4"/>
      <c r="BN593" s="4"/>
      <c r="BO593" s="4">
        <v>5580.069462</v>
      </c>
      <c r="BP593" s="4"/>
      <c r="BQ593" s="4">
        <f t="shared" si="89"/>
        <v>2263219.0831923014</v>
      </c>
      <c r="BT593" s="4">
        <f t="shared" si="90"/>
        <v>1596211.565839068</v>
      </c>
      <c r="BW593" s="52"/>
      <c r="BX593" s="4">
        <f t="shared" si="87"/>
        <v>4167946.7392373015</v>
      </c>
      <c r="BY593" s="4">
        <f t="shared" si="88"/>
        <v>3537335.2917448008</v>
      </c>
    </row>
    <row r="594" spans="1:77" ht="12.75">
      <c r="A594" s="3" t="s">
        <v>1227</v>
      </c>
      <c r="B594" s="3" t="s">
        <v>593</v>
      </c>
      <c r="C594" s="3" t="s">
        <v>1349</v>
      </c>
      <c r="D594" s="3"/>
      <c r="E594" s="4"/>
      <c r="F594" s="4">
        <v>1739558.048812</v>
      </c>
      <c r="G594" s="4">
        <f t="shared" si="83"/>
        <v>1772798.011528153</v>
      </c>
      <c r="H594" s="4"/>
      <c r="I594" s="4"/>
      <c r="J594" s="4">
        <v>24934.098289</v>
      </c>
      <c r="K594" s="4">
        <f t="shared" si="77"/>
        <v>25410.54602700637</v>
      </c>
      <c r="L594" s="4"/>
      <c r="M594" s="4"/>
      <c r="N594" s="4"/>
      <c r="O594" s="4"/>
      <c r="P594" s="4"/>
      <c r="Q594" s="4"/>
      <c r="R594" s="4"/>
      <c r="S594" s="4"/>
      <c r="T594" s="4">
        <v>20364.007684</v>
      </c>
      <c r="U594" s="4">
        <f t="shared" si="81"/>
        <v>20753.128849936307</v>
      </c>
      <c r="V594" s="4"/>
      <c r="W594" s="4"/>
      <c r="X594" s="4"/>
      <c r="Y594" s="4"/>
      <c r="Z594" s="13">
        <f t="shared" si="84"/>
        <v>1784856.1547850003</v>
      </c>
      <c r="AC594" s="13">
        <f t="shared" si="85"/>
        <v>1818961.6864050957</v>
      </c>
      <c r="AF594" s="51"/>
      <c r="AG594" s="4"/>
      <c r="AH594" s="4"/>
      <c r="AI594" s="4"/>
      <c r="AJ594" s="4"/>
      <c r="AK594" s="4"/>
      <c r="AL594" s="4">
        <v>1921826.874645</v>
      </c>
      <c r="AM594" s="4">
        <f t="shared" si="86"/>
        <v>1286743.3489789783</v>
      </c>
      <c r="AN594" s="4"/>
      <c r="AO594" s="4"/>
      <c r="AP594" s="4"/>
      <c r="AQ594" s="4"/>
      <c r="AR594" s="4">
        <v>36013.207677</v>
      </c>
      <c r="AS594" s="4">
        <f t="shared" si="78"/>
        <v>35304.60183569029</v>
      </c>
      <c r="AT594" s="4"/>
      <c r="AU594" s="4"/>
      <c r="AV594" s="4"/>
      <c r="AW594" s="4"/>
      <c r="AX594" s="4">
        <v>28887.968986</v>
      </c>
      <c r="AY594" s="4">
        <f t="shared" si="82"/>
        <v>28309.240918876858</v>
      </c>
      <c r="AZ594" s="4"/>
      <c r="BA594" s="4"/>
      <c r="BB594" s="4"/>
      <c r="BC594" s="4"/>
      <c r="BD594" s="4">
        <v>2561.647059</v>
      </c>
      <c r="BE594" s="4">
        <f>BD594/BD$680*BE$680</f>
        <v>3640.2356909057694</v>
      </c>
      <c r="BF594" s="4">
        <v>539.293737005958</v>
      </c>
      <c r="BG594" s="4">
        <f>BE594+BF594</f>
        <v>4179.529427911727</v>
      </c>
      <c r="BH594" s="4">
        <v>24882</v>
      </c>
      <c r="BI594" s="4">
        <v>24838</v>
      </c>
      <c r="BJ594" s="4"/>
      <c r="BK594" s="4">
        <f t="shared" si="80"/>
        <v>24838</v>
      </c>
      <c r="BL594" s="4">
        <f t="shared" si="79"/>
        <v>49720</v>
      </c>
      <c r="BM594" s="4"/>
      <c r="BN594" s="4"/>
      <c r="BO594" s="4">
        <v>5228.895213</v>
      </c>
      <c r="BP594" s="4"/>
      <c r="BQ594" s="4">
        <f t="shared" si="89"/>
        <v>2044777.887317006</v>
      </c>
      <c r="BT594" s="4">
        <f t="shared" si="90"/>
        <v>1404256.721161457</v>
      </c>
      <c r="BW594" s="52"/>
      <c r="BX594" s="4">
        <f t="shared" si="87"/>
        <v>3829634.0421020063</v>
      </c>
      <c r="BY594" s="4">
        <f t="shared" si="88"/>
        <v>3223218.407566553</v>
      </c>
    </row>
    <row r="595" spans="1:77" ht="12.75">
      <c r="A595" s="3" t="s">
        <v>1228</v>
      </c>
      <c r="B595" s="3" t="s">
        <v>594</v>
      </c>
      <c r="C595" s="3" t="s">
        <v>1349</v>
      </c>
      <c r="D595" s="3"/>
      <c r="E595" s="4"/>
      <c r="F595" s="4">
        <v>3697126.683114</v>
      </c>
      <c r="G595" s="4">
        <f t="shared" si="83"/>
        <v>3767772.4159123567</v>
      </c>
      <c r="H595" s="4"/>
      <c r="I595" s="4"/>
      <c r="J595" s="4">
        <v>131809.297978</v>
      </c>
      <c r="K595" s="4">
        <f t="shared" si="77"/>
        <v>134327.94698394902</v>
      </c>
      <c r="L595" s="4"/>
      <c r="M595" s="4"/>
      <c r="N595" s="4"/>
      <c r="O595" s="4"/>
      <c r="P595" s="4"/>
      <c r="Q595" s="4"/>
      <c r="R595" s="4"/>
      <c r="S595" s="4"/>
      <c r="T595" s="4">
        <v>51623.16676</v>
      </c>
      <c r="U595" s="4">
        <f t="shared" si="81"/>
        <v>52609.596698089175</v>
      </c>
      <c r="V595" s="4"/>
      <c r="W595" s="4"/>
      <c r="X595" s="4"/>
      <c r="Y595" s="4"/>
      <c r="Z595" s="13">
        <f t="shared" si="84"/>
        <v>3880559.147852</v>
      </c>
      <c r="AC595" s="13">
        <f t="shared" si="85"/>
        <v>3954709.9595943945</v>
      </c>
      <c r="AF595" s="51"/>
      <c r="AG595" s="4"/>
      <c r="AH595" s="4"/>
      <c r="AI595" s="4"/>
      <c r="AJ595" s="4"/>
      <c r="AK595" s="4"/>
      <c r="AL595" s="4">
        <v>4084507.224939</v>
      </c>
      <c r="AM595" s="4">
        <f t="shared" si="86"/>
        <v>2734748.1580606354</v>
      </c>
      <c r="AN595" s="4"/>
      <c r="AO595" s="4"/>
      <c r="AP595" s="4"/>
      <c r="AQ595" s="4"/>
      <c r="AR595" s="4">
        <v>190376.87134</v>
      </c>
      <c r="AS595" s="4">
        <f t="shared" si="78"/>
        <v>186630.96333059084</v>
      </c>
      <c r="AT595" s="4"/>
      <c r="AU595" s="4"/>
      <c r="AV595" s="4"/>
      <c r="AW595" s="4"/>
      <c r="AX595" s="4">
        <v>73231.579139</v>
      </c>
      <c r="AY595" s="4">
        <f t="shared" si="82"/>
        <v>71764.49191427928</v>
      </c>
      <c r="AZ595" s="4"/>
      <c r="BA595" s="4"/>
      <c r="BB595" s="4"/>
      <c r="BC595" s="4"/>
      <c r="BD595" s="4"/>
      <c r="BE595" s="4"/>
      <c r="BF595" s="4"/>
      <c r="BG595" s="4"/>
      <c r="BH595" s="4"/>
      <c r="BI595" s="4"/>
      <c r="BJ595" s="4"/>
      <c r="BK595" s="4"/>
      <c r="BL595" s="4"/>
      <c r="BM595" s="4"/>
      <c r="BN595" s="4"/>
      <c r="BO595" s="4">
        <v>11368.443948</v>
      </c>
      <c r="BP595" s="4"/>
      <c r="BQ595" s="4">
        <f t="shared" si="89"/>
        <v>4359484.1193659995</v>
      </c>
      <c r="BT595" s="4">
        <f t="shared" si="90"/>
        <v>2993143.6133055054</v>
      </c>
      <c r="BW595" s="52"/>
      <c r="BX595" s="4">
        <f t="shared" si="87"/>
        <v>8240043.267217999</v>
      </c>
      <c r="BY595" s="4">
        <f t="shared" si="88"/>
        <v>6947853.5728999</v>
      </c>
    </row>
    <row r="596" spans="1:77" ht="12.75">
      <c r="A596" s="3" t="s">
        <v>1229</v>
      </c>
      <c r="B596" s="3" t="s">
        <v>595</v>
      </c>
      <c r="C596" s="3" t="s">
        <v>1349</v>
      </c>
      <c r="D596" s="3"/>
      <c r="E596" s="4"/>
      <c r="F596" s="4">
        <v>1947035.914789</v>
      </c>
      <c r="G596" s="4">
        <f t="shared" si="83"/>
        <v>1984240.4227149044</v>
      </c>
      <c r="H596" s="4"/>
      <c r="I596" s="4"/>
      <c r="J596" s="4">
        <v>55094.41551</v>
      </c>
      <c r="K596" s="4">
        <f t="shared" si="77"/>
        <v>56147.175042038216</v>
      </c>
      <c r="L596" s="4"/>
      <c r="M596" s="4"/>
      <c r="N596" s="4"/>
      <c r="O596" s="4"/>
      <c r="P596" s="4"/>
      <c r="Q596" s="4"/>
      <c r="R596" s="4"/>
      <c r="S596" s="4"/>
      <c r="T596" s="4">
        <v>23274.431663</v>
      </c>
      <c r="U596" s="4">
        <f t="shared" si="81"/>
        <v>23719.16602598726</v>
      </c>
      <c r="V596" s="4"/>
      <c r="W596" s="4"/>
      <c r="X596" s="4"/>
      <c r="Y596" s="4"/>
      <c r="Z596" s="13">
        <f t="shared" si="84"/>
        <v>2025404.761962</v>
      </c>
      <c r="AC596" s="13">
        <f t="shared" si="85"/>
        <v>2064106.76378293</v>
      </c>
      <c r="AF596" s="51"/>
      <c r="AG596" s="4"/>
      <c r="AH596" s="4"/>
      <c r="AI596" s="4"/>
      <c r="AJ596" s="4"/>
      <c r="AK596" s="4"/>
      <c r="AL596" s="4">
        <v>2151044.024943</v>
      </c>
      <c r="AM596" s="4">
        <f t="shared" si="86"/>
        <v>1440213.803320683</v>
      </c>
      <c r="AN596" s="4"/>
      <c r="AO596" s="4"/>
      <c r="AP596" s="4"/>
      <c r="AQ596" s="4"/>
      <c r="AR596" s="4">
        <v>79574.829803</v>
      </c>
      <c r="AS596" s="4">
        <f t="shared" si="78"/>
        <v>78009.09342857414</v>
      </c>
      <c r="AT596" s="4"/>
      <c r="AU596" s="4"/>
      <c r="AV596" s="4"/>
      <c r="AW596" s="4"/>
      <c r="AX596" s="4">
        <v>33016.637514</v>
      </c>
      <c r="AY596" s="4">
        <f t="shared" si="82"/>
        <v>32355.197631513187</v>
      </c>
      <c r="AZ596" s="4"/>
      <c r="BA596" s="4"/>
      <c r="BB596" s="4"/>
      <c r="BC596" s="4"/>
      <c r="BD596" s="4">
        <v>50782.529412</v>
      </c>
      <c r="BE596" s="4">
        <f>BD596/BD$680*BE$680</f>
        <v>72164.65492018212</v>
      </c>
      <c r="BF596" s="4">
        <v>10691.051276948163</v>
      </c>
      <c r="BG596" s="4">
        <f>BE596+BF596</f>
        <v>82855.70619713028</v>
      </c>
      <c r="BH596" s="4">
        <v>55615</v>
      </c>
      <c r="BI596" s="4"/>
      <c r="BJ596" s="4"/>
      <c r="BK596" s="4"/>
      <c r="BL596" s="4">
        <f t="shared" si="79"/>
        <v>55615</v>
      </c>
      <c r="BM596" s="4"/>
      <c r="BN596" s="4"/>
      <c r="BO596" s="4">
        <v>5933.603801</v>
      </c>
      <c r="BP596" s="4"/>
      <c r="BQ596" s="4">
        <f t="shared" si="89"/>
        <v>2386657.6767499484</v>
      </c>
      <c r="BT596" s="4">
        <f t="shared" si="90"/>
        <v>1689048.8005779006</v>
      </c>
      <c r="BW596" s="52"/>
      <c r="BX596" s="4">
        <f t="shared" si="87"/>
        <v>4412062.438711949</v>
      </c>
      <c r="BY596" s="4">
        <f t="shared" si="88"/>
        <v>3753155.564360831</v>
      </c>
    </row>
    <row r="597" spans="1:77" ht="12.75">
      <c r="A597" s="3" t="s">
        <v>1230</v>
      </c>
      <c r="B597" s="3" t="s">
        <v>596</v>
      </c>
      <c r="C597" s="3" t="s">
        <v>1349</v>
      </c>
      <c r="D597" s="3"/>
      <c r="E597" s="4"/>
      <c r="F597" s="4">
        <v>2155498.661366</v>
      </c>
      <c r="G597" s="4">
        <f t="shared" si="83"/>
        <v>2196686.5338761783</v>
      </c>
      <c r="H597" s="4"/>
      <c r="I597" s="4"/>
      <c r="J597" s="4">
        <v>68135.118751</v>
      </c>
      <c r="K597" s="4">
        <f t="shared" si="77"/>
        <v>69437.06369528662</v>
      </c>
      <c r="L597" s="4"/>
      <c r="M597" s="4"/>
      <c r="N597" s="4"/>
      <c r="O597" s="4"/>
      <c r="P597" s="4"/>
      <c r="Q597" s="4"/>
      <c r="R597" s="4"/>
      <c r="S597" s="4"/>
      <c r="T597" s="4">
        <v>20364.007684</v>
      </c>
      <c r="U597" s="4">
        <f t="shared" si="81"/>
        <v>20753.128849936307</v>
      </c>
      <c r="V597" s="4"/>
      <c r="W597" s="4"/>
      <c r="X597" s="4"/>
      <c r="Y597" s="4"/>
      <c r="Z597" s="13">
        <f t="shared" si="84"/>
        <v>2243997.787801</v>
      </c>
      <c r="AC597" s="13">
        <f t="shared" si="85"/>
        <v>2286876.726421401</v>
      </c>
      <c r="AF597" s="51"/>
      <c r="AG597" s="4"/>
      <c r="AH597" s="4"/>
      <c r="AI597" s="4"/>
      <c r="AJ597" s="4"/>
      <c r="AK597" s="4"/>
      <c r="AL597" s="4">
        <v>2381349.250462</v>
      </c>
      <c r="AM597" s="4">
        <f t="shared" si="86"/>
        <v>1594412.7694613854</v>
      </c>
      <c r="AN597" s="4"/>
      <c r="AO597" s="4"/>
      <c r="AP597" s="4"/>
      <c r="AQ597" s="4"/>
      <c r="AR597" s="4">
        <v>98409.982718</v>
      </c>
      <c r="AS597" s="4">
        <f t="shared" si="78"/>
        <v>96473.64066197987</v>
      </c>
      <c r="AT597" s="4"/>
      <c r="AU597" s="4"/>
      <c r="AV597" s="4"/>
      <c r="AW597" s="4"/>
      <c r="AX597" s="4">
        <v>28887.968986</v>
      </c>
      <c r="AY597" s="4">
        <f t="shared" si="82"/>
        <v>28309.240918876858</v>
      </c>
      <c r="AZ597" s="4"/>
      <c r="BA597" s="4"/>
      <c r="BB597" s="4"/>
      <c r="BC597" s="4"/>
      <c r="BD597" s="4">
        <v>17713.588235</v>
      </c>
      <c r="BE597" s="4">
        <f>BD597/BD$680*BE$680</f>
        <v>25171.943918077257</v>
      </c>
      <c r="BF597" s="4">
        <v>3729.1738381660957</v>
      </c>
      <c r="BG597" s="4">
        <f>BE597+BF597</f>
        <v>28901.11775624335</v>
      </c>
      <c r="BH597" s="4">
        <v>67191</v>
      </c>
      <c r="BI597" s="4">
        <v>66008</v>
      </c>
      <c r="BJ597" s="4"/>
      <c r="BK597" s="4">
        <f t="shared" si="80"/>
        <v>66008</v>
      </c>
      <c r="BL597" s="4">
        <f>BH597+BK597</f>
        <v>133199</v>
      </c>
      <c r="BM597" s="4"/>
      <c r="BN597" s="4"/>
      <c r="BO597" s="4">
        <v>6573.991556</v>
      </c>
      <c r="BP597" s="4"/>
      <c r="BQ597" s="4">
        <f t="shared" si="89"/>
        <v>2669862.955795166</v>
      </c>
      <c r="BT597" s="4">
        <f t="shared" si="90"/>
        <v>1881295.7687984854</v>
      </c>
      <c r="BW597" s="52"/>
      <c r="BX597" s="4">
        <f t="shared" si="87"/>
        <v>4913860.743596166</v>
      </c>
      <c r="BY597" s="4">
        <f t="shared" si="88"/>
        <v>4168172.4952198863</v>
      </c>
    </row>
    <row r="598" spans="1:77" ht="12.75">
      <c r="A598" s="3" t="s">
        <v>1231</v>
      </c>
      <c r="B598" s="3" t="s">
        <v>597</v>
      </c>
      <c r="C598" s="3" t="s">
        <v>1349</v>
      </c>
      <c r="D598" s="3"/>
      <c r="E598" s="4"/>
      <c r="F598" s="4">
        <v>2461082.463701</v>
      </c>
      <c r="G598" s="4">
        <f t="shared" si="83"/>
        <v>2508109.517147516</v>
      </c>
      <c r="H598" s="4"/>
      <c r="I598" s="4"/>
      <c r="J598" s="4">
        <v>75711.75145</v>
      </c>
      <c r="K598" s="4">
        <f t="shared" si="77"/>
        <v>77158.47281528662</v>
      </c>
      <c r="L598" s="4"/>
      <c r="M598" s="4"/>
      <c r="N598" s="4"/>
      <c r="O598" s="4"/>
      <c r="P598" s="4"/>
      <c r="Q598" s="4"/>
      <c r="R598" s="4"/>
      <c r="S598" s="4"/>
      <c r="T598" s="4">
        <v>28944.178682</v>
      </c>
      <c r="U598" s="4">
        <f t="shared" si="81"/>
        <v>29497.25216</v>
      </c>
      <c r="V598" s="4"/>
      <c r="W598" s="4"/>
      <c r="X598" s="4"/>
      <c r="Y598" s="4"/>
      <c r="Z598" s="13">
        <f t="shared" si="84"/>
        <v>2565738.3938329997</v>
      </c>
      <c r="AC598" s="13">
        <f t="shared" si="85"/>
        <v>2614765.242122803</v>
      </c>
      <c r="AF598" s="51"/>
      <c r="AG598" s="4"/>
      <c r="AH598" s="4"/>
      <c r="AI598" s="4"/>
      <c r="AJ598" s="4"/>
      <c r="AK598" s="4"/>
      <c r="AL598" s="4">
        <v>2718951.760585</v>
      </c>
      <c r="AM598" s="4">
        <f t="shared" si="86"/>
        <v>1820451.7484300933</v>
      </c>
      <c r="AN598" s="4"/>
      <c r="AO598" s="4"/>
      <c r="AP598" s="4"/>
      <c r="AQ598" s="4"/>
      <c r="AR598" s="4">
        <v>109353.18362</v>
      </c>
      <c r="AS598" s="4">
        <f t="shared" si="78"/>
        <v>107201.52011437916</v>
      </c>
      <c r="AT598" s="4"/>
      <c r="AU598" s="4"/>
      <c r="AV598" s="4"/>
      <c r="AW598" s="4"/>
      <c r="AX598" s="4">
        <v>41059.625839</v>
      </c>
      <c r="AY598" s="4">
        <f t="shared" si="82"/>
        <v>40237.05648806641</v>
      </c>
      <c r="AZ598" s="4"/>
      <c r="BA598" s="4"/>
      <c r="BB598" s="4"/>
      <c r="BC598" s="4"/>
      <c r="BD598" s="4">
        <v>29097.941176</v>
      </c>
      <c r="BE598" s="4">
        <f>BD598/BD$680*BE$680</f>
        <v>41349.710385981714</v>
      </c>
      <c r="BF598" s="4">
        <v>6125.878028689268</v>
      </c>
      <c r="BG598" s="4">
        <f>BE598+BF598</f>
        <v>47475.58841467098</v>
      </c>
      <c r="BH598" s="4">
        <v>73934</v>
      </c>
      <c r="BI598" s="4">
        <v>75335</v>
      </c>
      <c r="BJ598" s="4"/>
      <c r="BK598" s="4">
        <f t="shared" si="80"/>
        <v>75335</v>
      </c>
      <c r="BL598" s="4">
        <f>BH598+BK598</f>
        <v>149269</v>
      </c>
      <c r="BM598" s="4"/>
      <c r="BN598" s="4"/>
      <c r="BO598" s="4">
        <v>7516.559342</v>
      </c>
      <c r="BP598" s="4"/>
      <c r="BQ598" s="4">
        <f t="shared" si="89"/>
        <v>3061373.9485906893</v>
      </c>
      <c r="BT598" s="4">
        <f t="shared" si="90"/>
        <v>2164634.9134472096</v>
      </c>
      <c r="BW598" s="52"/>
      <c r="BX598" s="4">
        <f t="shared" si="87"/>
        <v>5627112.342423689</v>
      </c>
      <c r="BY598" s="4">
        <f t="shared" si="88"/>
        <v>4779400.1555700125</v>
      </c>
    </row>
    <row r="599" spans="1:77" ht="12.75">
      <c r="A599" s="3" t="s">
        <v>1232</v>
      </c>
      <c r="B599" s="3" t="s">
        <v>598</v>
      </c>
      <c r="C599" s="3" t="s">
        <v>1349</v>
      </c>
      <c r="D599" s="3"/>
      <c r="E599" s="4"/>
      <c r="F599" s="4">
        <v>3501077.26823</v>
      </c>
      <c r="G599" s="4">
        <f t="shared" si="83"/>
        <v>3567976.8338649683</v>
      </c>
      <c r="H599" s="4"/>
      <c r="I599" s="4"/>
      <c r="J599" s="4">
        <v>60295.383072</v>
      </c>
      <c r="K599" s="4">
        <f t="shared" si="77"/>
        <v>61447.524149808916</v>
      </c>
      <c r="L599" s="4"/>
      <c r="M599" s="4"/>
      <c r="N599" s="4"/>
      <c r="O599" s="4"/>
      <c r="P599" s="4"/>
      <c r="Q599" s="4"/>
      <c r="R599" s="4"/>
      <c r="S599" s="4"/>
      <c r="T599" s="4">
        <v>40283.672721</v>
      </c>
      <c r="U599" s="4">
        <f t="shared" si="81"/>
        <v>41053.424429044586</v>
      </c>
      <c r="V599" s="4"/>
      <c r="W599" s="4"/>
      <c r="X599" s="4"/>
      <c r="Y599" s="4"/>
      <c r="Z599" s="13">
        <f t="shared" si="84"/>
        <v>3601656.324023</v>
      </c>
      <c r="AC599" s="13">
        <f t="shared" si="85"/>
        <v>3670477.782443822</v>
      </c>
      <c r="AF599" s="51"/>
      <c r="AG599" s="4"/>
      <c r="AH599" s="4"/>
      <c r="AI599" s="4"/>
      <c r="AJ599" s="4"/>
      <c r="AK599" s="4"/>
      <c r="AL599" s="4">
        <v>3867915.985263</v>
      </c>
      <c r="AM599" s="4">
        <f t="shared" si="86"/>
        <v>2589731.2781443917</v>
      </c>
      <c r="AN599" s="4"/>
      <c r="AO599" s="4"/>
      <c r="AP599" s="4"/>
      <c r="AQ599" s="4"/>
      <c r="AR599" s="4">
        <v>87086.772797</v>
      </c>
      <c r="AS599" s="4">
        <f t="shared" si="78"/>
        <v>85373.22935321016</v>
      </c>
      <c r="AT599" s="4"/>
      <c r="AU599" s="4"/>
      <c r="AV599" s="4"/>
      <c r="AW599" s="4"/>
      <c r="AX599" s="4">
        <v>57145.602489</v>
      </c>
      <c r="AY599" s="4">
        <f t="shared" si="82"/>
        <v>56000.77420117285</v>
      </c>
      <c r="AZ599" s="4"/>
      <c r="BA599" s="4"/>
      <c r="BB599" s="4"/>
      <c r="BC599" s="4"/>
      <c r="BD599" s="4"/>
      <c r="BE599" s="4"/>
      <c r="BF599" s="4"/>
      <c r="BG599" s="4"/>
      <c r="BH599" s="4">
        <v>58604</v>
      </c>
      <c r="BI599" s="4">
        <v>59787</v>
      </c>
      <c r="BJ599" s="4"/>
      <c r="BK599" s="4">
        <f t="shared" si="80"/>
        <v>59787</v>
      </c>
      <c r="BL599" s="4">
        <f>BH599+BK599</f>
        <v>118391</v>
      </c>
      <c r="BM599" s="4"/>
      <c r="BN599" s="4"/>
      <c r="BO599" s="4">
        <v>10551.373264</v>
      </c>
      <c r="BP599" s="4"/>
      <c r="BQ599" s="4">
        <f t="shared" si="89"/>
        <v>4141090.733813</v>
      </c>
      <c r="BT599" s="4">
        <f t="shared" si="90"/>
        <v>2849496.2816987745</v>
      </c>
      <c r="BW599" s="52"/>
      <c r="BX599" s="4">
        <f t="shared" si="87"/>
        <v>7742747.057836</v>
      </c>
      <c r="BY599" s="4">
        <f t="shared" si="88"/>
        <v>6519974.064142596</v>
      </c>
    </row>
    <row r="600" spans="1:77" ht="12.75">
      <c r="A600" s="3" t="s">
        <v>1233</v>
      </c>
      <c r="B600" s="3" t="s">
        <v>599</v>
      </c>
      <c r="C600" s="3" t="s">
        <v>1349</v>
      </c>
      <c r="D600" s="3"/>
      <c r="E600" s="4"/>
      <c r="F600" s="4">
        <v>1908769.328388</v>
      </c>
      <c r="G600" s="4">
        <f t="shared" si="83"/>
        <v>1945242.6276565604</v>
      </c>
      <c r="H600" s="4"/>
      <c r="I600" s="4"/>
      <c r="J600" s="4">
        <v>127402.526715</v>
      </c>
      <c r="K600" s="4">
        <f aca="true" t="shared" si="91" ref="K600:K657">J600*RPI_inc</f>
        <v>129836.96990063695</v>
      </c>
      <c r="L600" s="4"/>
      <c r="M600" s="4"/>
      <c r="N600" s="4"/>
      <c r="O600" s="4"/>
      <c r="P600" s="4"/>
      <c r="Q600" s="4"/>
      <c r="R600" s="4"/>
      <c r="S600" s="4"/>
      <c r="T600" s="4">
        <v>37448.595571</v>
      </c>
      <c r="U600" s="4">
        <f t="shared" si="81"/>
        <v>38164.17383031847</v>
      </c>
      <c r="V600" s="4"/>
      <c r="W600" s="4"/>
      <c r="X600" s="4"/>
      <c r="Y600" s="4"/>
      <c r="Z600" s="13">
        <f t="shared" si="84"/>
        <v>2073620.4506739997</v>
      </c>
      <c r="AC600" s="13">
        <f t="shared" si="85"/>
        <v>2113243.7713875156</v>
      </c>
      <c r="AF600" s="51"/>
      <c r="AG600" s="4"/>
      <c r="AH600" s="4"/>
      <c r="AI600" s="4"/>
      <c r="AJ600" s="4"/>
      <c r="AK600" s="4"/>
      <c r="AL600" s="4">
        <v>2108767.911079</v>
      </c>
      <c r="AM600" s="4">
        <f t="shared" si="86"/>
        <v>1411908.179618117</v>
      </c>
      <c r="AN600" s="4"/>
      <c r="AO600" s="4"/>
      <c r="AP600" s="4"/>
      <c r="AQ600" s="4"/>
      <c r="AR600" s="4">
        <v>184012.014394</v>
      </c>
      <c r="AS600" s="4">
        <f aca="true" t="shared" si="92" ref="AS600:AS657">AR600/$AR$680*$AS$680</f>
        <v>180391.34307140548</v>
      </c>
      <c r="AT600" s="4"/>
      <c r="AU600" s="4"/>
      <c r="AV600" s="4"/>
      <c r="AW600" s="4"/>
      <c r="AX600" s="4">
        <v>53123.819447</v>
      </c>
      <c r="AY600" s="4">
        <f t="shared" si="82"/>
        <v>52059.561680673105</v>
      </c>
      <c r="AZ600" s="4"/>
      <c r="BA600" s="4"/>
      <c r="BB600" s="4"/>
      <c r="BC600" s="4"/>
      <c r="BD600" s="4"/>
      <c r="BE600" s="4"/>
      <c r="BF600" s="4"/>
      <c r="BG600" s="4"/>
      <c r="BH600" s="4"/>
      <c r="BI600" s="4">
        <v>132132</v>
      </c>
      <c r="BJ600" s="4"/>
      <c r="BK600" s="4">
        <f t="shared" si="80"/>
        <v>132132</v>
      </c>
      <c r="BL600" s="4">
        <f>BH600+BK600</f>
        <v>132132</v>
      </c>
      <c r="BM600" s="4"/>
      <c r="BN600" s="4"/>
      <c r="BO600" s="4">
        <v>6074.855959</v>
      </c>
      <c r="BP600" s="4"/>
      <c r="BQ600" s="4">
        <f t="shared" si="89"/>
        <v>2484110.6008790005</v>
      </c>
      <c r="BT600" s="4">
        <f t="shared" si="90"/>
        <v>1776491.0843701956</v>
      </c>
      <c r="BW600" s="52"/>
      <c r="BX600" s="4">
        <f t="shared" si="87"/>
        <v>4557731.051553</v>
      </c>
      <c r="BY600" s="4">
        <f t="shared" si="88"/>
        <v>3889734.8557577115</v>
      </c>
    </row>
    <row r="601" spans="1:77" ht="12.75">
      <c r="A601" s="3" t="s">
        <v>1234</v>
      </c>
      <c r="B601" s="3" t="s">
        <v>600</v>
      </c>
      <c r="C601" s="3" t="s">
        <v>1349</v>
      </c>
      <c r="D601" s="3"/>
      <c r="E601" s="4"/>
      <c r="F601" s="4">
        <v>1157101.148875</v>
      </c>
      <c r="G601" s="4">
        <f t="shared" si="83"/>
        <v>1179211.361910828</v>
      </c>
      <c r="H601" s="4"/>
      <c r="I601" s="4"/>
      <c r="J601" s="4">
        <v>52846.636341</v>
      </c>
      <c r="K601" s="4">
        <f t="shared" si="91"/>
        <v>53856.44467872611</v>
      </c>
      <c r="L601" s="4"/>
      <c r="M601" s="4"/>
      <c r="N601" s="4"/>
      <c r="O601" s="4"/>
      <c r="P601" s="4"/>
      <c r="Q601" s="4"/>
      <c r="R601" s="4"/>
      <c r="S601" s="4"/>
      <c r="T601" s="4">
        <v>54457.836629</v>
      </c>
      <c r="U601" s="4">
        <f t="shared" si="81"/>
        <v>55498.432233375795</v>
      </c>
      <c r="V601" s="4"/>
      <c r="W601" s="4"/>
      <c r="X601" s="4"/>
      <c r="Y601" s="4"/>
      <c r="Z601" s="13">
        <f t="shared" si="84"/>
        <v>1264405.621845</v>
      </c>
      <c r="AC601" s="13">
        <f t="shared" si="85"/>
        <v>1288566.2388229298</v>
      </c>
      <c r="AF601" s="51"/>
      <c r="AG601" s="4"/>
      <c r="AH601" s="4"/>
      <c r="AI601" s="4"/>
      <c r="AJ601" s="4"/>
      <c r="AK601" s="4"/>
      <c r="AL601" s="4">
        <v>1278340.832666</v>
      </c>
      <c r="AM601" s="4">
        <f t="shared" si="86"/>
        <v>855902.5715909348</v>
      </c>
      <c r="AN601" s="4"/>
      <c r="AO601" s="4"/>
      <c r="AP601" s="4"/>
      <c r="AQ601" s="4"/>
      <c r="AR601" s="4">
        <v>76328.282161</v>
      </c>
      <c r="AS601" s="4">
        <f t="shared" si="92"/>
        <v>74826.42575649642</v>
      </c>
      <c r="AT601" s="4"/>
      <c r="AU601" s="4"/>
      <c r="AV601" s="4"/>
      <c r="AW601" s="4"/>
      <c r="AX601" s="4">
        <v>77252.784422</v>
      </c>
      <c r="AY601" s="4">
        <f t="shared" si="82"/>
        <v>75705.13825033276</v>
      </c>
      <c r="AZ601" s="4"/>
      <c r="BA601" s="4"/>
      <c r="BB601" s="4"/>
      <c r="BC601" s="4"/>
      <c r="BD601" s="4"/>
      <c r="BE601" s="4"/>
      <c r="BF601" s="4"/>
      <c r="BG601" s="4"/>
      <c r="BH601" s="4"/>
      <c r="BI601" s="4"/>
      <c r="BJ601" s="4"/>
      <c r="BK601" s="4"/>
      <c r="BL601" s="4"/>
      <c r="BM601" s="4"/>
      <c r="BN601" s="4"/>
      <c r="BO601" s="4">
        <v>3704.188982</v>
      </c>
      <c r="BP601" s="4"/>
      <c r="BQ601" s="4">
        <f t="shared" si="89"/>
        <v>1435626.088231</v>
      </c>
      <c r="BT601" s="4">
        <f t="shared" si="90"/>
        <v>1006434.1355977639</v>
      </c>
      <c r="BW601" s="52"/>
      <c r="BX601" s="4">
        <f t="shared" si="87"/>
        <v>2700031.7100759996</v>
      </c>
      <c r="BY601" s="4">
        <f t="shared" si="88"/>
        <v>2295000.3744206936</v>
      </c>
    </row>
    <row r="602" spans="1:77" ht="12.75">
      <c r="A602" s="3" t="s">
        <v>1235</v>
      </c>
      <c r="B602" s="3" t="s">
        <v>601</v>
      </c>
      <c r="C602" s="3" t="s">
        <v>1349</v>
      </c>
      <c r="D602" s="3"/>
      <c r="E602" s="4"/>
      <c r="F602" s="4">
        <v>2380949.82454</v>
      </c>
      <c r="G602" s="4">
        <f t="shared" si="83"/>
        <v>2426445.6810598727</v>
      </c>
      <c r="H602" s="4"/>
      <c r="I602" s="4"/>
      <c r="J602" s="4">
        <v>83852.059881</v>
      </c>
      <c r="K602" s="4">
        <f t="shared" si="91"/>
        <v>85454.32854114649</v>
      </c>
      <c r="L602" s="4"/>
      <c r="M602" s="4"/>
      <c r="N602" s="4"/>
      <c r="O602" s="4"/>
      <c r="P602" s="4"/>
      <c r="Q602" s="4"/>
      <c r="R602" s="4"/>
      <c r="S602" s="4"/>
      <c r="T602" s="4">
        <v>143351.617533</v>
      </c>
      <c r="U602" s="4">
        <f t="shared" si="81"/>
        <v>146090.8204157962</v>
      </c>
      <c r="V602" s="4"/>
      <c r="W602" s="4"/>
      <c r="X602" s="4"/>
      <c r="Y602" s="4"/>
      <c r="Z602" s="13">
        <f t="shared" si="84"/>
        <v>2608153.501954</v>
      </c>
      <c r="AC602" s="13">
        <f t="shared" si="85"/>
        <v>2657990.8300168156</v>
      </c>
      <c r="AF602" s="51"/>
      <c r="AG602" s="4"/>
      <c r="AH602" s="4"/>
      <c r="AI602" s="4"/>
      <c r="AJ602" s="4"/>
      <c r="AK602" s="4"/>
      <c r="AL602" s="4">
        <v>2630422.918687</v>
      </c>
      <c r="AM602" s="4">
        <f t="shared" si="86"/>
        <v>1761177.9917728475</v>
      </c>
      <c r="AN602" s="4"/>
      <c r="AO602" s="4"/>
      <c r="AP602" s="4"/>
      <c r="AQ602" s="4"/>
      <c r="AR602" s="4">
        <v>121110.521492</v>
      </c>
      <c r="AS602" s="4">
        <f t="shared" si="92"/>
        <v>118727.51735243526</v>
      </c>
      <c r="AT602" s="4"/>
      <c r="AU602" s="4"/>
      <c r="AV602" s="4"/>
      <c r="AW602" s="4"/>
      <c r="AX602" s="4">
        <v>203355.70216</v>
      </c>
      <c r="AY602" s="4">
        <f t="shared" si="82"/>
        <v>199281.76908057302</v>
      </c>
      <c r="AZ602" s="4"/>
      <c r="BA602" s="4"/>
      <c r="BB602" s="4"/>
      <c r="BC602" s="4"/>
      <c r="BD602" s="4"/>
      <c r="BE602" s="4"/>
      <c r="BF602" s="4"/>
      <c r="BG602" s="4"/>
      <c r="BH602" s="4"/>
      <c r="BI602" s="4"/>
      <c r="BJ602" s="4"/>
      <c r="BK602" s="4"/>
      <c r="BL602" s="4"/>
      <c r="BM602" s="4"/>
      <c r="BN602" s="4"/>
      <c r="BO602" s="4">
        <v>7640.818183</v>
      </c>
      <c r="BP602" s="4"/>
      <c r="BQ602" s="4">
        <f t="shared" si="89"/>
        <v>2962529.960522</v>
      </c>
      <c r="BT602" s="4">
        <f t="shared" si="90"/>
        <v>2079187.2782058557</v>
      </c>
      <c r="BW602" s="52"/>
      <c r="BX602" s="4">
        <f t="shared" si="87"/>
        <v>5570683.462476</v>
      </c>
      <c r="BY602" s="4">
        <f t="shared" si="88"/>
        <v>4737178.108222671</v>
      </c>
    </row>
    <row r="603" spans="1:77" ht="12.75">
      <c r="A603" s="3" t="s">
        <v>1236</v>
      </c>
      <c r="B603" s="3" t="s">
        <v>602</v>
      </c>
      <c r="C603" s="3" t="s">
        <v>1349</v>
      </c>
      <c r="D603" s="3"/>
      <c r="E603" s="4"/>
      <c r="F603" s="4">
        <v>1062385.546612</v>
      </c>
      <c r="G603" s="4">
        <f t="shared" si="83"/>
        <v>1082685.9073752868</v>
      </c>
      <c r="H603" s="4"/>
      <c r="I603" s="4"/>
      <c r="J603" s="4">
        <v>62751.689679</v>
      </c>
      <c r="K603" s="4">
        <f t="shared" si="91"/>
        <v>63950.76655184713</v>
      </c>
      <c r="L603" s="4"/>
      <c r="M603" s="4"/>
      <c r="N603" s="4"/>
      <c r="O603" s="4"/>
      <c r="P603" s="4"/>
      <c r="Q603" s="4"/>
      <c r="R603" s="4"/>
      <c r="S603" s="4"/>
      <c r="T603" s="4">
        <v>20364.007684</v>
      </c>
      <c r="U603" s="4">
        <f t="shared" si="81"/>
        <v>20753.128849936307</v>
      </c>
      <c r="V603" s="4"/>
      <c r="W603" s="4"/>
      <c r="X603" s="4"/>
      <c r="Y603" s="4"/>
      <c r="Z603" s="13">
        <f t="shared" si="84"/>
        <v>1145501.2439750002</v>
      </c>
      <c r="AC603" s="13">
        <f t="shared" si="85"/>
        <v>1167389.8027770703</v>
      </c>
      <c r="AF603" s="51"/>
      <c r="AG603" s="4"/>
      <c r="AH603" s="4"/>
      <c r="AI603" s="4"/>
      <c r="AJ603" s="4"/>
      <c r="AK603" s="4"/>
      <c r="AL603" s="4">
        <v>1173701.042117</v>
      </c>
      <c r="AM603" s="4">
        <f t="shared" si="86"/>
        <v>785841.8620109678</v>
      </c>
      <c r="AN603" s="4"/>
      <c r="AO603" s="4"/>
      <c r="AP603" s="4"/>
      <c r="AQ603" s="4"/>
      <c r="AR603" s="4">
        <v>90634.504058</v>
      </c>
      <c r="AS603" s="4">
        <f t="shared" si="92"/>
        <v>88851.15447204451</v>
      </c>
      <c r="AT603" s="4"/>
      <c r="AU603" s="4"/>
      <c r="AV603" s="4"/>
      <c r="AW603" s="4"/>
      <c r="AX603" s="4">
        <v>28887.968986</v>
      </c>
      <c r="AY603" s="4">
        <f t="shared" si="82"/>
        <v>28309.240918876858</v>
      </c>
      <c r="AZ603" s="4"/>
      <c r="BA603" s="4"/>
      <c r="BB603" s="4"/>
      <c r="BC603" s="4"/>
      <c r="BD603" s="4"/>
      <c r="BE603" s="4"/>
      <c r="BF603" s="4"/>
      <c r="BG603" s="4"/>
      <c r="BH603" s="4"/>
      <c r="BI603" s="4"/>
      <c r="BJ603" s="4"/>
      <c r="BK603" s="4"/>
      <c r="BL603" s="4"/>
      <c r="BM603" s="4"/>
      <c r="BN603" s="4"/>
      <c r="BO603" s="4">
        <v>3355.848008</v>
      </c>
      <c r="BP603" s="4"/>
      <c r="BQ603" s="4">
        <f t="shared" si="89"/>
        <v>1296579.363169</v>
      </c>
      <c r="BT603" s="4">
        <f t="shared" si="90"/>
        <v>903002.2574018892</v>
      </c>
      <c r="BW603" s="52"/>
      <c r="BX603" s="4">
        <f t="shared" si="87"/>
        <v>2442080.607144</v>
      </c>
      <c r="BY603" s="4">
        <f t="shared" si="88"/>
        <v>2070392.0601789595</v>
      </c>
    </row>
    <row r="604" spans="1:77" ht="12.75">
      <c r="A604" s="3" t="s">
        <v>1237</v>
      </c>
      <c r="B604" s="3" t="s">
        <v>603</v>
      </c>
      <c r="C604" s="3" t="s">
        <v>1349</v>
      </c>
      <c r="D604" s="3"/>
      <c r="E604" s="4"/>
      <c r="F604" s="4">
        <v>1984880.562215</v>
      </c>
      <c r="G604" s="4">
        <f t="shared" si="83"/>
        <v>2022808.2162700635</v>
      </c>
      <c r="H604" s="4"/>
      <c r="I604" s="4"/>
      <c r="J604" s="4">
        <v>116429.177534</v>
      </c>
      <c r="K604" s="4">
        <f t="shared" si="91"/>
        <v>118653.93888815287</v>
      </c>
      <c r="L604" s="4"/>
      <c r="M604" s="4"/>
      <c r="N604" s="4"/>
      <c r="O604" s="4"/>
      <c r="P604" s="4"/>
      <c r="Q604" s="4"/>
      <c r="R604" s="4"/>
      <c r="S604" s="4"/>
      <c r="T604" s="4">
        <v>23274.431663</v>
      </c>
      <c r="U604" s="4">
        <f t="shared" si="81"/>
        <v>23719.16602598726</v>
      </c>
      <c r="V604" s="4"/>
      <c r="W604" s="4"/>
      <c r="X604" s="4"/>
      <c r="Y604" s="4"/>
      <c r="Z604" s="13">
        <f t="shared" si="84"/>
        <v>2124584.171412</v>
      </c>
      <c r="AC604" s="13">
        <f t="shared" si="85"/>
        <v>2165181.321184204</v>
      </c>
      <c r="AF604" s="51"/>
      <c r="AG604" s="4"/>
      <c r="AH604" s="4"/>
      <c r="AI604" s="4"/>
      <c r="AJ604" s="4"/>
      <c r="AK604" s="4"/>
      <c r="AL604" s="4">
        <v>2192853.989569</v>
      </c>
      <c r="AM604" s="4">
        <f t="shared" si="86"/>
        <v>1468207.3206417942</v>
      </c>
      <c r="AN604" s="4"/>
      <c r="AO604" s="4"/>
      <c r="AP604" s="4"/>
      <c r="AQ604" s="4"/>
      <c r="AR604" s="4">
        <v>168162.8147</v>
      </c>
      <c r="AS604" s="4">
        <f t="shared" si="92"/>
        <v>164853.9966170275</v>
      </c>
      <c r="AT604" s="4"/>
      <c r="AU604" s="4"/>
      <c r="AV604" s="4"/>
      <c r="AW604" s="4"/>
      <c r="AX604" s="4">
        <v>33016.637514</v>
      </c>
      <c r="AY604" s="4">
        <f t="shared" si="82"/>
        <v>32355.197631513187</v>
      </c>
      <c r="AZ604" s="4"/>
      <c r="BA604" s="4"/>
      <c r="BB604" s="4"/>
      <c r="BC604" s="4"/>
      <c r="BD604" s="4"/>
      <c r="BE604" s="4"/>
      <c r="BF604" s="4"/>
      <c r="BG604" s="4"/>
      <c r="BH604" s="4"/>
      <c r="BI604" s="4"/>
      <c r="BJ604" s="4"/>
      <c r="BK604" s="4"/>
      <c r="BL604" s="4"/>
      <c r="BM604" s="4"/>
      <c r="BN604" s="4"/>
      <c r="BO604" s="4">
        <v>6224.158722</v>
      </c>
      <c r="BP604" s="4"/>
      <c r="BQ604" s="4">
        <f t="shared" si="89"/>
        <v>2400257.600505</v>
      </c>
      <c r="BT604" s="4">
        <f t="shared" si="90"/>
        <v>1665416.514890335</v>
      </c>
      <c r="BW604" s="52"/>
      <c r="BX604" s="4">
        <f t="shared" si="87"/>
        <v>4524841.771917</v>
      </c>
      <c r="BY604" s="4">
        <f t="shared" si="88"/>
        <v>3830597.836074539</v>
      </c>
    </row>
    <row r="605" spans="1:77" ht="12.75">
      <c r="A605" s="3" t="s">
        <v>1238</v>
      </c>
      <c r="B605" s="3" t="s">
        <v>604</v>
      </c>
      <c r="C605" s="3" t="s">
        <v>1349</v>
      </c>
      <c r="D605" s="3"/>
      <c r="E605" s="4"/>
      <c r="F605" s="4">
        <v>1569212.185627</v>
      </c>
      <c r="G605" s="4">
        <f t="shared" si="83"/>
        <v>1599197.1318491718</v>
      </c>
      <c r="H605" s="4"/>
      <c r="I605" s="4"/>
      <c r="J605" s="4">
        <v>46906.04802</v>
      </c>
      <c r="K605" s="4">
        <f t="shared" si="91"/>
        <v>47802.34193121019</v>
      </c>
      <c r="L605" s="4"/>
      <c r="M605" s="4"/>
      <c r="N605" s="4"/>
      <c r="O605" s="4"/>
      <c r="P605" s="4"/>
      <c r="Q605" s="4"/>
      <c r="R605" s="4"/>
      <c r="S605" s="4"/>
      <c r="T605" s="4">
        <v>34613.925701</v>
      </c>
      <c r="U605" s="4">
        <f t="shared" si="81"/>
        <v>35275.33829401274</v>
      </c>
      <c r="V605" s="4"/>
      <c r="W605" s="4"/>
      <c r="X605" s="4"/>
      <c r="Y605" s="4"/>
      <c r="Z605" s="13">
        <f t="shared" si="84"/>
        <v>1650732.159348</v>
      </c>
      <c r="AC605" s="13">
        <f t="shared" si="85"/>
        <v>1682274.8120743947</v>
      </c>
      <c r="AF605" s="51"/>
      <c r="AG605" s="4"/>
      <c r="AH605" s="4"/>
      <c r="AI605" s="4"/>
      <c r="AJ605" s="4"/>
      <c r="AK605" s="4"/>
      <c r="AL605" s="4">
        <v>1733632.374279</v>
      </c>
      <c r="AM605" s="4">
        <f t="shared" si="86"/>
        <v>1160739.271892116</v>
      </c>
      <c r="AN605" s="4"/>
      <c r="AO605" s="4"/>
      <c r="AP605" s="4"/>
      <c r="AQ605" s="4"/>
      <c r="AR605" s="4">
        <v>67748.078519</v>
      </c>
      <c r="AS605" s="4">
        <f t="shared" si="92"/>
        <v>66415.0485760235</v>
      </c>
      <c r="AT605" s="4"/>
      <c r="AU605" s="4"/>
      <c r="AV605" s="4"/>
      <c r="AW605" s="4"/>
      <c r="AX605" s="4">
        <v>49102.614164</v>
      </c>
      <c r="AY605" s="4">
        <f t="shared" si="82"/>
        <v>48118.91534461963</v>
      </c>
      <c r="AZ605" s="4"/>
      <c r="BA605" s="4"/>
      <c r="BB605" s="4"/>
      <c r="BC605" s="4"/>
      <c r="BD605" s="4"/>
      <c r="BE605" s="4"/>
      <c r="BF605" s="4"/>
      <c r="BG605" s="4"/>
      <c r="BH605" s="4"/>
      <c r="BI605" s="4">
        <v>46517</v>
      </c>
      <c r="BJ605" s="4"/>
      <c r="BK605" s="4">
        <f>BI605</f>
        <v>46517</v>
      </c>
      <c r="BL605" s="4">
        <f>BH605+BK605</f>
        <v>46517</v>
      </c>
      <c r="BM605" s="4"/>
      <c r="BN605" s="4"/>
      <c r="BO605" s="4">
        <v>4835.967012</v>
      </c>
      <c r="BP605" s="4"/>
      <c r="BQ605" s="4">
        <f t="shared" si="89"/>
        <v>1901836.033974</v>
      </c>
      <c r="BT605" s="4">
        <f t="shared" si="90"/>
        <v>1321790.235812759</v>
      </c>
      <c r="BW605" s="52"/>
      <c r="BX605" s="4">
        <f t="shared" si="87"/>
        <v>3552568.193322</v>
      </c>
      <c r="BY605" s="4">
        <f t="shared" si="88"/>
        <v>3004065.047887154</v>
      </c>
    </row>
    <row r="606" spans="1:77" ht="12.75">
      <c r="A606" s="3" t="s">
        <v>1239</v>
      </c>
      <c r="B606" s="3" t="s">
        <v>605</v>
      </c>
      <c r="C606" s="3" t="s">
        <v>1349</v>
      </c>
      <c r="D606" s="3"/>
      <c r="E606" s="4"/>
      <c r="F606" s="4">
        <v>1628520.056914</v>
      </c>
      <c r="G606" s="4">
        <f t="shared" si="83"/>
        <v>1659638.2745620382</v>
      </c>
      <c r="H606" s="4"/>
      <c r="I606" s="4"/>
      <c r="J606" s="4">
        <v>68970.857626</v>
      </c>
      <c r="K606" s="4">
        <f t="shared" si="91"/>
        <v>70288.77210292993</v>
      </c>
      <c r="L606" s="4"/>
      <c r="M606" s="4"/>
      <c r="N606" s="4"/>
      <c r="O606" s="4"/>
      <c r="P606" s="4"/>
      <c r="Q606" s="4"/>
      <c r="R606" s="4"/>
      <c r="S606" s="4"/>
      <c r="T606" s="4">
        <v>20364.007684</v>
      </c>
      <c r="U606" s="4">
        <f t="shared" si="81"/>
        <v>20753.128849936307</v>
      </c>
      <c r="V606" s="4"/>
      <c r="W606" s="4"/>
      <c r="X606" s="4"/>
      <c r="Y606" s="4"/>
      <c r="Z606" s="13">
        <f t="shared" si="84"/>
        <v>1717854.922224</v>
      </c>
      <c r="AC606" s="13">
        <f t="shared" si="85"/>
        <v>1750680.1755149045</v>
      </c>
      <c r="AF606" s="51"/>
      <c r="AG606" s="4"/>
      <c r="AH606" s="4"/>
      <c r="AI606" s="4"/>
      <c r="AJ606" s="4"/>
      <c r="AK606" s="4"/>
      <c r="AL606" s="4">
        <v>1799154.453864</v>
      </c>
      <c r="AM606" s="4">
        <f t="shared" si="86"/>
        <v>1204609.040407474</v>
      </c>
      <c r="AN606" s="4"/>
      <c r="AO606" s="4"/>
      <c r="AP606" s="4"/>
      <c r="AQ606" s="4"/>
      <c r="AR606" s="4">
        <v>99617.070191</v>
      </c>
      <c r="AS606" s="4">
        <f t="shared" si="92"/>
        <v>97656.97714778621</v>
      </c>
      <c r="AT606" s="4"/>
      <c r="AU606" s="4"/>
      <c r="AV606" s="4"/>
      <c r="AW606" s="4"/>
      <c r="AX606" s="4">
        <v>28887.968986</v>
      </c>
      <c r="AY606" s="4">
        <f t="shared" si="82"/>
        <v>28309.240918876858</v>
      </c>
      <c r="AZ606" s="4"/>
      <c r="BA606" s="4"/>
      <c r="BB606" s="4"/>
      <c r="BC606" s="4"/>
      <c r="BD606" s="4"/>
      <c r="BE606" s="4"/>
      <c r="BF606" s="4"/>
      <c r="BG606" s="4"/>
      <c r="BH606" s="4"/>
      <c r="BI606" s="4"/>
      <c r="BJ606" s="4"/>
      <c r="BK606" s="4"/>
      <c r="BL606" s="4"/>
      <c r="BM606" s="4"/>
      <c r="BN606" s="4"/>
      <c r="BO606" s="4">
        <v>5032.609129</v>
      </c>
      <c r="BP606" s="4"/>
      <c r="BQ606" s="4">
        <f t="shared" si="89"/>
        <v>1932692.1021699999</v>
      </c>
      <c r="BT606" s="4">
        <f t="shared" si="90"/>
        <v>1330575.258474137</v>
      </c>
      <c r="BW606" s="52"/>
      <c r="BX606" s="4">
        <f t="shared" si="87"/>
        <v>3650547.024394</v>
      </c>
      <c r="BY606" s="4">
        <f t="shared" si="88"/>
        <v>3081255.4339890415</v>
      </c>
    </row>
    <row r="607" spans="1:77" ht="12.75">
      <c r="A607" s="3" t="s">
        <v>1240</v>
      </c>
      <c r="B607" s="3" t="s">
        <v>606</v>
      </c>
      <c r="C607" s="3" t="s">
        <v>1349</v>
      </c>
      <c r="D607" s="3"/>
      <c r="E607" s="4"/>
      <c r="F607" s="4">
        <v>1304844.961702</v>
      </c>
      <c r="G607" s="4">
        <f t="shared" si="83"/>
        <v>1329778.3049192356</v>
      </c>
      <c r="H607" s="4"/>
      <c r="I607" s="4"/>
      <c r="J607" s="4">
        <v>71597.000057</v>
      </c>
      <c r="K607" s="4">
        <f t="shared" si="91"/>
        <v>72965.09559949044</v>
      </c>
      <c r="L607" s="4"/>
      <c r="M607" s="4"/>
      <c r="N607" s="4"/>
      <c r="O607" s="4"/>
      <c r="P607" s="4"/>
      <c r="Q607" s="4"/>
      <c r="R607" s="4"/>
      <c r="S607" s="4"/>
      <c r="T607" s="4">
        <v>20364.007684</v>
      </c>
      <c r="U607" s="4">
        <f t="shared" si="81"/>
        <v>20753.128849936307</v>
      </c>
      <c r="V607" s="4"/>
      <c r="W607" s="4"/>
      <c r="X607" s="4"/>
      <c r="Y607" s="4"/>
      <c r="Z607" s="13">
        <f t="shared" si="84"/>
        <v>1396805.969443</v>
      </c>
      <c r="AC607" s="13">
        <f t="shared" si="85"/>
        <v>1423496.5293686625</v>
      </c>
      <c r="AF607" s="51"/>
      <c r="AG607" s="4"/>
      <c r="AH607" s="4"/>
      <c r="AI607" s="4"/>
      <c r="AJ607" s="4"/>
      <c r="AK607" s="4"/>
      <c r="AL607" s="4">
        <v>1441565.066688</v>
      </c>
      <c r="AM607" s="4">
        <f t="shared" si="86"/>
        <v>965188.0125902927</v>
      </c>
      <c r="AN607" s="4"/>
      <c r="AO607" s="4"/>
      <c r="AP607" s="4"/>
      <c r="AQ607" s="4"/>
      <c r="AR607" s="4">
        <v>103410.101391</v>
      </c>
      <c r="AS607" s="4">
        <f t="shared" si="92"/>
        <v>101375.37561613129</v>
      </c>
      <c r="AT607" s="4"/>
      <c r="AU607" s="4"/>
      <c r="AV607" s="4"/>
      <c r="AW607" s="4"/>
      <c r="AX607" s="4">
        <v>28887.968986</v>
      </c>
      <c r="AY607" s="4">
        <f t="shared" si="82"/>
        <v>28309.240918876858</v>
      </c>
      <c r="AZ607" s="4"/>
      <c r="BA607" s="4"/>
      <c r="BB607" s="4"/>
      <c r="BC607" s="4"/>
      <c r="BD607" s="4"/>
      <c r="BE607" s="4"/>
      <c r="BF607" s="4"/>
      <c r="BG607" s="4"/>
      <c r="BH607" s="4"/>
      <c r="BI607" s="4"/>
      <c r="BJ607" s="4"/>
      <c r="BK607" s="4"/>
      <c r="BL607" s="4"/>
      <c r="BM607" s="4"/>
      <c r="BN607" s="4"/>
      <c r="BO607" s="4">
        <v>4092.067603</v>
      </c>
      <c r="BP607" s="4"/>
      <c r="BQ607" s="4">
        <f t="shared" si="89"/>
        <v>1577955.2046679999</v>
      </c>
      <c r="BT607" s="4">
        <f t="shared" si="90"/>
        <v>1094872.6291253008</v>
      </c>
      <c r="BW607" s="52"/>
      <c r="BX607" s="4">
        <f t="shared" si="87"/>
        <v>2974761.174111</v>
      </c>
      <c r="BY607" s="4">
        <f t="shared" si="88"/>
        <v>2518369.158493963</v>
      </c>
    </row>
    <row r="608" spans="1:77" ht="12.75">
      <c r="A608" s="3" t="s">
        <v>1241</v>
      </c>
      <c r="B608" s="3" t="s">
        <v>607</v>
      </c>
      <c r="C608" s="3" t="s">
        <v>1349</v>
      </c>
      <c r="D608" s="3"/>
      <c r="E608" s="4"/>
      <c r="F608" s="4">
        <v>1204604.029723</v>
      </c>
      <c r="G608" s="4">
        <f t="shared" si="83"/>
        <v>1227621.941118981</v>
      </c>
      <c r="H608" s="4"/>
      <c r="I608" s="4"/>
      <c r="J608" s="4">
        <v>74563.221416</v>
      </c>
      <c r="K608" s="4">
        <f t="shared" si="91"/>
        <v>75987.99634751592</v>
      </c>
      <c r="L608" s="4"/>
      <c r="M608" s="4"/>
      <c r="N608" s="4"/>
      <c r="O608" s="4"/>
      <c r="P608" s="4"/>
      <c r="Q608" s="4"/>
      <c r="R608" s="4"/>
      <c r="S608" s="4"/>
      <c r="T608" s="4">
        <v>20364.007684</v>
      </c>
      <c r="U608" s="4">
        <f t="shared" si="81"/>
        <v>20753.128849936307</v>
      </c>
      <c r="V608" s="4"/>
      <c r="W608" s="4"/>
      <c r="X608" s="4"/>
      <c r="Y608" s="4"/>
      <c r="Z608" s="13">
        <f t="shared" si="84"/>
        <v>1299531.2588230001</v>
      </c>
      <c r="AC608" s="13">
        <f t="shared" si="85"/>
        <v>1324363.0663164333</v>
      </c>
      <c r="AF608" s="51"/>
      <c r="AG608" s="4"/>
      <c r="AH608" s="4"/>
      <c r="AI608" s="4"/>
      <c r="AJ608" s="4"/>
      <c r="AK608" s="4"/>
      <c r="AL608" s="4">
        <v>1330821.008938</v>
      </c>
      <c r="AM608" s="4">
        <f t="shared" si="86"/>
        <v>891040.2412021554</v>
      </c>
      <c r="AN608" s="4"/>
      <c r="AO608" s="4"/>
      <c r="AP608" s="4"/>
      <c r="AQ608" s="4"/>
      <c r="AR608" s="4">
        <v>107694.320719</v>
      </c>
      <c r="AS608" s="4">
        <f t="shared" si="92"/>
        <v>105575.29745892805</v>
      </c>
      <c r="AT608" s="4"/>
      <c r="AU608" s="4"/>
      <c r="AV608" s="4"/>
      <c r="AW608" s="4"/>
      <c r="AX608" s="4">
        <v>28887.968986</v>
      </c>
      <c r="AY608" s="4">
        <f t="shared" si="82"/>
        <v>28309.240918876858</v>
      </c>
      <c r="AZ608" s="4"/>
      <c r="BA608" s="4"/>
      <c r="BB608" s="4"/>
      <c r="BC608" s="4"/>
      <c r="BD608" s="4"/>
      <c r="BE608" s="4"/>
      <c r="BF608" s="4"/>
      <c r="BG608" s="4"/>
      <c r="BH608" s="4">
        <v>74263</v>
      </c>
      <c r="BI608" s="4">
        <v>75641</v>
      </c>
      <c r="BJ608" s="4"/>
      <c r="BK608" s="4">
        <f>BI608</f>
        <v>75641</v>
      </c>
      <c r="BL608" s="4">
        <f>BH608+BK608</f>
        <v>149904</v>
      </c>
      <c r="BM608" s="4"/>
      <c r="BN608" s="4"/>
      <c r="BO608" s="4">
        <v>3807.092667</v>
      </c>
      <c r="BP608" s="4"/>
      <c r="BQ608" s="4">
        <f t="shared" si="89"/>
        <v>1621114.3913099999</v>
      </c>
      <c r="BT608" s="4">
        <f t="shared" si="90"/>
        <v>1174828.7795799603</v>
      </c>
      <c r="BW608" s="52"/>
      <c r="BX608" s="4">
        <f t="shared" si="87"/>
        <v>2920645.6501329998</v>
      </c>
      <c r="BY608" s="4">
        <f t="shared" si="88"/>
        <v>2499191.8458963935</v>
      </c>
    </row>
    <row r="609" spans="1:77" ht="12.75">
      <c r="A609" s="3" t="s">
        <v>1242</v>
      </c>
      <c r="B609" s="3" t="s">
        <v>608</v>
      </c>
      <c r="C609" s="3" t="s">
        <v>1349</v>
      </c>
      <c r="D609" s="3"/>
      <c r="E609" s="4"/>
      <c r="F609" s="4">
        <v>1673096.649579</v>
      </c>
      <c r="G609" s="4">
        <f t="shared" si="83"/>
        <v>1705066.649252484</v>
      </c>
      <c r="H609" s="4"/>
      <c r="I609" s="4"/>
      <c r="J609" s="4">
        <v>90098.108318</v>
      </c>
      <c r="K609" s="4">
        <f t="shared" si="91"/>
        <v>91819.7282221656</v>
      </c>
      <c r="L609" s="4"/>
      <c r="M609" s="4"/>
      <c r="N609" s="4"/>
      <c r="O609" s="4"/>
      <c r="P609" s="4"/>
      <c r="Q609" s="4"/>
      <c r="R609" s="4"/>
      <c r="S609" s="4"/>
      <c r="T609" s="4">
        <v>20364.007684</v>
      </c>
      <c r="U609" s="4">
        <f t="shared" si="81"/>
        <v>20753.128849936307</v>
      </c>
      <c r="V609" s="4"/>
      <c r="W609" s="4"/>
      <c r="X609" s="4"/>
      <c r="Y609" s="4"/>
      <c r="Z609" s="13">
        <f t="shared" si="84"/>
        <v>1783558.7655810001</v>
      </c>
      <c r="AC609" s="13">
        <f t="shared" si="85"/>
        <v>1817639.5063245862</v>
      </c>
      <c r="AF609" s="51"/>
      <c r="AG609" s="4"/>
      <c r="AH609" s="4"/>
      <c r="AI609" s="4"/>
      <c r="AJ609" s="4"/>
      <c r="AK609" s="4"/>
      <c r="AL609" s="4">
        <v>1848401.728953</v>
      </c>
      <c r="AM609" s="4">
        <f t="shared" si="86"/>
        <v>1237582.1476691852</v>
      </c>
      <c r="AN609" s="4"/>
      <c r="AO609" s="4"/>
      <c r="AP609" s="4"/>
      <c r="AQ609" s="4"/>
      <c r="AR609" s="4">
        <v>130131.912076</v>
      </c>
      <c r="AS609" s="4">
        <f t="shared" si="92"/>
        <v>127571.40055853396</v>
      </c>
      <c r="AT609" s="4"/>
      <c r="AU609" s="4"/>
      <c r="AV609" s="4"/>
      <c r="AW609" s="4"/>
      <c r="AX609" s="4">
        <v>28887.968986</v>
      </c>
      <c r="AY609" s="4">
        <f t="shared" si="82"/>
        <v>28309.240918876858</v>
      </c>
      <c r="AZ609" s="4"/>
      <c r="BA609" s="4"/>
      <c r="BB609" s="4"/>
      <c r="BC609" s="4"/>
      <c r="BD609" s="4"/>
      <c r="BE609" s="4"/>
      <c r="BF609" s="4"/>
      <c r="BG609" s="4"/>
      <c r="BH609" s="4">
        <v>88975</v>
      </c>
      <c r="BI609" s="4">
        <v>91119</v>
      </c>
      <c r="BJ609" s="4"/>
      <c r="BK609" s="4">
        <f>BI609</f>
        <v>91119</v>
      </c>
      <c r="BL609" s="4">
        <f>BH609+BK609</f>
        <v>180094</v>
      </c>
      <c r="BM609" s="4"/>
      <c r="BN609" s="4"/>
      <c r="BO609" s="4">
        <v>5225.094396</v>
      </c>
      <c r="BP609" s="4"/>
      <c r="BQ609" s="4">
        <f t="shared" si="89"/>
        <v>2192740.7044109995</v>
      </c>
      <c r="BT609" s="4">
        <f t="shared" si="90"/>
        <v>1573556.7891465959</v>
      </c>
      <c r="BW609" s="52"/>
      <c r="BX609" s="4">
        <f t="shared" si="87"/>
        <v>3976299.4699919997</v>
      </c>
      <c r="BY609" s="4">
        <f t="shared" si="88"/>
        <v>3391196.295471182</v>
      </c>
    </row>
    <row r="610" spans="1:77" ht="12.75">
      <c r="A610" s="3" t="s">
        <v>1243</v>
      </c>
      <c r="B610" s="3" t="s">
        <v>609</v>
      </c>
      <c r="C610" s="3" t="s">
        <v>1349</v>
      </c>
      <c r="D610" s="3"/>
      <c r="E610" s="4"/>
      <c r="F610" s="4">
        <v>1787188.041174</v>
      </c>
      <c r="G610" s="4">
        <f t="shared" si="83"/>
        <v>1821338.1311327387</v>
      </c>
      <c r="H610" s="4"/>
      <c r="I610" s="4"/>
      <c r="J610" s="4">
        <v>84969.229343</v>
      </c>
      <c r="K610" s="4">
        <f t="shared" si="91"/>
        <v>86592.84519031848</v>
      </c>
      <c r="L610" s="4"/>
      <c r="M610" s="4"/>
      <c r="N610" s="4"/>
      <c r="O610" s="4"/>
      <c r="P610" s="4"/>
      <c r="Q610" s="4"/>
      <c r="R610" s="4"/>
      <c r="S610" s="4"/>
      <c r="T610" s="4">
        <v>28944.178682</v>
      </c>
      <c r="U610" s="4">
        <f t="shared" si="81"/>
        <v>29497.25216</v>
      </c>
      <c r="V610" s="4"/>
      <c r="W610" s="4"/>
      <c r="X610" s="4"/>
      <c r="Y610" s="4"/>
      <c r="Z610" s="13">
        <f t="shared" si="84"/>
        <v>1901101.449199</v>
      </c>
      <c r="AC610" s="13">
        <f t="shared" si="85"/>
        <v>1937428.228483057</v>
      </c>
      <c r="AF610" s="51"/>
      <c r="AG610" s="4"/>
      <c r="AH610" s="4"/>
      <c r="AI610" s="4"/>
      <c r="AJ610" s="4"/>
      <c r="AK610" s="4"/>
      <c r="AL610" s="4">
        <v>1974447.481024</v>
      </c>
      <c r="AM610" s="4">
        <f t="shared" si="86"/>
        <v>1321975.0424112633</v>
      </c>
      <c r="AN610" s="4"/>
      <c r="AO610" s="4"/>
      <c r="AP610" s="4"/>
      <c r="AQ610" s="4"/>
      <c r="AR610" s="4">
        <v>122724.0892</v>
      </c>
      <c r="AS610" s="4">
        <f t="shared" si="92"/>
        <v>120309.3360556398</v>
      </c>
      <c r="AT610" s="4"/>
      <c r="AU610" s="4"/>
      <c r="AV610" s="4"/>
      <c r="AW610" s="4"/>
      <c r="AX610" s="4">
        <v>41059.625839</v>
      </c>
      <c r="AY610" s="4">
        <f t="shared" si="82"/>
        <v>40237.05648806641</v>
      </c>
      <c r="AZ610" s="4"/>
      <c r="BA610" s="4"/>
      <c r="BB610" s="4"/>
      <c r="BC610" s="4"/>
      <c r="BD610" s="4"/>
      <c r="BE610" s="4"/>
      <c r="BF610" s="4"/>
      <c r="BG610" s="4"/>
      <c r="BH610" s="4"/>
      <c r="BI610" s="4"/>
      <c r="BJ610" s="4"/>
      <c r="BK610" s="4"/>
      <c r="BL610" s="4"/>
      <c r="BM610" s="4"/>
      <c r="BN610" s="4"/>
      <c r="BO610" s="4">
        <v>5569.446165</v>
      </c>
      <c r="BP610" s="4"/>
      <c r="BQ610" s="4">
        <f t="shared" si="89"/>
        <v>2143800.6422280003</v>
      </c>
      <c r="BT610" s="4">
        <f t="shared" si="90"/>
        <v>1482521.4349549697</v>
      </c>
      <c r="BW610" s="52"/>
      <c r="BX610" s="4">
        <f t="shared" si="87"/>
        <v>4044902.0914270002</v>
      </c>
      <c r="BY610" s="4">
        <f t="shared" si="88"/>
        <v>3419949.663438027</v>
      </c>
    </row>
    <row r="611" spans="1:77" ht="12.75">
      <c r="A611" s="3" t="s">
        <v>1244</v>
      </c>
      <c r="B611" s="3" t="s">
        <v>610</v>
      </c>
      <c r="C611" s="3" t="s">
        <v>1349</v>
      </c>
      <c r="D611" s="3"/>
      <c r="E611" s="4"/>
      <c r="F611" s="4">
        <v>1642643.954859</v>
      </c>
      <c r="G611" s="4">
        <f t="shared" si="83"/>
        <v>1674032.055907261</v>
      </c>
      <c r="H611" s="4"/>
      <c r="I611" s="4"/>
      <c r="J611" s="4">
        <v>45511.928054</v>
      </c>
      <c r="K611" s="4">
        <f t="shared" si="91"/>
        <v>46381.58273019108</v>
      </c>
      <c r="L611" s="4"/>
      <c r="M611" s="4"/>
      <c r="N611" s="4"/>
      <c r="O611" s="4"/>
      <c r="P611" s="4"/>
      <c r="Q611" s="4"/>
      <c r="R611" s="4"/>
      <c r="S611" s="4"/>
      <c r="T611" s="4">
        <v>23274.431663</v>
      </c>
      <c r="U611" s="4">
        <f t="shared" si="81"/>
        <v>23719.16602598726</v>
      </c>
      <c r="V611" s="4"/>
      <c r="W611" s="4"/>
      <c r="X611" s="4"/>
      <c r="Y611" s="4"/>
      <c r="Z611" s="13">
        <f t="shared" si="84"/>
        <v>1711430.314576</v>
      </c>
      <c r="AC611" s="13">
        <f t="shared" si="85"/>
        <v>1744132.8046634395</v>
      </c>
      <c r="AF611" s="51"/>
      <c r="AG611" s="4"/>
      <c r="AH611" s="4"/>
      <c r="AI611" s="4"/>
      <c r="AJ611" s="4"/>
      <c r="AK611" s="4"/>
      <c r="AL611" s="4">
        <v>1814758.237057</v>
      </c>
      <c r="AM611" s="4">
        <f t="shared" si="86"/>
        <v>1215056.4248765933</v>
      </c>
      <c r="AN611" s="4"/>
      <c r="AO611" s="4"/>
      <c r="AP611" s="4"/>
      <c r="AQ611" s="4"/>
      <c r="AR611" s="4">
        <v>65734.501317</v>
      </c>
      <c r="AS611" s="4">
        <f t="shared" si="92"/>
        <v>64441.09107633002</v>
      </c>
      <c r="AT611" s="4"/>
      <c r="AU611" s="4"/>
      <c r="AV611" s="4"/>
      <c r="AW611" s="4"/>
      <c r="AX611" s="4">
        <v>33016.637514</v>
      </c>
      <c r="AY611" s="4">
        <f t="shared" si="82"/>
        <v>32355.197631513187</v>
      </c>
      <c r="AZ611" s="4"/>
      <c r="BA611" s="4"/>
      <c r="BB611" s="4"/>
      <c r="BC611" s="4"/>
      <c r="BD611" s="4"/>
      <c r="BE611" s="4"/>
      <c r="BF611" s="4"/>
      <c r="BG611" s="4"/>
      <c r="BH611" s="4">
        <v>44655</v>
      </c>
      <c r="BI611" s="4">
        <v>45406</v>
      </c>
      <c r="BJ611" s="4"/>
      <c r="BK611" s="4">
        <f aca="true" t="shared" si="93" ref="BK611:BK624">BI611</f>
        <v>45406</v>
      </c>
      <c r="BL611" s="4">
        <f aca="true" t="shared" si="94" ref="BL611:BL617">BH611+BK611</f>
        <v>90061</v>
      </c>
      <c r="BM611" s="4"/>
      <c r="BN611" s="4"/>
      <c r="BO611" s="4">
        <v>5013.787669</v>
      </c>
      <c r="BP611" s="4"/>
      <c r="BQ611" s="4">
        <f t="shared" si="89"/>
        <v>2008584.163557</v>
      </c>
      <c r="BT611" s="4">
        <f t="shared" si="90"/>
        <v>1401913.7135844366</v>
      </c>
      <c r="BW611" s="52"/>
      <c r="BX611" s="4">
        <f t="shared" si="87"/>
        <v>3720014.478133</v>
      </c>
      <c r="BY611" s="4">
        <f t="shared" si="88"/>
        <v>3146046.5182478763</v>
      </c>
    </row>
    <row r="612" spans="1:77" ht="12.75">
      <c r="A612" s="3" t="s">
        <v>1245</v>
      </c>
      <c r="B612" s="3" t="s">
        <v>611</v>
      </c>
      <c r="C612" s="3" t="s">
        <v>1349</v>
      </c>
      <c r="D612" s="3"/>
      <c r="E612" s="4"/>
      <c r="F612" s="4">
        <v>3174331.135002</v>
      </c>
      <c r="G612" s="4">
        <f t="shared" si="83"/>
        <v>3234987.1439510826</v>
      </c>
      <c r="H612" s="4"/>
      <c r="I612" s="4"/>
      <c r="J612" s="4">
        <v>81745.606926</v>
      </c>
      <c r="K612" s="4">
        <f t="shared" si="91"/>
        <v>83307.62489273885</v>
      </c>
      <c r="L612" s="4"/>
      <c r="M612" s="4"/>
      <c r="N612" s="4"/>
      <c r="O612" s="4"/>
      <c r="P612" s="4"/>
      <c r="Q612" s="4"/>
      <c r="R612" s="4"/>
      <c r="S612" s="4"/>
      <c r="T612" s="4">
        <v>31778.848552</v>
      </c>
      <c r="U612" s="4">
        <f t="shared" si="81"/>
        <v>32386.08769630573</v>
      </c>
      <c r="V612" s="4"/>
      <c r="W612" s="4"/>
      <c r="X612" s="4"/>
      <c r="Y612" s="4"/>
      <c r="Z612" s="13">
        <f t="shared" si="84"/>
        <v>3287855.59048</v>
      </c>
      <c r="AC612" s="13">
        <f t="shared" si="85"/>
        <v>3350680.856540127</v>
      </c>
      <c r="AF612" s="51"/>
      <c r="AG612" s="4"/>
      <c r="AH612" s="4"/>
      <c r="AI612" s="4"/>
      <c r="AJ612" s="4"/>
      <c r="AK612" s="4"/>
      <c r="AL612" s="4">
        <v>3506933.780355</v>
      </c>
      <c r="AM612" s="4">
        <f t="shared" si="86"/>
        <v>2348038.617169955</v>
      </c>
      <c r="AN612" s="4"/>
      <c r="AO612" s="4"/>
      <c r="AP612" s="4"/>
      <c r="AQ612" s="4"/>
      <c r="AR612" s="4">
        <v>118068.096342</v>
      </c>
      <c r="AS612" s="4">
        <f t="shared" si="92"/>
        <v>115744.95580171178</v>
      </c>
      <c r="AT612" s="4"/>
      <c r="AU612" s="4"/>
      <c r="AV612" s="4"/>
      <c r="AW612" s="4"/>
      <c r="AX612" s="4">
        <v>45080.831122</v>
      </c>
      <c r="AY612" s="4">
        <f t="shared" si="82"/>
        <v>44177.70282411989</v>
      </c>
      <c r="AZ612" s="4"/>
      <c r="BA612" s="4"/>
      <c r="BB612" s="4"/>
      <c r="BC612" s="4"/>
      <c r="BD612" s="4"/>
      <c r="BE612" s="4"/>
      <c r="BF612" s="4"/>
      <c r="BG612" s="4"/>
      <c r="BH612" s="4">
        <v>80058</v>
      </c>
      <c r="BI612" s="4"/>
      <c r="BJ612" s="4"/>
      <c r="BK612" s="4"/>
      <c r="BL612" s="4">
        <f t="shared" si="94"/>
        <v>80058</v>
      </c>
      <c r="BM612" s="4"/>
      <c r="BN612" s="4"/>
      <c r="BO612" s="4">
        <v>9632.066042</v>
      </c>
      <c r="BP612" s="4"/>
      <c r="BQ612" s="4">
        <f t="shared" si="89"/>
        <v>3759772.773861</v>
      </c>
      <c r="BT612" s="4">
        <f t="shared" si="90"/>
        <v>2588019.2757957866</v>
      </c>
      <c r="BW612" s="52"/>
      <c r="BX612" s="4">
        <f t="shared" si="87"/>
        <v>7047628.364341</v>
      </c>
      <c r="BY612" s="4">
        <f t="shared" si="88"/>
        <v>5938700.132335914</v>
      </c>
    </row>
    <row r="613" spans="1:77" ht="12.75">
      <c r="A613" s="3" t="s">
        <v>1246</v>
      </c>
      <c r="B613" s="3" t="s">
        <v>612</v>
      </c>
      <c r="C613" s="3" t="s">
        <v>1349</v>
      </c>
      <c r="D613" s="3"/>
      <c r="E613" s="4"/>
      <c r="F613" s="4">
        <v>2059876.264826</v>
      </c>
      <c r="G613" s="4">
        <f t="shared" si="83"/>
        <v>2099236.9577844585</v>
      </c>
      <c r="H613" s="4"/>
      <c r="I613" s="4"/>
      <c r="J613" s="4">
        <v>61412.552534</v>
      </c>
      <c r="K613" s="4">
        <f t="shared" si="91"/>
        <v>62586.040798980895</v>
      </c>
      <c r="L613" s="4"/>
      <c r="M613" s="4"/>
      <c r="N613" s="4"/>
      <c r="O613" s="4"/>
      <c r="P613" s="4"/>
      <c r="Q613" s="4"/>
      <c r="R613" s="4"/>
      <c r="S613" s="4"/>
      <c r="T613" s="4">
        <v>28944.178682</v>
      </c>
      <c r="U613" s="4">
        <f t="shared" si="81"/>
        <v>29497.25216</v>
      </c>
      <c r="V613" s="4"/>
      <c r="W613" s="4"/>
      <c r="X613" s="4"/>
      <c r="Y613" s="4"/>
      <c r="Z613" s="13">
        <f t="shared" si="84"/>
        <v>2150232.9960419997</v>
      </c>
      <c r="AC613" s="13">
        <f t="shared" si="85"/>
        <v>2191320.2507434394</v>
      </c>
      <c r="AF613" s="51"/>
      <c r="AG613" s="4"/>
      <c r="AH613" s="4"/>
      <c r="AI613" s="4"/>
      <c r="AJ613" s="4"/>
      <c r="AK613" s="4"/>
      <c r="AL613" s="4">
        <v>2275707.652808</v>
      </c>
      <c r="AM613" s="4">
        <f t="shared" si="86"/>
        <v>1523681.3081886799</v>
      </c>
      <c r="AN613" s="4"/>
      <c r="AO613" s="4"/>
      <c r="AP613" s="4"/>
      <c r="AQ613" s="4"/>
      <c r="AR613" s="4">
        <v>88700.340505</v>
      </c>
      <c r="AS613" s="4">
        <f t="shared" si="92"/>
        <v>86955.04805641469</v>
      </c>
      <c r="AT613" s="4"/>
      <c r="AU613" s="4"/>
      <c r="AV613" s="4"/>
      <c r="AW613" s="4"/>
      <c r="AX613" s="4">
        <v>41059.625839</v>
      </c>
      <c r="AY613" s="4">
        <f t="shared" si="82"/>
        <v>40237.05648806641</v>
      </c>
      <c r="AZ613" s="4"/>
      <c r="BA613" s="4"/>
      <c r="BB613" s="4"/>
      <c r="BC613" s="4"/>
      <c r="BD613" s="4"/>
      <c r="BE613" s="4"/>
      <c r="BF613" s="4"/>
      <c r="BG613" s="4"/>
      <c r="BH613" s="4">
        <v>61374</v>
      </c>
      <c r="BI613" s="4">
        <v>62252</v>
      </c>
      <c r="BJ613" s="4"/>
      <c r="BK613" s="4">
        <f t="shared" si="93"/>
        <v>62252</v>
      </c>
      <c r="BL613" s="4">
        <f t="shared" si="94"/>
        <v>123626</v>
      </c>
      <c r="BM613" s="4"/>
      <c r="BN613" s="4"/>
      <c r="BO613" s="4">
        <v>6299.29924</v>
      </c>
      <c r="BP613" s="4"/>
      <c r="BQ613" s="4">
        <f t="shared" si="89"/>
        <v>2535392.9183920003</v>
      </c>
      <c r="BT613" s="4">
        <f t="shared" si="90"/>
        <v>1774499.412733161</v>
      </c>
      <c r="BW613" s="52"/>
      <c r="BX613" s="4">
        <f t="shared" si="87"/>
        <v>4685625.914434</v>
      </c>
      <c r="BY613" s="4">
        <f t="shared" si="88"/>
        <v>3965819.6634766003</v>
      </c>
    </row>
    <row r="614" spans="1:77" ht="12.75">
      <c r="A614" s="3" t="s">
        <v>1247</v>
      </c>
      <c r="B614" s="3" t="s">
        <v>613</v>
      </c>
      <c r="C614" s="3" t="s">
        <v>1349</v>
      </c>
      <c r="D614" s="3"/>
      <c r="E614" s="4"/>
      <c r="F614" s="4">
        <v>2091423.29071</v>
      </c>
      <c r="G614" s="4">
        <f t="shared" si="83"/>
        <v>2131386.793080255</v>
      </c>
      <c r="H614" s="4"/>
      <c r="I614" s="4"/>
      <c r="J614" s="4">
        <v>68445.873508</v>
      </c>
      <c r="K614" s="4">
        <f t="shared" si="91"/>
        <v>69753.75644127389</v>
      </c>
      <c r="L614" s="4"/>
      <c r="M614" s="4"/>
      <c r="N614" s="4"/>
      <c r="O614" s="4"/>
      <c r="P614" s="4"/>
      <c r="Q614" s="4"/>
      <c r="R614" s="4"/>
      <c r="S614" s="4"/>
      <c r="T614" s="4">
        <v>40283.672721</v>
      </c>
      <c r="U614" s="4">
        <f t="shared" si="81"/>
        <v>41053.424429044586</v>
      </c>
      <c r="V614" s="4"/>
      <c r="W614" s="4"/>
      <c r="X614" s="4"/>
      <c r="Y614" s="4"/>
      <c r="Z614" s="13">
        <f t="shared" si="84"/>
        <v>2200152.836939</v>
      </c>
      <c r="AC614" s="13">
        <f t="shared" si="85"/>
        <v>2242193.9739505732</v>
      </c>
      <c r="AF614" s="51"/>
      <c r="AG614" s="4"/>
      <c r="AH614" s="4"/>
      <c r="AI614" s="4"/>
      <c r="AJ614" s="4"/>
      <c r="AK614" s="4"/>
      <c r="AL614" s="4">
        <v>2310560.138587</v>
      </c>
      <c r="AM614" s="4">
        <f t="shared" si="86"/>
        <v>1547016.5028740994</v>
      </c>
      <c r="AN614" s="4"/>
      <c r="AO614" s="4"/>
      <c r="AP614" s="4"/>
      <c r="AQ614" s="4"/>
      <c r="AR614" s="4">
        <v>98858.8169</v>
      </c>
      <c r="AS614" s="4">
        <f t="shared" si="92"/>
        <v>96913.64345839497</v>
      </c>
      <c r="AT614" s="4"/>
      <c r="AU614" s="4"/>
      <c r="AV614" s="4"/>
      <c r="AW614" s="4"/>
      <c r="AX614" s="4">
        <v>57145.602489</v>
      </c>
      <c r="AY614" s="4">
        <f t="shared" si="82"/>
        <v>56000.77420117285</v>
      </c>
      <c r="AZ614" s="4"/>
      <c r="BA614" s="4"/>
      <c r="BB614" s="4"/>
      <c r="BC614" s="4"/>
      <c r="BD614" s="4">
        <v>35081.823529</v>
      </c>
      <c r="BE614" s="4">
        <f>BD614/BD$680*BE$680</f>
        <v>49853.123077063065</v>
      </c>
      <c r="BF614" s="4">
        <v>7385.641845338209</v>
      </c>
      <c r="BG614" s="4">
        <f>BE614+BF614</f>
        <v>57238.76492240127</v>
      </c>
      <c r="BH614" s="4">
        <v>67320</v>
      </c>
      <c r="BI614" s="4">
        <v>69232</v>
      </c>
      <c r="BJ614" s="4"/>
      <c r="BK614" s="4">
        <f t="shared" si="93"/>
        <v>69232</v>
      </c>
      <c r="BL614" s="4">
        <f t="shared" si="94"/>
        <v>136552</v>
      </c>
      <c r="BM614" s="4"/>
      <c r="BN614" s="4"/>
      <c r="BO614" s="4">
        <v>6445.543864</v>
      </c>
      <c r="BP614" s="4"/>
      <c r="BQ614" s="4">
        <f t="shared" si="89"/>
        <v>2652029.567214338</v>
      </c>
      <c r="BT614" s="4">
        <f t="shared" si="90"/>
        <v>1893721.6854560685</v>
      </c>
      <c r="BW614" s="52"/>
      <c r="BX614" s="4">
        <f t="shared" si="87"/>
        <v>4852182.404153338</v>
      </c>
      <c r="BY614" s="4">
        <f t="shared" si="88"/>
        <v>4135915.6594066415</v>
      </c>
    </row>
    <row r="615" spans="1:77" ht="12.75">
      <c r="A615" s="3" t="s">
        <v>1248</v>
      </c>
      <c r="B615" s="3" t="s">
        <v>614</v>
      </c>
      <c r="C615" s="3" t="s">
        <v>1349</v>
      </c>
      <c r="D615" s="3"/>
      <c r="E615" s="4"/>
      <c r="F615" s="4">
        <v>2963024.500788</v>
      </c>
      <c r="G615" s="4">
        <f t="shared" si="83"/>
        <v>3019642.803350828</v>
      </c>
      <c r="H615" s="4"/>
      <c r="I615" s="4"/>
      <c r="J615" s="4">
        <v>79642.412213</v>
      </c>
      <c r="K615" s="4">
        <f t="shared" si="91"/>
        <v>81164.24174573249</v>
      </c>
      <c r="L615" s="4"/>
      <c r="M615" s="4"/>
      <c r="N615" s="4"/>
      <c r="O615" s="4"/>
      <c r="P615" s="4"/>
      <c r="Q615" s="4"/>
      <c r="R615" s="4"/>
      <c r="S615" s="4"/>
      <c r="T615" s="4">
        <v>27121.599994</v>
      </c>
      <c r="U615" s="4">
        <f t="shared" si="81"/>
        <v>27639.847127643312</v>
      </c>
      <c r="V615" s="4"/>
      <c r="W615" s="4"/>
      <c r="X615" s="4"/>
      <c r="Y615" s="4"/>
      <c r="Z615" s="13">
        <f t="shared" si="84"/>
        <v>3069788.512995</v>
      </c>
      <c r="AC615" s="13">
        <f t="shared" si="85"/>
        <v>3128446.892224204</v>
      </c>
      <c r="AF615" s="51"/>
      <c r="AG615" s="4"/>
      <c r="AH615" s="4"/>
      <c r="AI615" s="4"/>
      <c r="AJ615" s="4"/>
      <c r="AK615" s="4"/>
      <c r="AL615" s="4">
        <v>3273486.688031</v>
      </c>
      <c r="AM615" s="4">
        <f t="shared" si="86"/>
        <v>2191736.0399974524</v>
      </c>
      <c r="AN615" s="4"/>
      <c r="AO615" s="4"/>
      <c r="AP615" s="4"/>
      <c r="AQ615" s="4"/>
      <c r="AR615" s="4">
        <v>115030.377186</v>
      </c>
      <c r="AS615" s="4">
        <f t="shared" si="92"/>
        <v>112767.00764854788</v>
      </c>
      <c r="AT615" s="4"/>
      <c r="AU615" s="4"/>
      <c r="AV615" s="4"/>
      <c r="AW615" s="4"/>
      <c r="AX615" s="4">
        <v>38474.152615</v>
      </c>
      <c r="AY615" s="4">
        <f t="shared" si="82"/>
        <v>37703.37942606898</v>
      </c>
      <c r="AZ615" s="4"/>
      <c r="BA615" s="4"/>
      <c r="BB615" s="4"/>
      <c r="BC615" s="4"/>
      <c r="BD615" s="4"/>
      <c r="BE615" s="4"/>
      <c r="BF615" s="4"/>
      <c r="BG615" s="4"/>
      <c r="BH615" s="4">
        <v>78864</v>
      </c>
      <c r="BI615" s="4">
        <v>78414</v>
      </c>
      <c r="BJ615" s="4"/>
      <c r="BK615" s="4">
        <f t="shared" si="93"/>
        <v>78414</v>
      </c>
      <c r="BL615" s="4">
        <f t="shared" si="94"/>
        <v>157278</v>
      </c>
      <c r="BM615" s="4"/>
      <c r="BN615" s="4"/>
      <c r="BO615" s="4">
        <v>8993.219099</v>
      </c>
      <c r="BP615" s="4"/>
      <c r="BQ615" s="4">
        <f t="shared" si="89"/>
        <v>3593262.436931</v>
      </c>
      <c r="BT615" s="4">
        <f t="shared" si="90"/>
        <v>2499484.427072069</v>
      </c>
      <c r="BW615" s="52"/>
      <c r="BX615" s="4">
        <f t="shared" si="87"/>
        <v>6663050.949926</v>
      </c>
      <c r="BY615" s="4">
        <f t="shared" si="88"/>
        <v>5627931.3192962725</v>
      </c>
    </row>
    <row r="616" spans="1:77" ht="12.75">
      <c r="A616" s="3" t="s">
        <v>1249</v>
      </c>
      <c r="B616" s="3" t="s">
        <v>615</v>
      </c>
      <c r="C616" s="3" t="s">
        <v>1349</v>
      </c>
      <c r="D616" s="3"/>
      <c r="E616" s="4"/>
      <c r="F616" s="4">
        <v>1487712.515554</v>
      </c>
      <c r="G616" s="4">
        <f t="shared" si="83"/>
        <v>1516140.1432397452</v>
      </c>
      <c r="H616" s="4"/>
      <c r="I616" s="4"/>
      <c r="J616" s="4">
        <v>62843.327714</v>
      </c>
      <c r="K616" s="4">
        <f t="shared" si="91"/>
        <v>64044.15563210191</v>
      </c>
      <c r="L616" s="4"/>
      <c r="M616" s="4"/>
      <c r="N616" s="4"/>
      <c r="O616" s="4"/>
      <c r="P616" s="4"/>
      <c r="Q616" s="4"/>
      <c r="R616" s="4"/>
      <c r="S616" s="4"/>
      <c r="T616" s="4">
        <v>23274.431663</v>
      </c>
      <c r="U616" s="4">
        <f t="shared" si="81"/>
        <v>23719.16602598726</v>
      </c>
      <c r="V616" s="4"/>
      <c r="W616" s="4"/>
      <c r="X616" s="4"/>
      <c r="Y616" s="4"/>
      <c r="Z616" s="13">
        <f t="shared" si="84"/>
        <v>1573830.2749309998</v>
      </c>
      <c r="AC616" s="13">
        <f t="shared" si="85"/>
        <v>1603903.4648978345</v>
      </c>
      <c r="AF616" s="51"/>
      <c r="AG616" s="4"/>
      <c r="AH616" s="4"/>
      <c r="AI616" s="4"/>
      <c r="AJ616" s="4"/>
      <c r="AK616" s="4"/>
      <c r="AL616" s="4">
        <v>1643593.265593</v>
      </c>
      <c r="AM616" s="4">
        <f t="shared" si="86"/>
        <v>1100454.328550845</v>
      </c>
      <c r="AN616" s="4"/>
      <c r="AO616" s="4"/>
      <c r="AP616" s="4"/>
      <c r="AQ616" s="4"/>
      <c r="AR616" s="4">
        <v>90766.86014</v>
      </c>
      <c r="AS616" s="4">
        <f t="shared" si="92"/>
        <v>88980.90627914407</v>
      </c>
      <c r="AT616" s="4"/>
      <c r="AU616" s="4"/>
      <c r="AV616" s="4"/>
      <c r="AW616" s="4"/>
      <c r="AX616" s="4">
        <v>33016.637514</v>
      </c>
      <c r="AY616" s="4">
        <f t="shared" si="82"/>
        <v>32355.197631513187</v>
      </c>
      <c r="AZ616" s="4"/>
      <c r="BA616" s="4"/>
      <c r="BB616" s="4"/>
      <c r="BC616" s="4"/>
      <c r="BD616" s="4"/>
      <c r="BE616" s="4"/>
      <c r="BF616" s="4"/>
      <c r="BG616" s="4"/>
      <c r="BH616" s="4">
        <v>63249</v>
      </c>
      <c r="BI616" s="4">
        <v>62877</v>
      </c>
      <c r="BJ616" s="4"/>
      <c r="BK616" s="4">
        <f t="shared" si="93"/>
        <v>62877</v>
      </c>
      <c r="BL616" s="4">
        <f t="shared" si="94"/>
        <v>126126</v>
      </c>
      <c r="BM616" s="4"/>
      <c r="BN616" s="4"/>
      <c r="BO616" s="4">
        <v>4610.676086</v>
      </c>
      <c r="BP616" s="4"/>
      <c r="BQ616" s="4">
        <f t="shared" si="89"/>
        <v>1898113.439333</v>
      </c>
      <c r="BT616" s="4">
        <f t="shared" si="90"/>
        <v>1347916.4324615023</v>
      </c>
      <c r="BW616" s="52"/>
      <c r="BX616" s="4">
        <f t="shared" si="87"/>
        <v>3471943.714264</v>
      </c>
      <c r="BY616" s="4">
        <f t="shared" si="88"/>
        <v>2951819.8973593367</v>
      </c>
    </row>
    <row r="617" spans="1:77" ht="12.75">
      <c r="A617" s="3" t="s">
        <v>1250</v>
      </c>
      <c r="B617" s="3" t="s">
        <v>616</v>
      </c>
      <c r="C617" s="3" t="s">
        <v>1349</v>
      </c>
      <c r="D617" s="3"/>
      <c r="E617" s="4"/>
      <c r="F617" s="4">
        <v>3126811.491897</v>
      </c>
      <c r="G617" s="4">
        <f t="shared" si="83"/>
        <v>3186559.4821880255</v>
      </c>
      <c r="H617" s="4"/>
      <c r="I617" s="4"/>
      <c r="J617" s="4">
        <v>100248.751588</v>
      </c>
      <c r="K617" s="4">
        <f t="shared" si="91"/>
        <v>102164.33282853503</v>
      </c>
      <c r="L617" s="4"/>
      <c r="M617" s="4"/>
      <c r="N617" s="4"/>
      <c r="O617" s="4"/>
      <c r="P617" s="4"/>
      <c r="Q617" s="4"/>
      <c r="R617" s="4"/>
      <c r="S617" s="4"/>
      <c r="T617" s="4">
        <v>40283.672721</v>
      </c>
      <c r="U617" s="4">
        <f t="shared" si="81"/>
        <v>41053.424429044586</v>
      </c>
      <c r="V617" s="4"/>
      <c r="W617" s="4"/>
      <c r="X617" s="4"/>
      <c r="Y617" s="4"/>
      <c r="Z617" s="13">
        <f t="shared" si="84"/>
        <v>3267343.916206</v>
      </c>
      <c r="AC617" s="13">
        <f t="shared" si="85"/>
        <v>3329777.2394456053</v>
      </c>
      <c r="AF617" s="51"/>
      <c r="AG617" s="4"/>
      <c r="AH617" s="4"/>
      <c r="AI617" s="4"/>
      <c r="AJ617" s="4"/>
      <c r="AK617" s="4"/>
      <c r="AL617" s="4">
        <v>3454435.085497</v>
      </c>
      <c r="AM617" s="4">
        <f t="shared" si="86"/>
        <v>2312888.548592062</v>
      </c>
      <c r="AN617" s="4"/>
      <c r="AO617" s="4"/>
      <c r="AP617" s="4"/>
      <c r="AQ617" s="4"/>
      <c r="AR617" s="4">
        <v>144792.848274</v>
      </c>
      <c r="AS617" s="4">
        <f t="shared" si="92"/>
        <v>141943.86411832445</v>
      </c>
      <c r="AT617" s="4"/>
      <c r="AU617" s="4"/>
      <c r="AV617" s="4"/>
      <c r="AW617" s="4"/>
      <c r="AX617" s="4">
        <v>57145.602489</v>
      </c>
      <c r="AY617" s="4">
        <f t="shared" si="82"/>
        <v>56000.77420117285</v>
      </c>
      <c r="AZ617" s="4"/>
      <c r="BA617" s="4"/>
      <c r="BB617" s="4"/>
      <c r="BC617" s="4"/>
      <c r="BD617" s="4"/>
      <c r="BE617" s="4"/>
      <c r="BF617" s="4"/>
      <c r="BG617" s="4"/>
      <c r="BH617" s="4">
        <v>101933</v>
      </c>
      <c r="BI617" s="4">
        <v>102741</v>
      </c>
      <c r="BJ617" s="4"/>
      <c r="BK617" s="4">
        <f t="shared" si="93"/>
        <v>102741</v>
      </c>
      <c r="BL617" s="4">
        <f t="shared" si="94"/>
        <v>204674</v>
      </c>
      <c r="BM617" s="4"/>
      <c r="BN617" s="4"/>
      <c r="BO617" s="4">
        <v>9571.975263</v>
      </c>
      <c r="BP617" s="4"/>
      <c r="BQ617" s="4">
        <f t="shared" si="89"/>
        <v>3870619.511523</v>
      </c>
      <c r="BT617" s="4">
        <f t="shared" si="90"/>
        <v>2715507.1869115597</v>
      </c>
      <c r="BW617" s="52"/>
      <c r="BX617" s="4">
        <f t="shared" si="87"/>
        <v>7137963.427728999</v>
      </c>
      <c r="BY617" s="4">
        <f t="shared" si="88"/>
        <v>6045284.426357165</v>
      </c>
    </row>
    <row r="618" spans="1:77" ht="12.75">
      <c r="A618" s="3" t="s">
        <v>1251</v>
      </c>
      <c r="B618" s="3" t="s">
        <v>617</v>
      </c>
      <c r="C618" s="3" t="s">
        <v>1349</v>
      </c>
      <c r="D618" s="3"/>
      <c r="E618" s="4"/>
      <c r="F618" s="4">
        <v>1887700.227202</v>
      </c>
      <c r="G618" s="4">
        <f t="shared" si="83"/>
        <v>1923770.9321803823</v>
      </c>
      <c r="H618" s="4"/>
      <c r="I618" s="4"/>
      <c r="J618" s="4">
        <v>71896.35097</v>
      </c>
      <c r="K618" s="4">
        <f t="shared" si="91"/>
        <v>73270.16659363057</v>
      </c>
      <c r="L618" s="4"/>
      <c r="M618" s="4"/>
      <c r="N618" s="4"/>
      <c r="O618" s="4"/>
      <c r="P618" s="4"/>
      <c r="Q618" s="4"/>
      <c r="R618" s="4"/>
      <c r="S618" s="4"/>
      <c r="T618" s="4">
        <v>45953.41974</v>
      </c>
      <c r="U618" s="4">
        <f aca="true" t="shared" si="95" ref="U618:U627">T618*RPI_inc</f>
        <v>46831.51056305732</v>
      </c>
      <c r="V618" s="4"/>
      <c r="W618" s="4"/>
      <c r="X618" s="4"/>
      <c r="Y618" s="4"/>
      <c r="Z618" s="13">
        <f t="shared" si="84"/>
        <v>2005549.9979120002</v>
      </c>
      <c r="AC618" s="13">
        <f t="shared" si="85"/>
        <v>2043872.6093370703</v>
      </c>
      <c r="AF618" s="51"/>
      <c r="AG618" s="4"/>
      <c r="AH618" s="4"/>
      <c r="AI618" s="4"/>
      <c r="AJ618" s="4"/>
      <c r="AK618" s="4"/>
      <c r="AL618" s="4">
        <v>2085491.2145</v>
      </c>
      <c r="AM618" s="4">
        <f t="shared" si="86"/>
        <v>1396323.4592125586</v>
      </c>
      <c r="AN618" s="4"/>
      <c r="AO618" s="4"/>
      <c r="AP618" s="4"/>
      <c r="AQ618" s="4"/>
      <c r="AR618" s="4">
        <v>103842.464594</v>
      </c>
      <c r="AS618" s="4">
        <f t="shared" si="92"/>
        <v>101799.23152108774</v>
      </c>
      <c r="AT618" s="4"/>
      <c r="AU618" s="4"/>
      <c r="AV618" s="4"/>
      <c r="AW618" s="4"/>
      <c r="AX618" s="4">
        <v>65188.590814</v>
      </c>
      <c r="AY618" s="4">
        <f aca="true" t="shared" si="96" ref="AY618:AY627">AX618/$AX$680*$AY$680</f>
        <v>63882.63305772607</v>
      </c>
      <c r="AZ618" s="4"/>
      <c r="BA618" s="4"/>
      <c r="BB618" s="4"/>
      <c r="BC618" s="4"/>
      <c r="BD618" s="4">
        <v>22175.235294</v>
      </c>
      <c r="BE618" s="4">
        <f>BD618/BD$680*BE$680</f>
        <v>31512.17990309886</v>
      </c>
      <c r="BF618" s="4">
        <v>4668.467292819074</v>
      </c>
      <c r="BG618" s="4">
        <f>BE618+BF618</f>
        <v>36180.64719591793</v>
      </c>
      <c r="BH618" s="4"/>
      <c r="BI618" s="4"/>
      <c r="BJ618" s="4"/>
      <c r="BK618" s="4"/>
      <c r="BL618" s="4"/>
      <c r="BM618" s="4"/>
      <c r="BN618" s="4"/>
      <c r="BO618" s="4">
        <v>5875.4375</v>
      </c>
      <c r="BP618" s="4"/>
      <c r="BQ618" s="4">
        <f t="shared" si="89"/>
        <v>2287241.4099948187</v>
      </c>
      <c r="BT618" s="4">
        <f t="shared" si="90"/>
        <v>1598185.9709872904</v>
      </c>
      <c r="BW618" s="52"/>
      <c r="BX618" s="4">
        <f t="shared" si="87"/>
        <v>4292791.407906819</v>
      </c>
      <c r="BY618" s="4">
        <f t="shared" si="88"/>
        <v>3642058.5803243606</v>
      </c>
    </row>
    <row r="619" spans="1:77" ht="12.75">
      <c r="A619" s="3" t="s">
        <v>1252</v>
      </c>
      <c r="B619" s="3" t="s">
        <v>618</v>
      </c>
      <c r="C619" s="3" t="s">
        <v>1349</v>
      </c>
      <c r="D619" s="3"/>
      <c r="E619" s="4"/>
      <c r="F619" s="4">
        <v>3116728.133779</v>
      </c>
      <c r="G619" s="4">
        <f aca="true" t="shared" si="97" ref="G619:G627">F619*RPI_inc</f>
        <v>3176283.4484371976</v>
      </c>
      <c r="H619" s="4"/>
      <c r="I619" s="4"/>
      <c r="J619" s="4">
        <v>69809.447462</v>
      </c>
      <c r="K619" s="4">
        <f t="shared" si="91"/>
        <v>71143.38594853503</v>
      </c>
      <c r="L619" s="4"/>
      <c r="M619" s="4"/>
      <c r="N619" s="4"/>
      <c r="O619" s="4"/>
      <c r="P619" s="4"/>
      <c r="Q619" s="4"/>
      <c r="R619" s="4"/>
      <c r="S619" s="4"/>
      <c r="T619" s="4">
        <v>57859.847753</v>
      </c>
      <c r="U619" s="4">
        <f t="shared" si="95"/>
        <v>58965.44993936306</v>
      </c>
      <c r="V619" s="4"/>
      <c r="W619" s="4"/>
      <c r="X619" s="4"/>
      <c r="Y619" s="4"/>
      <c r="Z619" s="13">
        <f aca="true" t="shared" si="98" ref="Z619:Z659">D619+F619+H619+J619+L619+N619+P619+R619+T619+V619+X619</f>
        <v>3244397.428994</v>
      </c>
      <c r="AC619" s="13">
        <f aca="true" t="shared" si="99" ref="AC619:AC659">E619+G619+I619+K619+M619+O619+Q619+S619+U619+W619+Y619</f>
        <v>3306392.284325096</v>
      </c>
      <c r="AF619" s="51"/>
      <c r="AG619" s="4"/>
      <c r="AH619" s="4"/>
      <c r="AI619" s="4"/>
      <c r="AJ619" s="4"/>
      <c r="AK619" s="4"/>
      <c r="AL619" s="4">
        <v>3443295.205094</v>
      </c>
      <c r="AM619" s="4">
        <f aca="true" t="shared" si="100" ref="AM619:AM627">AL619/$AL$680*$AM$680</f>
        <v>2305429.9334555506</v>
      </c>
      <c r="AN619" s="4"/>
      <c r="AO619" s="4"/>
      <c r="AP619" s="4"/>
      <c r="AQ619" s="4"/>
      <c r="AR619" s="4">
        <v>100828.275408</v>
      </c>
      <c r="AS619" s="4">
        <f t="shared" si="92"/>
        <v>98844.35035572195</v>
      </c>
      <c r="AT619" s="4"/>
      <c r="AU619" s="4"/>
      <c r="AV619" s="4"/>
      <c r="AW619" s="4"/>
      <c r="AX619" s="4">
        <v>82078.808521</v>
      </c>
      <c r="AY619" s="4">
        <f t="shared" si="96"/>
        <v>80434.4800384352</v>
      </c>
      <c r="AZ619" s="4"/>
      <c r="BA619" s="4"/>
      <c r="BB619" s="4"/>
      <c r="BC619" s="4"/>
      <c r="BD619" s="4"/>
      <c r="BE619" s="4"/>
      <c r="BF619" s="4"/>
      <c r="BG619" s="4"/>
      <c r="BH619" s="4">
        <v>69900</v>
      </c>
      <c r="BI619" s="4">
        <v>70460</v>
      </c>
      <c r="BJ619" s="4"/>
      <c r="BK619" s="4">
        <f t="shared" si="93"/>
        <v>70460</v>
      </c>
      <c r="BL619" s="4">
        <f aca="true" t="shared" si="101" ref="BL619:BL626">BH619+BK619</f>
        <v>140360</v>
      </c>
      <c r="BM619" s="4"/>
      <c r="BN619" s="4"/>
      <c r="BO619" s="4">
        <v>9504.751484</v>
      </c>
      <c r="BP619" s="4"/>
      <c r="BQ619" s="4">
        <f t="shared" si="89"/>
        <v>3776067.0405070004</v>
      </c>
      <c r="BT619" s="4">
        <f t="shared" si="90"/>
        <v>2625068.763849708</v>
      </c>
      <c r="BW619" s="52"/>
      <c r="BX619" s="4">
        <f t="shared" si="87"/>
        <v>7020464.469501</v>
      </c>
      <c r="BY619" s="4">
        <f t="shared" si="88"/>
        <v>5931461.048174804</v>
      </c>
    </row>
    <row r="620" spans="1:77" ht="12.75">
      <c r="A620" s="3" t="s">
        <v>1253</v>
      </c>
      <c r="B620" s="3" t="s">
        <v>619</v>
      </c>
      <c r="C620" s="3" t="s">
        <v>1349</v>
      </c>
      <c r="D620" s="3"/>
      <c r="E620" s="4"/>
      <c r="F620" s="4">
        <v>1701768.076793</v>
      </c>
      <c r="G620" s="4">
        <f t="shared" si="97"/>
        <v>1734285.9381329936</v>
      </c>
      <c r="H620" s="4"/>
      <c r="I620" s="4"/>
      <c r="J620" s="4">
        <v>82749.552505</v>
      </c>
      <c r="K620" s="4">
        <f t="shared" si="91"/>
        <v>84330.75414522293</v>
      </c>
      <c r="L620" s="4"/>
      <c r="M620" s="4"/>
      <c r="N620" s="4"/>
      <c r="O620" s="4"/>
      <c r="P620" s="4"/>
      <c r="Q620" s="4"/>
      <c r="R620" s="4"/>
      <c r="S620" s="4"/>
      <c r="T620" s="4">
        <v>43118.342591</v>
      </c>
      <c r="U620" s="4">
        <f t="shared" si="95"/>
        <v>43942.25996535032</v>
      </c>
      <c r="V620" s="4"/>
      <c r="W620" s="4"/>
      <c r="X620" s="4"/>
      <c r="Y620" s="4"/>
      <c r="Z620" s="13">
        <f t="shared" si="98"/>
        <v>1827635.9718890002</v>
      </c>
      <c r="AC620" s="13">
        <f t="shared" si="99"/>
        <v>1862558.952243567</v>
      </c>
      <c r="AF620" s="51"/>
      <c r="AG620" s="4"/>
      <c r="AH620" s="4"/>
      <c r="AI620" s="4"/>
      <c r="AJ620" s="4"/>
      <c r="AK620" s="4"/>
      <c r="AL620" s="4">
        <v>1880077.31425</v>
      </c>
      <c r="AM620" s="4">
        <f t="shared" si="100"/>
        <v>1258790.274813031</v>
      </c>
      <c r="AN620" s="4"/>
      <c r="AO620" s="4"/>
      <c r="AP620" s="4"/>
      <c r="AQ620" s="4"/>
      <c r="AR620" s="4">
        <v>119518.130757</v>
      </c>
      <c r="AS620" s="4">
        <f t="shared" si="92"/>
        <v>117166.45893824904</v>
      </c>
      <c r="AT620" s="4"/>
      <c r="AU620" s="4"/>
      <c r="AV620" s="4"/>
      <c r="AW620" s="4"/>
      <c r="AX620" s="4">
        <v>61166.807772</v>
      </c>
      <c r="AY620" s="4">
        <f t="shared" si="96"/>
        <v>59941.42053722633</v>
      </c>
      <c r="AZ620" s="4"/>
      <c r="BA620" s="4"/>
      <c r="BB620" s="4"/>
      <c r="BC620" s="4"/>
      <c r="BD620" s="4">
        <v>1195.882353</v>
      </c>
      <c r="BE620" s="4">
        <f>BD620/BD$680*BE$680</f>
        <v>1699.4119499094404</v>
      </c>
      <c r="BF620" s="4">
        <v>251.76452817844967</v>
      </c>
      <c r="BG620" s="4">
        <f>BE620+BF620</f>
        <v>1951.17647808789</v>
      </c>
      <c r="BH620" s="4">
        <v>81813</v>
      </c>
      <c r="BI620" s="4">
        <v>83016</v>
      </c>
      <c r="BJ620" s="4"/>
      <c r="BK620" s="4">
        <f t="shared" si="93"/>
        <v>83016</v>
      </c>
      <c r="BL620" s="4">
        <f t="shared" si="101"/>
        <v>164829</v>
      </c>
      <c r="BM620" s="4"/>
      <c r="BN620" s="4"/>
      <c r="BO620" s="4">
        <v>5354.222501</v>
      </c>
      <c r="BP620" s="4"/>
      <c r="BQ620" s="4">
        <f t="shared" si="89"/>
        <v>2232393.1221611784</v>
      </c>
      <c r="BT620" s="4">
        <f t="shared" si="90"/>
        <v>1602678.3307665945</v>
      </c>
      <c r="BW620" s="52"/>
      <c r="BX620" s="4">
        <f t="shared" si="87"/>
        <v>4060029.0940501783</v>
      </c>
      <c r="BY620" s="4">
        <f t="shared" si="88"/>
        <v>3465237.2830101615</v>
      </c>
    </row>
    <row r="621" spans="1:77" ht="12.75">
      <c r="A621" s="3" t="s">
        <v>1254</v>
      </c>
      <c r="B621" s="3" t="s">
        <v>620</v>
      </c>
      <c r="C621" s="3" t="s">
        <v>1349</v>
      </c>
      <c r="D621" s="3"/>
      <c r="E621" s="4"/>
      <c r="F621" s="4">
        <v>1785910.674068</v>
      </c>
      <c r="G621" s="4">
        <f t="shared" si="97"/>
        <v>1820036.3557380892</v>
      </c>
      <c r="H621" s="4"/>
      <c r="I621" s="4"/>
      <c r="J621" s="4">
        <v>87387.658895</v>
      </c>
      <c r="K621" s="4">
        <f t="shared" si="91"/>
        <v>89057.48677197452</v>
      </c>
      <c r="L621" s="4"/>
      <c r="M621" s="4"/>
      <c r="N621" s="4"/>
      <c r="O621" s="4"/>
      <c r="P621" s="4"/>
      <c r="Q621" s="4"/>
      <c r="R621" s="4"/>
      <c r="S621" s="4"/>
      <c r="T621" s="4">
        <v>34613.925701</v>
      </c>
      <c r="U621" s="4">
        <f t="shared" si="95"/>
        <v>35275.33829401274</v>
      </c>
      <c r="V621" s="4"/>
      <c r="W621" s="4"/>
      <c r="X621" s="4"/>
      <c r="Y621" s="4"/>
      <c r="Z621" s="13">
        <f t="shared" si="98"/>
        <v>1907912.258664</v>
      </c>
      <c r="AC621" s="13">
        <f t="shared" si="99"/>
        <v>1944369.1808040764</v>
      </c>
      <c r="AF621" s="51"/>
      <c r="AG621" s="4"/>
      <c r="AH621" s="4"/>
      <c r="AI621" s="4"/>
      <c r="AJ621" s="4"/>
      <c r="AK621" s="4"/>
      <c r="AL621" s="4">
        <v>1973036.27291</v>
      </c>
      <c r="AM621" s="4">
        <f t="shared" si="100"/>
        <v>1321030.1796462187</v>
      </c>
      <c r="AN621" s="4"/>
      <c r="AO621" s="4"/>
      <c r="AP621" s="4"/>
      <c r="AQ621" s="4"/>
      <c r="AR621" s="4">
        <v>126217.11328</v>
      </c>
      <c r="AS621" s="4">
        <f t="shared" si="92"/>
        <v>123733.63042710832</v>
      </c>
      <c r="AT621" s="4"/>
      <c r="AU621" s="4"/>
      <c r="AV621" s="4"/>
      <c r="AW621" s="4"/>
      <c r="AX621" s="4">
        <v>49102.614164</v>
      </c>
      <c r="AY621" s="4">
        <f t="shared" si="96"/>
        <v>48118.91534461963</v>
      </c>
      <c r="AZ621" s="4"/>
      <c r="BA621" s="4"/>
      <c r="BB621" s="4"/>
      <c r="BC621" s="4"/>
      <c r="BD621" s="4"/>
      <c r="BE621" s="4"/>
      <c r="BF621" s="4"/>
      <c r="BG621" s="4"/>
      <c r="BH621" s="4">
        <v>88096</v>
      </c>
      <c r="BI621" s="4">
        <v>88948</v>
      </c>
      <c r="BJ621" s="4"/>
      <c r="BK621" s="4">
        <f t="shared" si="93"/>
        <v>88948</v>
      </c>
      <c r="BL621" s="4">
        <f t="shared" si="101"/>
        <v>177044</v>
      </c>
      <c r="BM621" s="4"/>
      <c r="BN621" s="4"/>
      <c r="BO621" s="4">
        <v>5589.399039</v>
      </c>
      <c r="BP621" s="4"/>
      <c r="BQ621" s="4">
        <f t="shared" si="89"/>
        <v>2330989.3993929997</v>
      </c>
      <c r="BT621" s="4">
        <f t="shared" si="90"/>
        <v>1669926.7254179467</v>
      </c>
      <c r="BW621" s="52"/>
      <c r="BX621" s="4">
        <f t="shared" si="87"/>
        <v>4238901.658057</v>
      </c>
      <c r="BY621" s="4">
        <f t="shared" si="88"/>
        <v>3614295.906222023</v>
      </c>
    </row>
    <row r="622" spans="1:77" ht="12.75">
      <c r="A622" s="3" t="s">
        <v>1255</v>
      </c>
      <c r="B622" s="3" t="s">
        <v>621</v>
      </c>
      <c r="C622" s="3" t="s">
        <v>1349</v>
      </c>
      <c r="D622" s="3"/>
      <c r="E622" s="4"/>
      <c r="F622" s="4">
        <v>2251864.594459</v>
      </c>
      <c r="G622" s="4">
        <f t="shared" si="97"/>
        <v>2294893.8542257324</v>
      </c>
      <c r="H622" s="4"/>
      <c r="I622" s="4"/>
      <c r="J622" s="4">
        <v>85433.528718</v>
      </c>
      <c r="K622" s="4">
        <f t="shared" si="91"/>
        <v>87066.01652789809</v>
      </c>
      <c r="L622" s="4"/>
      <c r="M622" s="4"/>
      <c r="N622" s="4"/>
      <c r="O622" s="4"/>
      <c r="P622" s="4"/>
      <c r="Q622" s="4"/>
      <c r="R622" s="4"/>
      <c r="S622" s="4"/>
      <c r="T622" s="4">
        <v>60694.517623</v>
      </c>
      <c r="U622" s="4">
        <f t="shared" si="95"/>
        <v>61854.28547566879</v>
      </c>
      <c r="V622" s="4"/>
      <c r="W622" s="4"/>
      <c r="X622" s="4"/>
      <c r="Y622" s="4"/>
      <c r="Z622" s="13">
        <f t="shared" si="98"/>
        <v>2397992.6407999997</v>
      </c>
      <c r="AC622" s="13">
        <f t="shared" si="99"/>
        <v>2443814.1562292995</v>
      </c>
      <c r="AF622" s="51"/>
      <c r="AG622" s="4"/>
      <c r="AH622" s="4"/>
      <c r="AI622" s="4"/>
      <c r="AJ622" s="4"/>
      <c r="AK622" s="4"/>
      <c r="AL622" s="4">
        <v>2487812.291545</v>
      </c>
      <c r="AM622" s="4">
        <f t="shared" si="100"/>
        <v>1665694.221413675</v>
      </c>
      <c r="AN622" s="4"/>
      <c r="AO622" s="4"/>
      <c r="AP622" s="4"/>
      <c r="AQ622" s="4"/>
      <c r="AR622" s="4">
        <v>123394.693352</v>
      </c>
      <c r="AS622" s="4">
        <f t="shared" si="92"/>
        <v>120966.74521474785</v>
      </c>
      <c r="AT622" s="4"/>
      <c r="AU622" s="4"/>
      <c r="AV622" s="4"/>
      <c r="AW622" s="4"/>
      <c r="AX622" s="4">
        <v>86100.013804</v>
      </c>
      <c r="AY622" s="4">
        <f t="shared" si="96"/>
        <v>84375.12637448867</v>
      </c>
      <c r="AZ622" s="4"/>
      <c r="BA622" s="4"/>
      <c r="BB622" s="4"/>
      <c r="BC622" s="4"/>
      <c r="BD622" s="4"/>
      <c r="BE622" s="4"/>
      <c r="BF622" s="4"/>
      <c r="BG622" s="4"/>
      <c r="BH622" s="4">
        <v>86777</v>
      </c>
      <c r="BI622" s="4">
        <v>85260</v>
      </c>
      <c r="BJ622" s="4"/>
      <c r="BK622" s="4">
        <f t="shared" si="93"/>
        <v>85260</v>
      </c>
      <c r="BL622" s="4">
        <f t="shared" si="101"/>
        <v>172037</v>
      </c>
      <c r="BM622" s="4"/>
      <c r="BN622" s="4"/>
      <c r="BO622" s="4">
        <v>7025.133206</v>
      </c>
      <c r="BP622" s="4"/>
      <c r="BQ622" s="4">
        <f t="shared" si="89"/>
        <v>2876369.1319069997</v>
      </c>
      <c r="BT622" s="4">
        <f t="shared" si="90"/>
        <v>2043073.0930029117</v>
      </c>
      <c r="BW622" s="52"/>
      <c r="BX622" s="4">
        <f t="shared" si="87"/>
        <v>5274361.772706999</v>
      </c>
      <c r="BY622" s="4">
        <f t="shared" si="88"/>
        <v>4486887.249232211</v>
      </c>
    </row>
    <row r="623" spans="1:77" ht="12.75">
      <c r="A623" s="3" t="s">
        <v>1256</v>
      </c>
      <c r="B623" s="3" t="s">
        <v>622</v>
      </c>
      <c r="C623" s="3" t="s">
        <v>1349</v>
      </c>
      <c r="D623" s="3"/>
      <c r="E623" s="4"/>
      <c r="F623" s="4">
        <v>3161016.817634</v>
      </c>
      <c r="G623" s="4">
        <f t="shared" si="97"/>
        <v>3221418.412875414</v>
      </c>
      <c r="H623" s="4"/>
      <c r="I623" s="4"/>
      <c r="J623" s="4">
        <v>139101.241849</v>
      </c>
      <c r="K623" s="4">
        <f t="shared" si="91"/>
        <v>141759.22736203822</v>
      </c>
      <c r="L623" s="4"/>
      <c r="M623" s="4"/>
      <c r="N623" s="4"/>
      <c r="O623" s="4"/>
      <c r="P623" s="4"/>
      <c r="Q623" s="4"/>
      <c r="R623" s="4"/>
      <c r="S623" s="4"/>
      <c r="T623" s="4">
        <v>33005.983655</v>
      </c>
      <c r="U623" s="4">
        <f t="shared" si="95"/>
        <v>33636.671240764335</v>
      </c>
      <c r="V623" s="4"/>
      <c r="W623" s="4"/>
      <c r="X623" s="4"/>
      <c r="Y623" s="4"/>
      <c r="Z623" s="13">
        <f t="shared" si="98"/>
        <v>3333124.043138</v>
      </c>
      <c r="AC623" s="13">
        <f t="shared" si="99"/>
        <v>3396814.311478216</v>
      </c>
      <c r="AF623" s="51"/>
      <c r="AG623" s="4"/>
      <c r="AH623" s="4"/>
      <c r="AI623" s="4"/>
      <c r="AJ623" s="4"/>
      <c r="AK623" s="4"/>
      <c r="AL623" s="4">
        <v>3492224.40463</v>
      </c>
      <c r="AM623" s="4">
        <f t="shared" si="100"/>
        <v>2338190.075851542</v>
      </c>
      <c r="AN623" s="4"/>
      <c r="AO623" s="4"/>
      <c r="AP623" s="4"/>
      <c r="AQ623" s="4"/>
      <c r="AR623" s="4">
        <v>200908.886012</v>
      </c>
      <c r="AS623" s="4">
        <f t="shared" si="92"/>
        <v>196955.74716705197</v>
      </c>
      <c r="AT623" s="4"/>
      <c r="AU623" s="4"/>
      <c r="AV623" s="4"/>
      <c r="AW623" s="4"/>
      <c r="AX623" s="4">
        <v>46821.620133</v>
      </c>
      <c r="AY623" s="4">
        <f t="shared" si="96"/>
        <v>45883.61768179697</v>
      </c>
      <c r="AZ623" s="4"/>
      <c r="BA623" s="4"/>
      <c r="BB623" s="4"/>
      <c r="BC623" s="4"/>
      <c r="BD623" s="4">
        <v>28199.352941</v>
      </c>
      <c r="BE623" s="4">
        <f>BD623/BD$680*BE$680</f>
        <v>40072.76907082959</v>
      </c>
      <c r="BF623" s="4">
        <v>5936.701691699302</v>
      </c>
      <c r="BG623" s="4">
        <f>BE623+BF623</f>
        <v>46009.470762528894</v>
      </c>
      <c r="BH623" s="4">
        <v>138541</v>
      </c>
      <c r="BI623" s="4">
        <v>139105</v>
      </c>
      <c r="BJ623" s="4"/>
      <c r="BK623" s="4">
        <f t="shared" si="93"/>
        <v>139105</v>
      </c>
      <c r="BL623" s="4">
        <f t="shared" si="101"/>
        <v>277646</v>
      </c>
      <c r="BM623" s="4"/>
      <c r="BN623" s="4"/>
      <c r="BO623" s="4">
        <v>9764.684009</v>
      </c>
      <c r="BP623" s="4"/>
      <c r="BQ623" s="4">
        <f t="shared" si="89"/>
        <v>4061501.649416699</v>
      </c>
      <c r="BT623" s="4">
        <f t="shared" si="90"/>
        <v>2904684.91146292</v>
      </c>
      <c r="BW623" s="52"/>
      <c r="BX623" s="4">
        <f t="shared" si="87"/>
        <v>7394625.692554699</v>
      </c>
      <c r="BY623" s="4">
        <f t="shared" si="88"/>
        <v>6301499.222941136</v>
      </c>
    </row>
    <row r="624" spans="1:77" ht="12.75">
      <c r="A624" s="3" t="s">
        <v>1257</v>
      </c>
      <c r="B624" s="3" t="s">
        <v>623</v>
      </c>
      <c r="C624" s="3" t="s">
        <v>1349</v>
      </c>
      <c r="D624" s="3"/>
      <c r="E624" s="4"/>
      <c r="F624" s="4">
        <v>1386399.424072</v>
      </c>
      <c r="G624" s="4">
        <f t="shared" si="97"/>
        <v>1412891.1328122292</v>
      </c>
      <c r="H624" s="4"/>
      <c r="I624" s="4"/>
      <c r="J624" s="4">
        <v>38358.459434</v>
      </c>
      <c r="K624" s="4">
        <f t="shared" si="91"/>
        <v>39091.42362700636</v>
      </c>
      <c r="L624" s="4"/>
      <c r="M624" s="4"/>
      <c r="N624" s="4"/>
      <c r="O624" s="4"/>
      <c r="P624" s="4"/>
      <c r="Q624" s="4"/>
      <c r="R624" s="4"/>
      <c r="S624" s="4"/>
      <c r="T624" s="4">
        <v>34613.925701</v>
      </c>
      <c r="U624" s="4">
        <f t="shared" si="95"/>
        <v>35275.33829401274</v>
      </c>
      <c r="V624" s="4"/>
      <c r="W624" s="4"/>
      <c r="X624" s="4"/>
      <c r="Y624" s="4"/>
      <c r="Z624" s="13">
        <f t="shared" si="98"/>
        <v>1459371.809207</v>
      </c>
      <c r="AC624" s="13">
        <f t="shared" si="99"/>
        <v>1487257.8947332483</v>
      </c>
      <c r="AF624" s="51"/>
      <c r="AG624" s="4"/>
      <c r="AH624" s="4"/>
      <c r="AI624" s="4"/>
      <c r="AJ624" s="4"/>
      <c r="AK624" s="4"/>
      <c r="AL624" s="4">
        <v>1531664.708742</v>
      </c>
      <c r="AM624" s="4">
        <f t="shared" si="100"/>
        <v>1025513.485549342</v>
      </c>
      <c r="AN624" s="4"/>
      <c r="AO624" s="4"/>
      <c r="AP624" s="4"/>
      <c r="AQ624" s="4"/>
      <c r="AR624" s="4">
        <v>55402.491392</v>
      </c>
      <c r="AS624" s="4">
        <f t="shared" si="92"/>
        <v>54312.37663811335</v>
      </c>
      <c r="AT624" s="4"/>
      <c r="AU624" s="4"/>
      <c r="AV624" s="4"/>
      <c r="AW624" s="4"/>
      <c r="AX624" s="4">
        <v>49102.614164</v>
      </c>
      <c r="AY624" s="4">
        <f t="shared" si="96"/>
        <v>48118.91534461963</v>
      </c>
      <c r="AZ624" s="4"/>
      <c r="BA624" s="4"/>
      <c r="BB624" s="4"/>
      <c r="BC624" s="4"/>
      <c r="BD624" s="4">
        <v>67111.352941</v>
      </c>
      <c r="BE624" s="4">
        <f>BD624/BD$680*BE$680</f>
        <v>95368.77509432189</v>
      </c>
      <c r="BF624" s="4">
        <v>14128.695909110278</v>
      </c>
      <c r="BG624" s="4">
        <f>BE624+BF624</f>
        <v>109497.47100343216</v>
      </c>
      <c r="BH624" s="4">
        <v>38045</v>
      </c>
      <c r="BI624" s="4">
        <v>39260</v>
      </c>
      <c r="BJ624" s="4"/>
      <c r="BK624" s="4">
        <f t="shared" si="93"/>
        <v>39260</v>
      </c>
      <c r="BL624" s="4">
        <f t="shared" si="101"/>
        <v>77305</v>
      </c>
      <c r="BM624" s="4"/>
      <c r="BN624" s="4"/>
      <c r="BO624" s="4">
        <v>4275.359808</v>
      </c>
      <c r="BP624" s="4"/>
      <c r="BQ624" s="4">
        <f t="shared" si="89"/>
        <v>1798990.2229561103</v>
      </c>
      <c r="BT624" s="4">
        <f t="shared" si="90"/>
        <v>1314747.2485355071</v>
      </c>
      <c r="BW624" s="52"/>
      <c r="BX624" s="4">
        <f t="shared" si="87"/>
        <v>3258362.0321631106</v>
      </c>
      <c r="BY624" s="4">
        <f t="shared" si="88"/>
        <v>2802005.1432687556</v>
      </c>
    </row>
    <row r="625" spans="1:77" ht="12.75">
      <c r="A625" s="3" t="s">
        <v>1258</v>
      </c>
      <c r="B625" s="3" t="s">
        <v>624</v>
      </c>
      <c r="C625" s="3" t="s">
        <v>1349</v>
      </c>
      <c r="D625" s="3"/>
      <c r="E625" s="4"/>
      <c r="F625" s="4">
        <v>2095305.42305</v>
      </c>
      <c r="G625" s="4">
        <f t="shared" si="97"/>
        <v>2135343.1062929938</v>
      </c>
      <c r="H625" s="4"/>
      <c r="I625" s="4"/>
      <c r="J625" s="4">
        <v>48496.06974</v>
      </c>
      <c r="K625" s="4">
        <f t="shared" si="91"/>
        <v>49422.74623184713</v>
      </c>
      <c r="L625" s="4"/>
      <c r="M625" s="4"/>
      <c r="N625" s="4"/>
      <c r="O625" s="4"/>
      <c r="P625" s="4"/>
      <c r="Q625" s="4"/>
      <c r="R625" s="4"/>
      <c r="S625" s="4"/>
      <c r="T625" s="4">
        <v>45953.41974</v>
      </c>
      <c r="U625" s="4">
        <f t="shared" si="95"/>
        <v>46831.51056305732</v>
      </c>
      <c r="V625" s="4"/>
      <c r="W625" s="4"/>
      <c r="X625" s="4"/>
      <c r="Y625" s="4"/>
      <c r="Z625" s="13">
        <f t="shared" si="98"/>
        <v>2189754.91253</v>
      </c>
      <c r="AC625" s="13">
        <f t="shared" si="99"/>
        <v>2231597.363087898</v>
      </c>
      <c r="AF625" s="51"/>
      <c r="AG625" s="4"/>
      <c r="AH625" s="4"/>
      <c r="AI625" s="4"/>
      <c r="AJ625" s="4"/>
      <c r="AK625" s="4"/>
      <c r="AL625" s="4">
        <v>2314849.036142</v>
      </c>
      <c r="AM625" s="4">
        <f t="shared" si="100"/>
        <v>1549888.0988935735</v>
      </c>
      <c r="AN625" s="4"/>
      <c r="AO625" s="4"/>
      <c r="AP625" s="4"/>
      <c r="AQ625" s="4"/>
      <c r="AR625" s="4">
        <v>70044.603613</v>
      </c>
      <c r="AS625" s="4">
        <f t="shared" si="92"/>
        <v>68666.38660668502</v>
      </c>
      <c r="AT625" s="4"/>
      <c r="AU625" s="4"/>
      <c r="AV625" s="4"/>
      <c r="AW625" s="4"/>
      <c r="AX625" s="4">
        <v>65188.590814</v>
      </c>
      <c r="AY625" s="4">
        <f t="shared" si="96"/>
        <v>63882.63305772607</v>
      </c>
      <c r="AZ625" s="4"/>
      <c r="BA625" s="4"/>
      <c r="BB625" s="4"/>
      <c r="BC625" s="4"/>
      <c r="BD625" s="4">
        <v>15843.764706</v>
      </c>
      <c r="BE625" s="4">
        <f>BD625/BD$680*BE$680</f>
        <v>22514.82598215899</v>
      </c>
      <c r="BF625" s="4">
        <v>3335.527057297804</v>
      </c>
      <c r="BG625" s="4">
        <f>BE625+BF625</f>
        <v>25850.353039456793</v>
      </c>
      <c r="BH625" s="4">
        <v>48128</v>
      </c>
      <c r="BI625" s="4"/>
      <c r="BJ625" s="4"/>
      <c r="BK625" s="4"/>
      <c r="BL625" s="4">
        <f t="shared" si="101"/>
        <v>48128</v>
      </c>
      <c r="BM625" s="4"/>
      <c r="BN625" s="4"/>
      <c r="BO625" s="4">
        <v>6415.082218</v>
      </c>
      <c r="BP625" s="4"/>
      <c r="BQ625" s="4">
        <f t="shared" si="89"/>
        <v>2523804.6045502983</v>
      </c>
      <c r="BT625" s="4">
        <f t="shared" si="90"/>
        <v>1756415.4715974415</v>
      </c>
      <c r="BW625" s="52"/>
      <c r="BX625" s="4">
        <f t="shared" si="87"/>
        <v>4713559.517080298</v>
      </c>
      <c r="BY625" s="4">
        <f t="shared" si="88"/>
        <v>3988012.8346853396</v>
      </c>
    </row>
    <row r="626" spans="1:77" ht="12.75">
      <c r="A626" s="3" t="s">
        <v>1259</v>
      </c>
      <c r="B626" s="3" t="s">
        <v>625</v>
      </c>
      <c r="C626" s="3" t="s">
        <v>1349</v>
      </c>
      <c r="D626" s="3"/>
      <c r="E626" s="4"/>
      <c r="F626" s="4">
        <v>3972359.519097</v>
      </c>
      <c r="G626" s="4">
        <f t="shared" si="97"/>
        <v>4048264.4780606367</v>
      </c>
      <c r="H626" s="4"/>
      <c r="I626" s="4"/>
      <c r="J626" s="4">
        <v>75175.363487</v>
      </c>
      <c r="K626" s="4">
        <f t="shared" si="91"/>
        <v>76611.83540076432</v>
      </c>
      <c r="L626" s="4"/>
      <c r="M626" s="4"/>
      <c r="N626" s="4"/>
      <c r="O626" s="4"/>
      <c r="P626" s="4"/>
      <c r="Q626" s="4"/>
      <c r="R626" s="4"/>
      <c r="S626" s="4"/>
      <c r="T626" s="4">
        <v>34613.925701</v>
      </c>
      <c r="U626" s="4">
        <f t="shared" si="95"/>
        <v>35275.33829401274</v>
      </c>
      <c r="V626" s="4"/>
      <c r="W626" s="4"/>
      <c r="X626" s="4"/>
      <c r="Y626" s="4"/>
      <c r="Z626" s="13">
        <f t="shared" si="98"/>
        <v>4082148.808285</v>
      </c>
      <c r="AC626" s="13">
        <f t="shared" si="99"/>
        <v>4160151.651755414</v>
      </c>
      <c r="AF626" s="51"/>
      <c r="AG626" s="4"/>
      <c r="AH626" s="4"/>
      <c r="AI626" s="4"/>
      <c r="AJ626" s="4"/>
      <c r="AK626" s="4"/>
      <c r="AL626" s="4">
        <v>4388578.630512</v>
      </c>
      <c r="AM626" s="4">
        <f t="shared" si="100"/>
        <v>2938336.662258248</v>
      </c>
      <c r="AN626" s="4"/>
      <c r="AO626" s="4"/>
      <c r="AP626" s="4"/>
      <c r="AQ626" s="4"/>
      <c r="AR626" s="4">
        <v>108578.459351</v>
      </c>
      <c r="AS626" s="4">
        <f t="shared" si="92"/>
        <v>106442.0395345096</v>
      </c>
      <c r="AT626" s="4"/>
      <c r="AU626" s="4"/>
      <c r="AV626" s="4"/>
      <c r="AW626" s="4"/>
      <c r="AX626" s="4">
        <v>49102.614164</v>
      </c>
      <c r="AY626" s="4">
        <f t="shared" si="96"/>
        <v>48118.91534461963</v>
      </c>
      <c r="AZ626" s="4"/>
      <c r="BA626" s="4"/>
      <c r="BB626" s="4"/>
      <c r="BC626" s="4"/>
      <c r="BD626" s="4">
        <v>4995.882353</v>
      </c>
      <c r="BE626" s="4">
        <f>BD626/BD$680*BE$680</f>
        <v>7099.4125381411095</v>
      </c>
      <c r="BF626" s="4">
        <v>1051.7639634724903</v>
      </c>
      <c r="BG626" s="4">
        <f>BE626+BF626</f>
        <v>8151.1765016136</v>
      </c>
      <c r="BH626" s="4"/>
      <c r="BI626" s="4">
        <v>82291</v>
      </c>
      <c r="BJ626" s="4"/>
      <c r="BK626" s="4">
        <f>BI626</f>
        <v>82291</v>
      </c>
      <c r="BL626" s="4">
        <f t="shared" si="101"/>
        <v>82291</v>
      </c>
      <c r="BM626" s="4"/>
      <c r="BN626" s="4"/>
      <c r="BO626" s="4">
        <v>11959.018829</v>
      </c>
      <c r="BP626" s="4"/>
      <c r="BQ626" s="4">
        <f t="shared" si="89"/>
        <v>4646557.369172473</v>
      </c>
      <c r="BT626" s="4">
        <f t="shared" si="90"/>
        <v>3183339.7936389907</v>
      </c>
      <c r="BW626" s="52"/>
      <c r="BX626" s="4">
        <f t="shared" si="87"/>
        <v>8728706.177457474</v>
      </c>
      <c r="BY626" s="4">
        <f t="shared" si="88"/>
        <v>7343491.445394404</v>
      </c>
    </row>
    <row r="627" spans="1:77" ht="12.75">
      <c r="A627" s="3" t="s">
        <v>1260</v>
      </c>
      <c r="B627" s="3" t="s">
        <v>626</v>
      </c>
      <c r="C627" s="3" t="s">
        <v>1349</v>
      </c>
      <c r="D627" s="3"/>
      <c r="E627" s="4"/>
      <c r="F627" s="4">
        <v>1545802.726966</v>
      </c>
      <c r="G627" s="4">
        <f t="shared" si="97"/>
        <v>1575340.3586914649</v>
      </c>
      <c r="H627" s="4"/>
      <c r="I627" s="4"/>
      <c r="J627" s="4">
        <v>41135.295522</v>
      </c>
      <c r="K627" s="4">
        <f t="shared" si="91"/>
        <v>41921.320277197454</v>
      </c>
      <c r="L627" s="4"/>
      <c r="M627" s="4"/>
      <c r="N627" s="4"/>
      <c r="O627" s="4"/>
      <c r="P627" s="4"/>
      <c r="Q627" s="4"/>
      <c r="R627" s="4"/>
      <c r="S627" s="4"/>
      <c r="T627" s="4">
        <v>41417.540669</v>
      </c>
      <c r="U627" s="4">
        <f t="shared" si="95"/>
        <v>42208.95864356688</v>
      </c>
      <c r="V627" s="4"/>
      <c r="W627" s="4"/>
      <c r="X627" s="4"/>
      <c r="Y627" s="4"/>
      <c r="Z627" s="13">
        <f t="shared" si="98"/>
        <v>1628355.5631569999</v>
      </c>
      <c r="AC627" s="13">
        <f t="shared" si="99"/>
        <v>1659470.6376122292</v>
      </c>
      <c r="AF627" s="51"/>
      <c r="AG627" s="4"/>
      <c r="AH627" s="4"/>
      <c r="AI627" s="4"/>
      <c r="AJ627" s="4"/>
      <c r="AK627" s="4"/>
      <c r="AL627" s="4">
        <v>1707770.100349</v>
      </c>
      <c r="AM627" s="4">
        <f t="shared" si="100"/>
        <v>1143423.3994751235</v>
      </c>
      <c r="AN627" s="4"/>
      <c r="AO627" s="4"/>
      <c r="AP627" s="4"/>
      <c r="AQ627" s="4"/>
      <c r="AR627" s="4">
        <v>59413.174816</v>
      </c>
      <c r="AS627" s="4">
        <f t="shared" si="92"/>
        <v>58244.144745061334</v>
      </c>
      <c r="AT627" s="4"/>
      <c r="AU627" s="4"/>
      <c r="AV627" s="4"/>
      <c r="AW627" s="4"/>
      <c r="AX627" s="4">
        <v>58754.084602</v>
      </c>
      <c r="AY627" s="4">
        <f t="shared" si="96"/>
        <v>57577.03273539825</v>
      </c>
      <c r="AZ627" s="4"/>
      <c r="BA627" s="4"/>
      <c r="BB627" s="4"/>
      <c r="BC627" s="4"/>
      <c r="BD627" s="4">
        <v>26679.352941</v>
      </c>
      <c r="BE627" s="4">
        <f>BD627/BD$680*BE$680</f>
        <v>37912.768835536925</v>
      </c>
      <c r="BF627" s="4">
        <v>5616.701917581686</v>
      </c>
      <c r="BG627" s="4">
        <f>BE627+BF627</f>
        <v>43529.470753118614</v>
      </c>
      <c r="BH627" s="4"/>
      <c r="BI627" s="4"/>
      <c r="BJ627" s="4"/>
      <c r="BK627" s="4"/>
      <c r="BL627" s="4"/>
      <c r="BM627" s="4"/>
      <c r="BN627" s="4"/>
      <c r="BO627" s="4">
        <v>4770.412779</v>
      </c>
      <c r="BP627" s="4"/>
      <c r="BQ627" s="4">
        <f t="shared" si="89"/>
        <v>1863003.8274045815</v>
      </c>
      <c r="BT627" s="4">
        <f t="shared" si="90"/>
        <v>1302774.0477087018</v>
      </c>
      <c r="BW627" s="52"/>
      <c r="BX627" s="4">
        <f t="shared" si="87"/>
        <v>3491359.3905615816</v>
      </c>
      <c r="BY627" s="4">
        <f t="shared" si="88"/>
        <v>2962244.685320931</v>
      </c>
    </row>
    <row r="628" spans="1:77" ht="12.75">
      <c r="A628" s="7" t="s">
        <v>1261</v>
      </c>
      <c r="B628" s="7" t="s">
        <v>627</v>
      </c>
      <c r="C628" s="7" t="s">
        <v>1351</v>
      </c>
      <c r="D628" s="7"/>
      <c r="E628" s="8"/>
      <c r="F628" s="8"/>
      <c r="G628" s="8"/>
      <c r="H628" s="8">
        <v>28100981.588426</v>
      </c>
      <c r="I628" s="8">
        <f aca="true" t="shared" si="102" ref="I628:I658">H628*RPI_inc</f>
        <v>28637943.020051975</v>
      </c>
      <c r="J628" s="8">
        <v>430851.0853</v>
      </c>
      <c r="K628" s="8">
        <f t="shared" si="91"/>
        <v>439083.9085859872</v>
      </c>
      <c r="L628" s="8"/>
      <c r="M628" s="8"/>
      <c r="N628" s="8"/>
      <c r="O628" s="8"/>
      <c r="P628" s="8"/>
      <c r="Q628" s="8"/>
      <c r="R628" s="8"/>
      <c r="S628" s="8"/>
      <c r="T628" s="8"/>
      <c r="U628" s="8"/>
      <c r="V628" s="8"/>
      <c r="W628" s="8"/>
      <c r="X628" s="8"/>
      <c r="Y628" s="8"/>
      <c r="Z628" s="15">
        <f t="shared" si="98"/>
        <v>28531832.673726</v>
      </c>
      <c r="AC628" s="15">
        <f t="shared" si="99"/>
        <v>29077026.928637963</v>
      </c>
      <c r="AF628" s="51"/>
      <c r="AG628" s="8"/>
      <c r="AH628" s="8"/>
      <c r="AI628" s="8"/>
      <c r="AJ628" s="8"/>
      <c r="AK628" s="8"/>
      <c r="AL628" s="8"/>
      <c r="AM628" s="8"/>
      <c r="AN628" s="8">
        <v>35502690.162816</v>
      </c>
      <c r="AO628" s="8">
        <f aca="true" t="shared" si="103" ref="AO628:AO658">AN628/$AN$680*$AO$680</f>
        <v>29274053.490801368</v>
      </c>
      <c r="AP628" s="8">
        <v>-105414</v>
      </c>
      <c r="AQ628" s="8">
        <f aca="true" t="shared" si="104" ref="AQ628:AQ658">AO628+AP628</f>
        <v>29168639.490801368</v>
      </c>
      <c r="AR628" s="8">
        <v>622293.593026</v>
      </c>
      <c r="AS628" s="8">
        <f t="shared" si="92"/>
        <v>610049.1720629251</v>
      </c>
      <c r="AT628" s="8"/>
      <c r="AU628" s="8"/>
      <c r="AV628" s="8"/>
      <c r="AW628" s="8"/>
      <c r="AX628" s="8"/>
      <c r="AY628" s="8"/>
      <c r="AZ628" s="8"/>
      <c r="BA628" s="8"/>
      <c r="BB628" s="8"/>
      <c r="BC628" s="8"/>
      <c r="BD628" s="8"/>
      <c r="BE628" s="8"/>
      <c r="BF628" s="8"/>
      <c r="BG628" s="8"/>
      <c r="BH628" s="8"/>
      <c r="BI628" s="8">
        <v>470038</v>
      </c>
      <c r="BJ628" s="8"/>
      <c r="BK628" s="8">
        <f>BI628</f>
        <v>470038</v>
      </c>
      <c r="BL628" s="8">
        <f>BH628+BK628</f>
        <v>470038</v>
      </c>
      <c r="BM628" s="8"/>
      <c r="BN628" s="8"/>
      <c r="BO628" s="8">
        <v>83586.547232</v>
      </c>
      <c r="BP628" s="8"/>
      <c r="BQ628" s="8">
        <f t="shared" si="89"/>
        <v>36573194.303074</v>
      </c>
      <c r="BT628" s="8">
        <f t="shared" si="90"/>
        <v>30248726.662864294</v>
      </c>
      <c r="BW628" s="52"/>
      <c r="BX628" s="8">
        <f t="shared" si="87"/>
        <v>65105026.9768</v>
      </c>
      <c r="BY628" s="8">
        <f t="shared" si="88"/>
        <v>59325753.59150226</v>
      </c>
    </row>
    <row r="629" spans="1:77" ht="12.75">
      <c r="A629" s="7" t="s">
        <v>1262</v>
      </c>
      <c r="B629" s="7" t="s">
        <v>628</v>
      </c>
      <c r="C629" s="7" t="s">
        <v>1351</v>
      </c>
      <c r="D629" s="7"/>
      <c r="E629" s="8"/>
      <c r="F629" s="8"/>
      <c r="G629" s="8"/>
      <c r="H629" s="8">
        <v>17655784.693816</v>
      </c>
      <c r="I629" s="8">
        <f t="shared" si="102"/>
        <v>17993156.375863437</v>
      </c>
      <c r="J629" s="8">
        <v>277376.926827</v>
      </c>
      <c r="K629" s="8">
        <f t="shared" si="91"/>
        <v>282677.1228810191</v>
      </c>
      <c r="L629" s="8"/>
      <c r="M629" s="8"/>
      <c r="N629" s="8"/>
      <c r="O629" s="8"/>
      <c r="P629" s="8"/>
      <c r="Q629" s="8"/>
      <c r="R629" s="8"/>
      <c r="S629" s="8"/>
      <c r="T629" s="8"/>
      <c r="U629" s="8"/>
      <c r="V629" s="8"/>
      <c r="W629" s="8"/>
      <c r="X629" s="8"/>
      <c r="Y629" s="8"/>
      <c r="Z629" s="15">
        <f t="shared" si="98"/>
        <v>17933161.620642997</v>
      </c>
      <c r="AC629" s="15">
        <f t="shared" si="99"/>
        <v>18275833.498744454</v>
      </c>
      <c r="AF629" s="51"/>
      <c r="AG629" s="8"/>
      <c r="AH629" s="8"/>
      <c r="AI629" s="8"/>
      <c r="AJ629" s="8"/>
      <c r="AK629" s="8"/>
      <c r="AL629" s="8"/>
      <c r="AM629" s="8"/>
      <c r="AN629" s="8">
        <v>22306261.850444</v>
      </c>
      <c r="AO629" s="8">
        <f t="shared" si="103"/>
        <v>18392823.18030193</v>
      </c>
      <c r="AP629" s="8">
        <v>-56978</v>
      </c>
      <c r="AQ629" s="8">
        <f t="shared" si="104"/>
        <v>18335845.18030193</v>
      </c>
      <c r="AR629" s="8">
        <v>400625.390783</v>
      </c>
      <c r="AS629" s="8">
        <f t="shared" si="92"/>
        <v>392742.57471640664</v>
      </c>
      <c r="AT629" s="8"/>
      <c r="AU629" s="8"/>
      <c r="AV629" s="8"/>
      <c r="AW629" s="8"/>
      <c r="AX629" s="8"/>
      <c r="AY629" s="8"/>
      <c r="AZ629" s="8"/>
      <c r="BA629" s="8"/>
      <c r="BB629" s="8"/>
      <c r="BC629" s="8"/>
      <c r="BD629" s="8"/>
      <c r="BE629" s="8"/>
      <c r="BF629" s="8"/>
      <c r="BG629" s="8"/>
      <c r="BH629" s="8"/>
      <c r="BI629" s="8"/>
      <c r="BJ629" s="8"/>
      <c r="BK629" s="8"/>
      <c r="BL629" s="8"/>
      <c r="BM629" s="8"/>
      <c r="BN629" s="8"/>
      <c r="BO629" s="8">
        <v>52536.795584</v>
      </c>
      <c r="BP629" s="8"/>
      <c r="BQ629" s="8">
        <f t="shared" si="89"/>
        <v>22702446.036811</v>
      </c>
      <c r="BT629" s="8">
        <f t="shared" si="90"/>
        <v>18728587.75501834</v>
      </c>
      <c r="BW629" s="52"/>
      <c r="BX629" s="8">
        <f t="shared" si="87"/>
        <v>40635607.657454</v>
      </c>
      <c r="BY629" s="8">
        <f t="shared" si="88"/>
        <v>37004421.2537628</v>
      </c>
    </row>
    <row r="630" spans="1:77" ht="12.75">
      <c r="A630" s="7" t="s">
        <v>1263</v>
      </c>
      <c r="B630" s="7" t="s">
        <v>629</v>
      </c>
      <c r="C630" s="7" t="s">
        <v>1351</v>
      </c>
      <c r="D630" s="7"/>
      <c r="E630" s="8"/>
      <c r="F630" s="8"/>
      <c r="G630" s="8"/>
      <c r="H630" s="8">
        <v>13724683.258677</v>
      </c>
      <c r="I630" s="8">
        <f t="shared" si="102"/>
        <v>13986938.352791848</v>
      </c>
      <c r="J630" s="8">
        <v>234993.724914</v>
      </c>
      <c r="K630" s="8">
        <f t="shared" si="91"/>
        <v>239484.05086777068</v>
      </c>
      <c r="L630" s="8"/>
      <c r="M630" s="8"/>
      <c r="N630" s="8"/>
      <c r="O630" s="8"/>
      <c r="P630" s="8"/>
      <c r="Q630" s="8"/>
      <c r="R630" s="8"/>
      <c r="S630" s="8"/>
      <c r="T630" s="8"/>
      <c r="U630" s="8"/>
      <c r="V630" s="8"/>
      <c r="W630" s="8"/>
      <c r="X630" s="8"/>
      <c r="Y630" s="8"/>
      <c r="Z630" s="15">
        <f t="shared" si="98"/>
        <v>13959676.983591</v>
      </c>
      <c r="AC630" s="15">
        <f t="shared" si="99"/>
        <v>14226422.403659618</v>
      </c>
      <c r="AF630" s="51"/>
      <c r="AG630" s="8"/>
      <c r="AH630" s="8"/>
      <c r="AI630" s="8"/>
      <c r="AJ630" s="8"/>
      <c r="AK630" s="8"/>
      <c r="AL630" s="8"/>
      <c r="AM630" s="8"/>
      <c r="AN630" s="8">
        <v>17339720.884209</v>
      </c>
      <c r="AO630" s="8">
        <f t="shared" si="103"/>
        <v>14297618.415731844</v>
      </c>
      <c r="AP630" s="8">
        <v>-48537</v>
      </c>
      <c r="AQ630" s="8">
        <f t="shared" si="104"/>
        <v>14249081.415731844</v>
      </c>
      <c r="AR630" s="8">
        <v>339409.820248</v>
      </c>
      <c r="AS630" s="8">
        <f t="shared" si="92"/>
        <v>332731.4986893455</v>
      </c>
      <c r="AT630" s="8"/>
      <c r="AU630" s="8"/>
      <c r="AV630" s="8"/>
      <c r="AW630" s="8"/>
      <c r="AX630" s="8"/>
      <c r="AY630" s="8"/>
      <c r="AZ630" s="8"/>
      <c r="BA630" s="8"/>
      <c r="BB630" s="8"/>
      <c r="BC630" s="8"/>
      <c r="BD630" s="8"/>
      <c r="BE630" s="8"/>
      <c r="BF630" s="8"/>
      <c r="BG630" s="8"/>
      <c r="BH630" s="8"/>
      <c r="BI630" s="8"/>
      <c r="BJ630" s="8"/>
      <c r="BK630" s="8"/>
      <c r="BL630" s="8"/>
      <c r="BM630" s="8"/>
      <c r="BN630" s="8"/>
      <c r="BO630" s="8">
        <v>40896.118131</v>
      </c>
      <c r="BP630" s="8"/>
      <c r="BQ630" s="8">
        <f t="shared" si="89"/>
        <v>17671489.822588</v>
      </c>
      <c r="BT630" s="8">
        <f t="shared" si="90"/>
        <v>14581812.91442119</v>
      </c>
      <c r="BW630" s="52"/>
      <c r="BX630" s="8">
        <f t="shared" si="87"/>
        <v>31631166.806179002</v>
      </c>
      <c r="BY630" s="8">
        <f t="shared" si="88"/>
        <v>28808235.318080805</v>
      </c>
    </row>
    <row r="631" spans="1:77" ht="12.75">
      <c r="A631" s="7" t="s">
        <v>1264</v>
      </c>
      <c r="B631" s="7" t="s">
        <v>630</v>
      </c>
      <c r="C631" s="7" t="s">
        <v>1351</v>
      </c>
      <c r="D631" s="7"/>
      <c r="E631" s="8"/>
      <c r="F631" s="8"/>
      <c r="G631" s="8"/>
      <c r="H631" s="8">
        <v>13601239.836916</v>
      </c>
      <c r="I631" s="8">
        <f t="shared" si="102"/>
        <v>13861136.139532229</v>
      </c>
      <c r="J631" s="8">
        <v>243382.474239</v>
      </c>
      <c r="K631" s="8">
        <f t="shared" si="91"/>
        <v>248033.0947658599</v>
      </c>
      <c r="L631" s="8"/>
      <c r="M631" s="8"/>
      <c r="N631" s="8"/>
      <c r="O631" s="8"/>
      <c r="P631" s="8"/>
      <c r="Q631" s="8"/>
      <c r="R631" s="8"/>
      <c r="S631" s="8"/>
      <c r="T631" s="8"/>
      <c r="U631" s="8"/>
      <c r="V631" s="8"/>
      <c r="W631" s="8"/>
      <c r="X631" s="8"/>
      <c r="Y631" s="8"/>
      <c r="Z631" s="15">
        <f t="shared" si="98"/>
        <v>13844622.311154999</v>
      </c>
      <c r="AC631" s="15">
        <f t="shared" si="99"/>
        <v>14109169.23429809</v>
      </c>
      <c r="AF631" s="51"/>
      <c r="AG631" s="8"/>
      <c r="AH631" s="8"/>
      <c r="AI631" s="8"/>
      <c r="AJ631" s="8"/>
      <c r="AK631" s="8"/>
      <c r="AL631" s="8"/>
      <c r="AM631" s="8"/>
      <c r="AN631" s="8">
        <v>17183762.860408</v>
      </c>
      <c r="AO631" s="8">
        <f t="shared" si="103"/>
        <v>14169021.864030197</v>
      </c>
      <c r="AP631" s="8">
        <v>-51418</v>
      </c>
      <c r="AQ631" s="8">
        <f t="shared" si="104"/>
        <v>14117603.864030197</v>
      </c>
      <c r="AR631" s="8">
        <v>351525.990165</v>
      </c>
      <c r="AS631" s="8">
        <f t="shared" si="92"/>
        <v>344609.2674937735</v>
      </c>
      <c r="AT631" s="8"/>
      <c r="AU631" s="8"/>
      <c r="AV631" s="8"/>
      <c r="AW631" s="8"/>
      <c r="AX631" s="8"/>
      <c r="AY631" s="8"/>
      <c r="AZ631" s="8"/>
      <c r="BA631" s="8"/>
      <c r="BB631" s="8"/>
      <c r="BC631" s="8"/>
      <c r="BD631" s="8"/>
      <c r="BE631" s="8"/>
      <c r="BF631" s="8"/>
      <c r="BG631" s="8"/>
      <c r="BH631" s="8">
        <v>240488</v>
      </c>
      <c r="BI631" s="8">
        <v>242013</v>
      </c>
      <c r="BJ631" s="8"/>
      <c r="BK631" s="8">
        <f>BI631</f>
        <v>242013</v>
      </c>
      <c r="BL631" s="8">
        <f>BH631+BK631</f>
        <v>482501</v>
      </c>
      <c r="BM631" s="8"/>
      <c r="BN631" s="8"/>
      <c r="BO631" s="8">
        <v>40559.055212</v>
      </c>
      <c r="BP631" s="8"/>
      <c r="BQ631" s="8">
        <f t="shared" si="89"/>
        <v>18006930.905784998</v>
      </c>
      <c r="BT631" s="8">
        <f t="shared" si="90"/>
        <v>14944714.13152397</v>
      </c>
      <c r="BW631" s="52"/>
      <c r="BX631" s="8">
        <f t="shared" si="87"/>
        <v>31851553.216939997</v>
      </c>
      <c r="BY631" s="8">
        <f t="shared" si="88"/>
        <v>29053883.365822062</v>
      </c>
    </row>
    <row r="632" spans="1:77" ht="12.75">
      <c r="A632" s="7" t="s">
        <v>1265</v>
      </c>
      <c r="B632" s="7" t="s">
        <v>631</v>
      </c>
      <c r="C632" s="7" t="s">
        <v>1351</v>
      </c>
      <c r="D632" s="7"/>
      <c r="E632" s="8"/>
      <c r="F632" s="8"/>
      <c r="G632" s="8"/>
      <c r="H632" s="8">
        <v>29651699.558398</v>
      </c>
      <c r="I632" s="8">
        <f t="shared" si="102"/>
        <v>30218292.54359032</v>
      </c>
      <c r="J632" s="8">
        <v>390063.199749</v>
      </c>
      <c r="K632" s="8">
        <f t="shared" si="91"/>
        <v>397516.636686879</v>
      </c>
      <c r="L632" s="8"/>
      <c r="M632" s="8"/>
      <c r="N632" s="8"/>
      <c r="O632" s="8"/>
      <c r="P632" s="8"/>
      <c r="Q632" s="8"/>
      <c r="R632" s="8"/>
      <c r="S632" s="8"/>
      <c r="T632" s="8"/>
      <c r="U632" s="8"/>
      <c r="V632" s="8"/>
      <c r="W632" s="8"/>
      <c r="X632" s="8"/>
      <c r="Y632" s="8"/>
      <c r="Z632" s="15">
        <f t="shared" si="98"/>
        <v>30041762.758147</v>
      </c>
      <c r="AC632" s="15">
        <f t="shared" si="99"/>
        <v>30615809.1802772</v>
      </c>
      <c r="AF632" s="51"/>
      <c r="AG632" s="8"/>
      <c r="AH632" s="8"/>
      <c r="AI632" s="8"/>
      <c r="AJ632" s="8"/>
      <c r="AK632" s="8"/>
      <c r="AL632" s="8"/>
      <c r="AM632" s="8"/>
      <c r="AN632" s="8">
        <v>37461862.280864</v>
      </c>
      <c r="AO632" s="8">
        <f t="shared" si="103"/>
        <v>30889505.98520115</v>
      </c>
      <c r="AP632" s="8">
        <v>-114144</v>
      </c>
      <c r="AQ632" s="8">
        <f t="shared" si="104"/>
        <v>30775361.98520115</v>
      </c>
      <c r="AR632" s="8">
        <v>563382.194824</v>
      </c>
      <c r="AS632" s="8">
        <f t="shared" si="92"/>
        <v>552296.9308363344</v>
      </c>
      <c r="AT632" s="8"/>
      <c r="AU632" s="8"/>
      <c r="AV632" s="8"/>
      <c r="AW632" s="8"/>
      <c r="AX632" s="8"/>
      <c r="AY632" s="8"/>
      <c r="AZ632" s="8"/>
      <c r="BA632" s="8"/>
      <c r="BB632" s="8"/>
      <c r="BC632" s="8"/>
      <c r="BD632" s="8"/>
      <c r="BE632" s="8"/>
      <c r="BF632" s="8"/>
      <c r="BG632" s="8"/>
      <c r="BH632" s="8"/>
      <c r="BI632" s="8"/>
      <c r="BJ632" s="8"/>
      <c r="BK632" s="8"/>
      <c r="BL632" s="8"/>
      <c r="BM632" s="8"/>
      <c r="BN632" s="8"/>
      <c r="BO632" s="8">
        <v>88010.022014</v>
      </c>
      <c r="BP632" s="8"/>
      <c r="BQ632" s="8">
        <f t="shared" si="89"/>
        <v>37999110.497702</v>
      </c>
      <c r="BT632" s="8">
        <f t="shared" si="90"/>
        <v>31327658.916037485</v>
      </c>
      <c r="BW632" s="52"/>
      <c r="BX632" s="8">
        <f t="shared" si="87"/>
        <v>68040873.255849</v>
      </c>
      <c r="BY632" s="8">
        <f t="shared" si="88"/>
        <v>61943468.09631468</v>
      </c>
    </row>
    <row r="633" spans="1:77" ht="12.75">
      <c r="A633" s="7" t="s">
        <v>1266</v>
      </c>
      <c r="B633" s="7" t="s">
        <v>632</v>
      </c>
      <c r="C633" s="7" t="s">
        <v>1351</v>
      </c>
      <c r="D633" s="7"/>
      <c r="E633" s="8"/>
      <c r="F633" s="8"/>
      <c r="G633" s="8"/>
      <c r="H633" s="8">
        <v>21665750.495122</v>
      </c>
      <c r="I633" s="8">
        <f t="shared" si="102"/>
        <v>22079745.727512866</v>
      </c>
      <c r="J633" s="8">
        <v>364073.024022</v>
      </c>
      <c r="K633" s="8">
        <f t="shared" si="91"/>
        <v>371029.8333982166</v>
      </c>
      <c r="L633" s="8"/>
      <c r="M633" s="8"/>
      <c r="N633" s="8"/>
      <c r="O633" s="8"/>
      <c r="P633" s="8"/>
      <c r="Q633" s="8"/>
      <c r="R633" s="8"/>
      <c r="S633" s="8"/>
      <c r="T633" s="8"/>
      <c r="U633" s="8"/>
      <c r="V633" s="8"/>
      <c r="W633" s="8"/>
      <c r="X633" s="8"/>
      <c r="Y633" s="8"/>
      <c r="Z633" s="15">
        <f t="shared" si="98"/>
        <v>22029823.519144002</v>
      </c>
      <c r="AC633" s="15">
        <f t="shared" si="99"/>
        <v>22450775.56091108</v>
      </c>
      <c r="AF633" s="51"/>
      <c r="AG633" s="8"/>
      <c r="AH633" s="8"/>
      <c r="AI633" s="8"/>
      <c r="AJ633" s="8"/>
      <c r="AK633" s="8"/>
      <c r="AL633" s="8"/>
      <c r="AM633" s="8"/>
      <c r="AN633" s="8">
        <v>27372439.804381</v>
      </c>
      <c r="AO633" s="8">
        <f t="shared" si="103"/>
        <v>22570184.493975043</v>
      </c>
      <c r="AP633" s="8">
        <v>-85971</v>
      </c>
      <c r="AQ633" s="8">
        <f t="shared" si="104"/>
        <v>22484213.493975043</v>
      </c>
      <c r="AR633" s="8">
        <v>525843.656827</v>
      </c>
      <c r="AS633" s="8">
        <f t="shared" si="92"/>
        <v>515497.0115021726</v>
      </c>
      <c r="AT633" s="8"/>
      <c r="AU633" s="8"/>
      <c r="AV633" s="8"/>
      <c r="AW633" s="8"/>
      <c r="AX633" s="8"/>
      <c r="AY633" s="8"/>
      <c r="AZ633" s="8"/>
      <c r="BA633" s="8"/>
      <c r="BB633" s="8"/>
      <c r="BC633" s="8"/>
      <c r="BD633" s="8"/>
      <c r="BE633" s="8"/>
      <c r="BF633" s="8"/>
      <c r="BG633" s="8"/>
      <c r="BH633" s="8"/>
      <c r="BI633" s="8">
        <v>399045</v>
      </c>
      <c r="BJ633" s="8"/>
      <c r="BK633" s="8">
        <f>BI633</f>
        <v>399045</v>
      </c>
      <c r="BL633" s="8">
        <f>BH633+BK633</f>
        <v>399045</v>
      </c>
      <c r="BM633" s="8"/>
      <c r="BN633" s="8"/>
      <c r="BO633" s="8">
        <v>64538.331805</v>
      </c>
      <c r="BP633" s="8"/>
      <c r="BQ633" s="8">
        <f t="shared" si="89"/>
        <v>28275895.793013</v>
      </c>
      <c r="BT633" s="8">
        <f t="shared" si="90"/>
        <v>23398755.505477216</v>
      </c>
      <c r="BW633" s="52"/>
      <c r="BX633" s="8">
        <f t="shared" si="87"/>
        <v>50305719.312157005</v>
      </c>
      <c r="BY633" s="8">
        <f t="shared" si="88"/>
        <v>45849531.066388294</v>
      </c>
    </row>
    <row r="634" spans="1:77" ht="12.75">
      <c r="A634" s="7" t="s">
        <v>1267</v>
      </c>
      <c r="B634" s="7" t="s">
        <v>1316</v>
      </c>
      <c r="C634" s="7" t="s">
        <v>1350</v>
      </c>
      <c r="D634" s="7"/>
      <c r="E634" s="8"/>
      <c r="F634" s="8"/>
      <c r="G634" s="8"/>
      <c r="H634" s="8">
        <v>13739796.339916</v>
      </c>
      <c r="I634" s="8">
        <f t="shared" si="102"/>
        <v>14002340.219022674</v>
      </c>
      <c r="J634" s="8">
        <v>447427.387555</v>
      </c>
      <c r="K634" s="8">
        <f t="shared" si="91"/>
        <v>455976.9554700637</v>
      </c>
      <c r="L634" s="8"/>
      <c r="M634" s="8"/>
      <c r="N634" s="8"/>
      <c r="O634" s="8"/>
      <c r="P634" s="8"/>
      <c r="Q634" s="8"/>
      <c r="R634" s="8"/>
      <c r="S634" s="8"/>
      <c r="T634" s="8"/>
      <c r="U634" s="8"/>
      <c r="V634" s="8"/>
      <c r="W634" s="8"/>
      <c r="X634" s="8"/>
      <c r="Y634" s="8"/>
      <c r="Z634" s="15">
        <f t="shared" si="98"/>
        <v>14187223.727471</v>
      </c>
      <c r="AC634" s="15">
        <f t="shared" si="99"/>
        <v>14458317.17449274</v>
      </c>
      <c r="AF634" s="51"/>
      <c r="AG634" s="8"/>
      <c r="AH634" s="8"/>
      <c r="AI634" s="8"/>
      <c r="AJ634" s="8"/>
      <c r="AK634" s="8"/>
      <c r="AL634" s="8"/>
      <c r="AM634" s="8"/>
      <c r="AN634" s="8">
        <v>17358814.702656</v>
      </c>
      <c r="AO634" s="8">
        <f t="shared" si="103"/>
        <v>14313362.390624953</v>
      </c>
      <c r="AP634" s="8">
        <v>-64080</v>
      </c>
      <c r="AQ634" s="8">
        <f t="shared" si="104"/>
        <v>14249282.390624953</v>
      </c>
      <c r="AR634" s="8">
        <v>646235.337729</v>
      </c>
      <c r="AS634" s="8">
        <f t="shared" si="92"/>
        <v>633519.8323710039</v>
      </c>
      <c r="AT634" s="8"/>
      <c r="AU634" s="8"/>
      <c r="AV634" s="8"/>
      <c r="AW634" s="8"/>
      <c r="AX634" s="8"/>
      <c r="AY634" s="8"/>
      <c r="AZ634" s="8"/>
      <c r="BA634" s="8"/>
      <c r="BB634" s="8"/>
      <c r="BC634" s="8"/>
      <c r="BD634" s="8">
        <v>49696.176471</v>
      </c>
      <c r="BE634" s="8">
        <f>BD634/BD$680*BE$680</f>
        <v>70620.89004638548</v>
      </c>
      <c r="BF634" s="8">
        <v>10462.345556071841</v>
      </c>
      <c r="BG634" s="8">
        <f>BE634+BF634</f>
        <v>81083.23560245732</v>
      </c>
      <c r="BH634" s="8"/>
      <c r="BI634" s="8"/>
      <c r="BJ634" s="8"/>
      <c r="BK634" s="8"/>
      <c r="BL634" s="8"/>
      <c r="BM634" s="8"/>
      <c r="BN634" s="8"/>
      <c r="BO634" s="8">
        <v>41562.736602</v>
      </c>
      <c r="BP634" s="8"/>
      <c r="BQ634" s="8">
        <f t="shared" si="89"/>
        <v>18042691.299014073</v>
      </c>
      <c r="BT634" s="8">
        <f t="shared" si="90"/>
        <v>14963885.458598414</v>
      </c>
      <c r="BW634" s="52"/>
      <c r="BX634" s="8">
        <f t="shared" si="87"/>
        <v>32229915.02648507</v>
      </c>
      <c r="BY634" s="8">
        <f t="shared" si="88"/>
        <v>29422202.63309115</v>
      </c>
    </row>
    <row r="635" spans="1:77" ht="12.75">
      <c r="A635" s="7" t="s">
        <v>1268</v>
      </c>
      <c r="B635" s="7" t="s">
        <v>1293</v>
      </c>
      <c r="C635" s="7" t="s">
        <v>1350</v>
      </c>
      <c r="D635" s="7"/>
      <c r="E635" s="8"/>
      <c r="F635" s="8"/>
      <c r="G635" s="8"/>
      <c r="H635" s="8">
        <v>9487879.319591</v>
      </c>
      <c r="I635" s="8">
        <f t="shared" si="102"/>
        <v>9669176.376653248</v>
      </c>
      <c r="J635" s="8">
        <v>226224.168645</v>
      </c>
      <c r="K635" s="8">
        <f t="shared" si="91"/>
        <v>230546.9234598726</v>
      </c>
      <c r="L635" s="8"/>
      <c r="M635" s="8"/>
      <c r="N635" s="8"/>
      <c r="O635" s="8"/>
      <c r="P635" s="8"/>
      <c r="Q635" s="8"/>
      <c r="R635" s="8"/>
      <c r="S635" s="8"/>
      <c r="T635" s="8"/>
      <c r="U635" s="8"/>
      <c r="V635" s="8"/>
      <c r="W635" s="8"/>
      <c r="X635" s="8"/>
      <c r="Y635" s="8"/>
      <c r="Z635" s="15">
        <f t="shared" si="98"/>
        <v>9714103.488236</v>
      </c>
      <c r="AC635" s="15">
        <f t="shared" si="99"/>
        <v>9899723.300113121</v>
      </c>
      <c r="AF635" s="51"/>
      <c r="AG635" s="8"/>
      <c r="AH635" s="8"/>
      <c r="AI635" s="8"/>
      <c r="AJ635" s="8"/>
      <c r="AK635" s="8"/>
      <c r="AL635" s="8"/>
      <c r="AM635" s="8"/>
      <c r="AN635" s="8">
        <v>11986956.353311</v>
      </c>
      <c r="AO635" s="8">
        <f t="shared" si="103"/>
        <v>9883949.635068847</v>
      </c>
      <c r="AP635" s="8">
        <v>-42091</v>
      </c>
      <c r="AQ635" s="8">
        <f t="shared" si="104"/>
        <v>9841858.635068847</v>
      </c>
      <c r="AR635" s="8">
        <v>326743.637276</v>
      </c>
      <c r="AS635" s="8">
        <f t="shared" si="92"/>
        <v>320314.53903901007</v>
      </c>
      <c r="AT635" s="8"/>
      <c r="AU635" s="8"/>
      <c r="AV635" s="8"/>
      <c r="AW635" s="8"/>
      <c r="AX635" s="8"/>
      <c r="AY635" s="8"/>
      <c r="AZ635" s="8"/>
      <c r="BA635" s="8"/>
      <c r="BB635" s="8"/>
      <c r="BC635" s="8"/>
      <c r="BD635" s="8"/>
      <c r="BE635" s="8"/>
      <c r="BF635" s="8"/>
      <c r="BG635" s="8"/>
      <c r="BH635" s="8"/>
      <c r="BI635" s="8"/>
      <c r="BJ635" s="8"/>
      <c r="BK635" s="8"/>
      <c r="BL635" s="8"/>
      <c r="BM635" s="8"/>
      <c r="BN635" s="8"/>
      <c r="BO635" s="8">
        <v>28458.332113</v>
      </c>
      <c r="BP635" s="8"/>
      <c r="BQ635" s="8">
        <f t="shared" si="89"/>
        <v>12300067.3227</v>
      </c>
      <c r="BT635" s="8">
        <f t="shared" si="90"/>
        <v>10162173.174107857</v>
      </c>
      <c r="BW635" s="52"/>
      <c r="BX635" s="8">
        <f t="shared" si="87"/>
        <v>22014170.810936</v>
      </c>
      <c r="BY635" s="8">
        <f t="shared" si="88"/>
        <v>20061896.474220976</v>
      </c>
    </row>
    <row r="636" spans="1:77" ht="12.75">
      <c r="A636" s="7" t="s">
        <v>1269</v>
      </c>
      <c r="B636" s="7" t="s">
        <v>1294</v>
      </c>
      <c r="C636" s="7" t="s">
        <v>1350</v>
      </c>
      <c r="D636" s="7"/>
      <c r="E636" s="8"/>
      <c r="F636" s="8"/>
      <c r="G636" s="8"/>
      <c r="H636" s="8">
        <v>8229604.015542</v>
      </c>
      <c r="I636" s="8">
        <f t="shared" si="102"/>
        <v>8386857.595456814</v>
      </c>
      <c r="J636" s="8">
        <v>110959.81235</v>
      </c>
      <c r="K636" s="8">
        <f t="shared" si="91"/>
        <v>113080.06354140126</v>
      </c>
      <c r="L636" s="8"/>
      <c r="M636" s="8"/>
      <c r="N636" s="8"/>
      <c r="O636" s="8"/>
      <c r="P636" s="8"/>
      <c r="Q636" s="8"/>
      <c r="R636" s="8"/>
      <c r="S636" s="8"/>
      <c r="T636" s="8"/>
      <c r="U636" s="8"/>
      <c r="V636" s="8"/>
      <c r="W636" s="8"/>
      <c r="X636" s="8"/>
      <c r="Y636" s="8"/>
      <c r="Z636" s="15">
        <f t="shared" si="98"/>
        <v>8340563.827892</v>
      </c>
      <c r="AC636" s="15">
        <f t="shared" si="99"/>
        <v>8499937.658998216</v>
      </c>
      <c r="AF636" s="51"/>
      <c r="AG636" s="8"/>
      <c r="AH636" s="8"/>
      <c r="AI636" s="8"/>
      <c r="AJ636" s="8"/>
      <c r="AK636" s="8"/>
      <c r="AL636" s="8"/>
      <c r="AM636" s="8"/>
      <c r="AN636" s="8">
        <v>10397255.363022</v>
      </c>
      <c r="AO636" s="8">
        <f t="shared" si="103"/>
        <v>8573147.788485372</v>
      </c>
      <c r="AP636" s="8">
        <v>-30163</v>
      </c>
      <c r="AQ636" s="8">
        <f t="shared" si="104"/>
        <v>8542984.788485372</v>
      </c>
      <c r="AR636" s="8">
        <v>160263.215447</v>
      </c>
      <c r="AS636" s="8">
        <f t="shared" si="92"/>
        <v>157109.83206523175</v>
      </c>
      <c r="AT636" s="8"/>
      <c r="AU636" s="8"/>
      <c r="AV636" s="8"/>
      <c r="AW636" s="8"/>
      <c r="AX636" s="8"/>
      <c r="AY636" s="8"/>
      <c r="AZ636" s="8"/>
      <c r="BA636" s="8"/>
      <c r="BB636" s="8"/>
      <c r="BC636" s="8"/>
      <c r="BD636" s="8"/>
      <c r="BE636" s="8"/>
      <c r="BF636" s="8"/>
      <c r="BG636" s="8"/>
      <c r="BH636" s="8"/>
      <c r="BI636" s="8"/>
      <c r="BJ636" s="8"/>
      <c r="BK636" s="8"/>
      <c r="BL636" s="8"/>
      <c r="BM636" s="8"/>
      <c r="BN636" s="8"/>
      <c r="BO636" s="8">
        <v>24434.425237</v>
      </c>
      <c r="BP636" s="8"/>
      <c r="BQ636" s="8">
        <f t="shared" si="89"/>
        <v>10551790.003705999</v>
      </c>
      <c r="BT636" s="8">
        <f t="shared" si="90"/>
        <v>8700094.620550605</v>
      </c>
      <c r="BW636" s="52"/>
      <c r="BX636" s="8">
        <f t="shared" si="87"/>
        <v>18892353.831598</v>
      </c>
      <c r="BY636" s="8">
        <f t="shared" si="88"/>
        <v>17200032.27954882</v>
      </c>
    </row>
    <row r="637" spans="1:77" ht="12.75">
      <c r="A637" s="7" t="s">
        <v>1270</v>
      </c>
      <c r="B637" s="7" t="s">
        <v>1295</v>
      </c>
      <c r="C637" s="7" t="s">
        <v>1350</v>
      </c>
      <c r="D637" s="7"/>
      <c r="E637" s="8"/>
      <c r="F637" s="8"/>
      <c r="G637" s="8"/>
      <c r="H637" s="8">
        <v>11156653.956961</v>
      </c>
      <c r="I637" s="8">
        <f t="shared" si="102"/>
        <v>11369838.427476179</v>
      </c>
      <c r="J637" s="8">
        <v>228658.482123</v>
      </c>
      <c r="K637" s="8">
        <f t="shared" si="91"/>
        <v>233027.75248203822</v>
      </c>
      <c r="L637" s="8"/>
      <c r="M637" s="8"/>
      <c r="N637" s="8"/>
      <c r="O637" s="8"/>
      <c r="P637" s="8"/>
      <c r="Q637" s="8"/>
      <c r="R637" s="8"/>
      <c r="S637" s="8"/>
      <c r="T637" s="8"/>
      <c r="U637" s="8"/>
      <c r="V637" s="8"/>
      <c r="W637" s="8"/>
      <c r="X637" s="8"/>
      <c r="Y637" s="8"/>
      <c r="Z637" s="15">
        <f t="shared" si="98"/>
        <v>11385312.439084</v>
      </c>
      <c r="AC637" s="15">
        <f t="shared" si="99"/>
        <v>11602866.179958217</v>
      </c>
      <c r="AF637" s="51"/>
      <c r="AG637" s="8"/>
      <c r="AH637" s="8"/>
      <c r="AI637" s="8"/>
      <c r="AJ637" s="8"/>
      <c r="AK637" s="8"/>
      <c r="AL637" s="8"/>
      <c r="AM637" s="8"/>
      <c r="AN637" s="8">
        <v>14095280.886946</v>
      </c>
      <c r="AO637" s="8">
        <f t="shared" si="103"/>
        <v>11622387.057431895</v>
      </c>
      <c r="AP637" s="8">
        <v>-47488</v>
      </c>
      <c r="AQ637" s="8">
        <f t="shared" si="104"/>
        <v>11574899.057431895</v>
      </c>
      <c r="AR637" s="8">
        <v>330259.603077</v>
      </c>
      <c r="AS637" s="8">
        <f t="shared" si="92"/>
        <v>323761.32372382685</v>
      </c>
      <c r="AT637" s="8"/>
      <c r="AU637" s="8"/>
      <c r="AV637" s="8"/>
      <c r="AW637" s="8"/>
      <c r="AX637" s="8"/>
      <c r="AY637" s="8"/>
      <c r="AZ637" s="8"/>
      <c r="BA637" s="8"/>
      <c r="BB637" s="8"/>
      <c r="BC637" s="8"/>
      <c r="BD637" s="8"/>
      <c r="BE637" s="8"/>
      <c r="BF637" s="8"/>
      <c r="BG637" s="8"/>
      <c r="BH637" s="8">
        <v>225222</v>
      </c>
      <c r="BI637" s="8">
        <v>221674</v>
      </c>
      <c r="BJ637" s="8"/>
      <c r="BK637" s="8">
        <f>BI637</f>
        <v>221674</v>
      </c>
      <c r="BL637" s="8">
        <f>BH637+BK637</f>
        <v>446896</v>
      </c>
      <c r="BM637" s="8"/>
      <c r="BN637" s="8"/>
      <c r="BO637" s="8">
        <v>33354.287712</v>
      </c>
      <c r="BP637" s="8"/>
      <c r="BQ637" s="8">
        <f t="shared" si="89"/>
        <v>14858302.777735</v>
      </c>
      <c r="BT637" s="8">
        <f t="shared" si="90"/>
        <v>12345556.381155722</v>
      </c>
      <c r="BW637" s="52"/>
      <c r="BX637" s="8">
        <f t="shared" si="87"/>
        <v>26243615.216819003</v>
      </c>
      <c r="BY637" s="8">
        <f t="shared" si="88"/>
        <v>23948422.56111394</v>
      </c>
    </row>
    <row r="638" spans="1:77" ht="12.75">
      <c r="A638" s="7" t="s">
        <v>1271</v>
      </c>
      <c r="B638" s="7" t="s">
        <v>1296</v>
      </c>
      <c r="C638" s="7" t="s">
        <v>1350</v>
      </c>
      <c r="D638" s="7"/>
      <c r="E638" s="8"/>
      <c r="F638" s="8"/>
      <c r="G638" s="8"/>
      <c r="H638" s="8">
        <v>5291946.438784</v>
      </c>
      <c r="I638" s="8">
        <f t="shared" si="102"/>
        <v>5393066.434429554</v>
      </c>
      <c r="J638" s="8">
        <v>189454.50909</v>
      </c>
      <c r="K638" s="8">
        <f t="shared" si="91"/>
        <v>193074.65894522294</v>
      </c>
      <c r="L638" s="8"/>
      <c r="M638" s="8"/>
      <c r="N638" s="8"/>
      <c r="O638" s="8"/>
      <c r="P638" s="8"/>
      <c r="Q638" s="8"/>
      <c r="R638" s="8"/>
      <c r="S638" s="8"/>
      <c r="T638" s="8"/>
      <c r="U638" s="8"/>
      <c r="V638" s="8"/>
      <c r="W638" s="8"/>
      <c r="X638" s="8"/>
      <c r="Y638" s="8"/>
      <c r="Z638" s="15">
        <f t="shared" si="98"/>
        <v>5481400.947874</v>
      </c>
      <c r="AC638" s="15">
        <f t="shared" si="99"/>
        <v>5586141.093374778</v>
      </c>
      <c r="AF638" s="51"/>
      <c r="AG638" s="8"/>
      <c r="AH638" s="8"/>
      <c r="AI638" s="8"/>
      <c r="AJ638" s="8"/>
      <c r="AK638" s="8"/>
      <c r="AL638" s="8"/>
      <c r="AM638" s="8"/>
      <c r="AN638" s="8">
        <v>6685828.186577</v>
      </c>
      <c r="AO638" s="8">
        <f t="shared" si="103"/>
        <v>5512858.0698133325</v>
      </c>
      <c r="AP638" s="8">
        <v>-31090</v>
      </c>
      <c r="AQ638" s="8">
        <f t="shared" si="104"/>
        <v>5481768.0698133325</v>
      </c>
      <c r="AR638" s="8">
        <v>273635.906231</v>
      </c>
      <c r="AS638" s="8">
        <f t="shared" si="92"/>
        <v>268251.7704082086</v>
      </c>
      <c r="AT638" s="8"/>
      <c r="AU638" s="8"/>
      <c r="AV638" s="8"/>
      <c r="AW638" s="8"/>
      <c r="AX638" s="8"/>
      <c r="AY638" s="8"/>
      <c r="AZ638" s="8"/>
      <c r="BA638" s="8"/>
      <c r="BB638" s="8"/>
      <c r="BC638" s="8"/>
      <c r="BD638" s="8">
        <v>60360.764706</v>
      </c>
      <c r="BE638" s="8">
        <f>BD638/BD$680*BE$680</f>
        <v>85775.83287329301</v>
      </c>
      <c r="BF638" s="8">
        <v>12707.520441767494</v>
      </c>
      <c r="BG638" s="8">
        <f>BE638+BF638</f>
        <v>98483.3533150605</v>
      </c>
      <c r="BH638" s="8">
        <v>188095</v>
      </c>
      <c r="BI638" s="8"/>
      <c r="BJ638" s="8"/>
      <c r="BK638" s="8"/>
      <c r="BL638" s="8">
        <f>BH638+BK638</f>
        <v>188095</v>
      </c>
      <c r="BM638" s="8"/>
      <c r="BN638" s="8"/>
      <c r="BO638" s="8">
        <v>16058.252706</v>
      </c>
      <c r="BP638" s="8"/>
      <c r="BQ638" s="8">
        <f t="shared" si="89"/>
        <v>7205595.630661767</v>
      </c>
      <c r="BT638" s="8">
        <f t="shared" si="90"/>
        <v>6036598.193536602</v>
      </c>
      <c r="BW638" s="52"/>
      <c r="BX638" s="8">
        <f t="shared" si="87"/>
        <v>12686996.578535767</v>
      </c>
      <c r="BY638" s="8">
        <f t="shared" si="88"/>
        <v>11622739.28691138</v>
      </c>
    </row>
    <row r="639" spans="1:77" ht="12.75">
      <c r="A639" s="7" t="s">
        <v>1272</v>
      </c>
      <c r="B639" s="7" t="s">
        <v>1297</v>
      </c>
      <c r="C639" s="7" t="s">
        <v>1350</v>
      </c>
      <c r="D639" s="7"/>
      <c r="E639" s="8"/>
      <c r="F639" s="8"/>
      <c r="G639" s="8"/>
      <c r="H639" s="8">
        <v>5117762.306368</v>
      </c>
      <c r="I639" s="8">
        <f t="shared" si="102"/>
        <v>5215553.942795414</v>
      </c>
      <c r="J639" s="8">
        <v>174163.583</v>
      </c>
      <c r="K639" s="8">
        <f t="shared" si="91"/>
        <v>177491.54955414013</v>
      </c>
      <c r="L639" s="8"/>
      <c r="M639" s="8"/>
      <c r="N639" s="8"/>
      <c r="O639" s="8"/>
      <c r="P639" s="8"/>
      <c r="Q639" s="8"/>
      <c r="R639" s="8"/>
      <c r="S639" s="8"/>
      <c r="T639" s="8"/>
      <c r="U639" s="8"/>
      <c r="V639" s="8"/>
      <c r="W639" s="8"/>
      <c r="X639" s="8"/>
      <c r="Y639" s="8"/>
      <c r="Z639" s="15">
        <f t="shared" si="98"/>
        <v>5291925.8893679995</v>
      </c>
      <c r="AC639" s="15">
        <f t="shared" si="99"/>
        <v>5393045.492349554</v>
      </c>
      <c r="AF639" s="51"/>
      <c r="AG639" s="8"/>
      <c r="AH639" s="8"/>
      <c r="AI639" s="8"/>
      <c r="AJ639" s="8"/>
      <c r="AK639" s="8"/>
      <c r="AL639" s="8"/>
      <c r="AM639" s="8"/>
      <c r="AN639" s="8">
        <v>6465764.511399</v>
      </c>
      <c r="AO639" s="8">
        <f t="shared" si="103"/>
        <v>5331402.642942882</v>
      </c>
      <c r="AP639" s="8">
        <v>-25187</v>
      </c>
      <c r="AQ639" s="8">
        <f t="shared" si="104"/>
        <v>5306215.642942882</v>
      </c>
      <c r="AR639" s="8">
        <v>251550.676178</v>
      </c>
      <c r="AS639" s="8">
        <f t="shared" si="92"/>
        <v>246601.09545406527</v>
      </c>
      <c r="AT639" s="8"/>
      <c r="AU639" s="8"/>
      <c r="AV639" s="8"/>
      <c r="AW639" s="8"/>
      <c r="AX639" s="8"/>
      <c r="AY639" s="8"/>
      <c r="AZ639" s="8"/>
      <c r="BA639" s="8"/>
      <c r="BB639" s="8"/>
      <c r="BC639" s="8"/>
      <c r="BD639" s="8"/>
      <c r="BE639" s="8"/>
      <c r="BF639" s="8"/>
      <c r="BG639" s="8"/>
      <c r="BH639" s="8"/>
      <c r="BI639" s="8"/>
      <c r="BJ639" s="8"/>
      <c r="BK639" s="8"/>
      <c r="BL639" s="8"/>
      <c r="BM639" s="8"/>
      <c r="BN639" s="8"/>
      <c r="BO639" s="8">
        <v>15503.168631</v>
      </c>
      <c r="BP639" s="8"/>
      <c r="BQ639" s="8">
        <f t="shared" si="89"/>
        <v>6707631.356208</v>
      </c>
      <c r="BT639" s="8">
        <f t="shared" si="90"/>
        <v>5552816.738396947</v>
      </c>
      <c r="BW639" s="52"/>
      <c r="BX639" s="8">
        <f t="shared" si="87"/>
        <v>11999557.245576</v>
      </c>
      <c r="BY639" s="8">
        <f t="shared" si="88"/>
        <v>10945862.2307465</v>
      </c>
    </row>
    <row r="640" spans="1:77" ht="12.75">
      <c r="A640" s="7" t="s">
        <v>1273</v>
      </c>
      <c r="B640" s="7" t="s">
        <v>1298</v>
      </c>
      <c r="C640" s="7" t="s">
        <v>1350</v>
      </c>
      <c r="D640" s="7"/>
      <c r="E640" s="8"/>
      <c r="F640" s="8"/>
      <c r="G640" s="8"/>
      <c r="H640" s="8">
        <v>4404010.009676</v>
      </c>
      <c r="I640" s="8">
        <f t="shared" si="102"/>
        <v>4488163.067185733</v>
      </c>
      <c r="J640" s="8">
        <v>178670.137901</v>
      </c>
      <c r="K640" s="8">
        <f t="shared" si="91"/>
        <v>182084.21696917198</v>
      </c>
      <c r="L640" s="8"/>
      <c r="M640" s="8"/>
      <c r="N640" s="8"/>
      <c r="O640" s="8"/>
      <c r="P640" s="8"/>
      <c r="Q640" s="8"/>
      <c r="R640" s="8"/>
      <c r="S640" s="8"/>
      <c r="T640" s="8"/>
      <c r="U640" s="8"/>
      <c r="V640" s="8"/>
      <c r="W640" s="8"/>
      <c r="X640" s="8"/>
      <c r="Y640" s="8"/>
      <c r="Z640" s="15">
        <f t="shared" si="98"/>
        <v>4582680.147577</v>
      </c>
      <c r="AC640" s="15">
        <f t="shared" si="99"/>
        <v>4670247.284154904</v>
      </c>
      <c r="AF640" s="51"/>
      <c r="AG640" s="8"/>
      <c r="AH640" s="8"/>
      <c r="AI640" s="8"/>
      <c r="AJ640" s="8"/>
      <c r="AK640" s="8"/>
      <c r="AL640" s="8"/>
      <c r="AM640" s="8"/>
      <c r="AN640" s="8">
        <v>5564012.145108</v>
      </c>
      <c r="AO640" s="8">
        <f t="shared" si="103"/>
        <v>4587854.8474040665</v>
      </c>
      <c r="AP640" s="8">
        <v>-28785</v>
      </c>
      <c r="AQ640" s="8">
        <f t="shared" si="104"/>
        <v>4559069.8474040665</v>
      </c>
      <c r="AR640" s="8">
        <v>258059.654191</v>
      </c>
      <c r="AS640" s="8">
        <f t="shared" si="92"/>
        <v>252982.00101424922</v>
      </c>
      <c r="AT640" s="8"/>
      <c r="AU640" s="8"/>
      <c r="AV640" s="8"/>
      <c r="AW640" s="8"/>
      <c r="AX640" s="8"/>
      <c r="AY640" s="8"/>
      <c r="AZ640" s="8"/>
      <c r="BA640" s="8"/>
      <c r="BB640" s="8"/>
      <c r="BC640" s="8"/>
      <c r="BD640" s="8"/>
      <c r="BE640" s="8"/>
      <c r="BF640" s="8"/>
      <c r="BG640" s="8"/>
      <c r="BH640" s="8">
        <v>177300</v>
      </c>
      <c r="BI640" s="8">
        <v>180814</v>
      </c>
      <c r="BJ640" s="8"/>
      <c r="BK640" s="8">
        <f>BI640</f>
        <v>180814</v>
      </c>
      <c r="BL640" s="8">
        <f>BH640+BK640</f>
        <v>358114</v>
      </c>
      <c r="BM640" s="8"/>
      <c r="BN640" s="8"/>
      <c r="BO640" s="8">
        <v>13425.370006</v>
      </c>
      <c r="BP640" s="8"/>
      <c r="BQ640" s="8">
        <f t="shared" si="89"/>
        <v>6164826.169305</v>
      </c>
      <c r="BT640" s="8">
        <f t="shared" si="90"/>
        <v>5170165.848418316</v>
      </c>
      <c r="BW640" s="52"/>
      <c r="BX640" s="8">
        <f t="shared" si="87"/>
        <v>10747506.316882</v>
      </c>
      <c r="BY640" s="8">
        <f t="shared" si="88"/>
        <v>9840413.13257322</v>
      </c>
    </row>
    <row r="641" spans="1:77" ht="12.75">
      <c r="A641" s="7" t="s">
        <v>1274</v>
      </c>
      <c r="B641" s="7" t="s">
        <v>1299</v>
      </c>
      <c r="C641" s="7" t="s">
        <v>1350</v>
      </c>
      <c r="D641" s="7"/>
      <c r="E641" s="8"/>
      <c r="F641" s="8"/>
      <c r="G641" s="8"/>
      <c r="H641" s="8">
        <v>7774202.80971</v>
      </c>
      <c r="I641" s="8">
        <f t="shared" si="102"/>
        <v>7922754.4557554135</v>
      </c>
      <c r="J641" s="8">
        <v>226222.539524</v>
      </c>
      <c r="K641" s="8">
        <f t="shared" si="91"/>
        <v>230545.26320917197</v>
      </c>
      <c r="L641" s="8"/>
      <c r="M641" s="8"/>
      <c r="N641" s="8"/>
      <c r="O641" s="8"/>
      <c r="P641" s="8"/>
      <c r="Q641" s="8"/>
      <c r="R641" s="8"/>
      <c r="S641" s="8"/>
      <c r="T641" s="8"/>
      <c r="U641" s="8"/>
      <c r="V641" s="8"/>
      <c r="W641" s="8"/>
      <c r="X641" s="8"/>
      <c r="Y641" s="8"/>
      <c r="Z641" s="15">
        <f t="shared" si="98"/>
        <v>8000425.349234</v>
      </c>
      <c r="AC641" s="15">
        <f t="shared" si="99"/>
        <v>8153299.718964585</v>
      </c>
      <c r="AF641" s="51"/>
      <c r="AG641" s="8"/>
      <c r="AH641" s="8"/>
      <c r="AI641" s="8"/>
      <c r="AJ641" s="8"/>
      <c r="AK641" s="8"/>
      <c r="AL641" s="8"/>
      <c r="AM641" s="8"/>
      <c r="AN641" s="8">
        <v>9821902.937715</v>
      </c>
      <c r="AO641" s="8">
        <f t="shared" si="103"/>
        <v>8098735.9172368115</v>
      </c>
      <c r="AP641" s="8">
        <v>-32568</v>
      </c>
      <c r="AQ641" s="8">
        <f t="shared" si="104"/>
        <v>8066167.9172368115</v>
      </c>
      <c r="AR641" s="8">
        <v>326741.284279</v>
      </c>
      <c r="AS641" s="8">
        <f t="shared" si="92"/>
        <v>320312.23234023026</v>
      </c>
      <c r="AT641" s="8"/>
      <c r="AU641" s="8"/>
      <c r="AV641" s="8"/>
      <c r="AW641" s="8"/>
      <c r="AX641" s="8"/>
      <c r="AY641" s="8"/>
      <c r="AZ641" s="8"/>
      <c r="BA641" s="8"/>
      <c r="BB641" s="8"/>
      <c r="BC641" s="8"/>
      <c r="BD641" s="8"/>
      <c r="BE641" s="8"/>
      <c r="BF641" s="8"/>
      <c r="BG641" s="8"/>
      <c r="BH641" s="8">
        <v>223787</v>
      </c>
      <c r="BI641" s="8"/>
      <c r="BJ641" s="8"/>
      <c r="BK641" s="8"/>
      <c r="BL641" s="8">
        <f>BH641+BK641</f>
        <v>223787</v>
      </c>
      <c r="BM641" s="8"/>
      <c r="BN641" s="8"/>
      <c r="BO641" s="8">
        <v>23437.959243</v>
      </c>
      <c r="BP641" s="8"/>
      <c r="BQ641" s="8">
        <f t="shared" si="89"/>
        <v>10363301.181237</v>
      </c>
      <c r="BT641" s="8">
        <f t="shared" si="90"/>
        <v>8610267.149577042</v>
      </c>
      <c r="BW641" s="52"/>
      <c r="BX641" s="8">
        <f t="shared" si="87"/>
        <v>18363726.530470997</v>
      </c>
      <c r="BY641" s="8">
        <f t="shared" si="88"/>
        <v>16763566.868541628</v>
      </c>
    </row>
    <row r="642" spans="1:77" ht="12.75">
      <c r="A642" s="7" t="s">
        <v>1275</v>
      </c>
      <c r="B642" s="7" t="s">
        <v>1300</v>
      </c>
      <c r="C642" s="7" t="s">
        <v>1350</v>
      </c>
      <c r="D642" s="7"/>
      <c r="E642" s="8"/>
      <c r="F642" s="8"/>
      <c r="G642" s="8"/>
      <c r="H642" s="8">
        <v>4914125.640306</v>
      </c>
      <c r="I642" s="8">
        <f t="shared" si="102"/>
        <v>5008026.130248153</v>
      </c>
      <c r="J642" s="8">
        <v>181805.380524</v>
      </c>
      <c r="K642" s="8">
        <f t="shared" si="91"/>
        <v>185279.368686879</v>
      </c>
      <c r="L642" s="8"/>
      <c r="M642" s="8"/>
      <c r="N642" s="8"/>
      <c r="O642" s="8"/>
      <c r="P642" s="8"/>
      <c r="Q642" s="8"/>
      <c r="R642" s="8"/>
      <c r="S642" s="8"/>
      <c r="T642" s="8"/>
      <c r="U642" s="8"/>
      <c r="V642" s="8"/>
      <c r="W642" s="8"/>
      <c r="X642" s="8"/>
      <c r="Y642" s="8"/>
      <c r="Z642" s="15">
        <f t="shared" si="98"/>
        <v>5095931.02083</v>
      </c>
      <c r="AC642" s="15">
        <f t="shared" si="99"/>
        <v>5193305.498935032</v>
      </c>
      <c r="AF642" s="51"/>
      <c r="AG642" s="8"/>
      <c r="AH642" s="8"/>
      <c r="AI642" s="8"/>
      <c r="AJ642" s="8"/>
      <c r="AK642" s="8"/>
      <c r="AL642" s="8"/>
      <c r="AM642" s="8"/>
      <c r="AN642" s="8">
        <v>6208490.599517</v>
      </c>
      <c r="AO642" s="8">
        <f t="shared" si="103"/>
        <v>5119265.190156008</v>
      </c>
      <c r="AP642" s="8">
        <v>-27403</v>
      </c>
      <c r="AQ642" s="8">
        <f t="shared" si="104"/>
        <v>5091862.190156008</v>
      </c>
      <c r="AR642" s="8">
        <v>262587.996961</v>
      </c>
      <c r="AS642" s="8">
        <f t="shared" si="92"/>
        <v>257421.2428586373</v>
      </c>
      <c r="AT642" s="8"/>
      <c r="AU642" s="8"/>
      <c r="AV642" s="8"/>
      <c r="AW642" s="8"/>
      <c r="AX642" s="8"/>
      <c r="AY642" s="8"/>
      <c r="AZ642" s="8"/>
      <c r="BA642" s="8"/>
      <c r="BB642" s="8"/>
      <c r="BC642" s="8"/>
      <c r="BD642" s="8"/>
      <c r="BE642" s="8"/>
      <c r="BF642" s="8"/>
      <c r="BG642" s="8"/>
      <c r="BH642" s="8"/>
      <c r="BI642" s="8"/>
      <c r="BJ642" s="8"/>
      <c r="BK642" s="8"/>
      <c r="BL642" s="8"/>
      <c r="BM642" s="8"/>
      <c r="BN642" s="8"/>
      <c r="BO642" s="8">
        <v>14928.984192</v>
      </c>
      <c r="BP642" s="8"/>
      <c r="BQ642" s="8">
        <f t="shared" si="89"/>
        <v>6458604.58067</v>
      </c>
      <c r="BT642" s="8">
        <f t="shared" si="90"/>
        <v>5349283.433014645</v>
      </c>
      <c r="BW642" s="52"/>
      <c r="BX642" s="8">
        <f aca="true" t="shared" si="105" ref="BX642:BX659">Z642+BQ642</f>
        <v>11554535.6015</v>
      </c>
      <c r="BY642" s="8">
        <f aca="true" t="shared" si="106" ref="BY642:BY659">AC642+BT642</f>
        <v>10542588.931949677</v>
      </c>
    </row>
    <row r="643" spans="1:77" ht="12.75">
      <c r="A643" s="7" t="s">
        <v>1276</v>
      </c>
      <c r="B643" s="7" t="s">
        <v>1301</v>
      </c>
      <c r="C643" s="7" t="s">
        <v>1350</v>
      </c>
      <c r="D643" s="7"/>
      <c r="E643" s="8"/>
      <c r="F643" s="8"/>
      <c r="G643" s="8"/>
      <c r="H643" s="8">
        <v>6173961.285464</v>
      </c>
      <c r="I643" s="8">
        <f t="shared" si="102"/>
        <v>6291935.06798879</v>
      </c>
      <c r="J643" s="8">
        <v>169766.993741</v>
      </c>
      <c r="K643" s="8">
        <f t="shared" si="91"/>
        <v>173010.94903541403</v>
      </c>
      <c r="L643" s="8"/>
      <c r="M643" s="8"/>
      <c r="N643" s="8"/>
      <c r="O643" s="8"/>
      <c r="P643" s="8"/>
      <c r="Q643" s="8"/>
      <c r="R643" s="8"/>
      <c r="S643" s="8"/>
      <c r="T643" s="8"/>
      <c r="U643" s="8"/>
      <c r="V643" s="8"/>
      <c r="W643" s="8"/>
      <c r="X643" s="8"/>
      <c r="Y643" s="8"/>
      <c r="Z643" s="15">
        <f t="shared" si="98"/>
        <v>6343728.279205</v>
      </c>
      <c r="AC643" s="15">
        <f t="shared" si="99"/>
        <v>6464946.017024204</v>
      </c>
      <c r="AF643" s="51"/>
      <c r="AG643" s="8"/>
      <c r="AH643" s="8"/>
      <c r="AI643" s="8"/>
      <c r="AJ643" s="8"/>
      <c r="AK643" s="8"/>
      <c r="AL643" s="8"/>
      <c r="AM643" s="8"/>
      <c r="AN643" s="8">
        <v>7800162.919766</v>
      </c>
      <c r="AO643" s="8">
        <f t="shared" si="103"/>
        <v>6431692.514088729</v>
      </c>
      <c r="AP643" s="8">
        <v>-28492</v>
      </c>
      <c r="AQ643" s="8">
        <f t="shared" si="104"/>
        <v>6403200.514088729</v>
      </c>
      <c r="AR643" s="8">
        <v>245200.525464</v>
      </c>
      <c r="AS643" s="8">
        <f t="shared" si="92"/>
        <v>240375.89206298903</v>
      </c>
      <c r="AT643" s="8"/>
      <c r="AU643" s="8"/>
      <c r="AV643" s="8"/>
      <c r="AW643" s="8"/>
      <c r="AX643" s="8"/>
      <c r="AY643" s="8"/>
      <c r="AZ643" s="8"/>
      <c r="BA643" s="8"/>
      <c r="BB643" s="8"/>
      <c r="BC643" s="8"/>
      <c r="BD643" s="8"/>
      <c r="BE643" s="8"/>
      <c r="BF643" s="8"/>
      <c r="BG643" s="8"/>
      <c r="BH643" s="8">
        <v>174288</v>
      </c>
      <c r="BI643" s="8"/>
      <c r="BJ643" s="8"/>
      <c r="BK643" s="8"/>
      <c r="BL643" s="8">
        <f>BH643+BK643</f>
        <v>174288</v>
      </c>
      <c r="BM643" s="8"/>
      <c r="BN643" s="8"/>
      <c r="BO643" s="8">
        <v>18584.517493</v>
      </c>
      <c r="BP643" s="8"/>
      <c r="BQ643" s="8">
        <f t="shared" si="89"/>
        <v>8209743.962723</v>
      </c>
      <c r="BT643" s="8">
        <f t="shared" si="90"/>
        <v>6817864.406151718</v>
      </c>
      <c r="BW643" s="52"/>
      <c r="BX643" s="8">
        <f t="shared" si="105"/>
        <v>14553472.241928</v>
      </c>
      <c r="BY643" s="8">
        <f t="shared" si="106"/>
        <v>13282810.423175924</v>
      </c>
    </row>
    <row r="644" spans="1:77" ht="12.75">
      <c r="A644" s="7" t="s">
        <v>1277</v>
      </c>
      <c r="B644" s="7" t="s">
        <v>1302</v>
      </c>
      <c r="C644" s="7" t="s">
        <v>1350</v>
      </c>
      <c r="D644" s="7"/>
      <c r="E644" s="8"/>
      <c r="F644" s="8"/>
      <c r="G644" s="8"/>
      <c r="H644" s="8">
        <v>6663034.561098</v>
      </c>
      <c r="I644" s="8">
        <f t="shared" si="102"/>
        <v>6790353.692838727</v>
      </c>
      <c r="J644" s="8">
        <v>251233.613762</v>
      </c>
      <c r="K644" s="8">
        <f t="shared" si="91"/>
        <v>256034.2560631847</v>
      </c>
      <c r="L644" s="8"/>
      <c r="M644" s="8"/>
      <c r="N644" s="8"/>
      <c r="O644" s="8"/>
      <c r="P644" s="8"/>
      <c r="Q644" s="8"/>
      <c r="R644" s="8"/>
      <c r="S644" s="8"/>
      <c r="T644" s="8"/>
      <c r="U644" s="8"/>
      <c r="V644" s="8"/>
      <c r="W644" s="8"/>
      <c r="X644" s="8"/>
      <c r="Y644" s="8"/>
      <c r="Z644" s="15">
        <f t="shared" si="98"/>
        <v>6914268.17486</v>
      </c>
      <c r="AC644" s="15">
        <f t="shared" si="99"/>
        <v>7046387.948901911</v>
      </c>
      <c r="AF644" s="51"/>
      <c r="AG644" s="8"/>
      <c r="AH644" s="8"/>
      <c r="AI644" s="8"/>
      <c r="AJ644" s="8"/>
      <c r="AK644" s="8"/>
      <c r="AL644" s="8"/>
      <c r="AM644" s="8"/>
      <c r="AN644" s="8">
        <v>8418056.530247</v>
      </c>
      <c r="AO644" s="8">
        <f t="shared" si="103"/>
        <v>6941182.091410677</v>
      </c>
      <c r="AP644" s="8">
        <v>-32463</v>
      </c>
      <c r="AQ644" s="8">
        <f t="shared" si="104"/>
        <v>6908719.091410677</v>
      </c>
      <c r="AR644" s="8">
        <v>362865.671066</v>
      </c>
      <c r="AS644" s="8">
        <f t="shared" si="92"/>
        <v>355725.82569498214</v>
      </c>
      <c r="AT644" s="8"/>
      <c r="AU644" s="8"/>
      <c r="AV644" s="8"/>
      <c r="AW644" s="8"/>
      <c r="AX644" s="8"/>
      <c r="AY644" s="8"/>
      <c r="AZ644" s="8"/>
      <c r="BA644" s="8"/>
      <c r="BB644" s="8"/>
      <c r="BC644" s="8"/>
      <c r="BD644" s="8"/>
      <c r="BE644" s="8"/>
      <c r="BF644" s="8"/>
      <c r="BG644" s="8"/>
      <c r="BH644" s="8">
        <v>249930</v>
      </c>
      <c r="BI644" s="8"/>
      <c r="BJ644" s="8"/>
      <c r="BK644" s="8"/>
      <c r="BL644" s="8">
        <f>BH644+BK644</f>
        <v>249930</v>
      </c>
      <c r="BM644" s="8"/>
      <c r="BN644" s="8"/>
      <c r="BO644" s="8">
        <v>20255.964977</v>
      </c>
      <c r="BP644" s="8"/>
      <c r="BQ644" s="8">
        <f t="shared" si="89"/>
        <v>9018645.166289998</v>
      </c>
      <c r="BT644" s="8">
        <f t="shared" si="90"/>
        <v>7514374.917105659</v>
      </c>
      <c r="BW644" s="52"/>
      <c r="BX644" s="8">
        <f t="shared" si="105"/>
        <v>15932913.341149997</v>
      </c>
      <c r="BY644" s="8">
        <f t="shared" si="106"/>
        <v>14560762.86600757</v>
      </c>
    </row>
    <row r="645" spans="1:77" ht="12.75">
      <c r="A645" s="7" t="s">
        <v>1278</v>
      </c>
      <c r="B645" s="7" t="s">
        <v>1303</v>
      </c>
      <c r="C645" s="7" t="s">
        <v>1350</v>
      </c>
      <c r="D645" s="7"/>
      <c r="E645" s="8"/>
      <c r="F645" s="8"/>
      <c r="G645" s="8"/>
      <c r="H645" s="8">
        <v>12577409.007417</v>
      </c>
      <c r="I645" s="8">
        <f t="shared" si="102"/>
        <v>12817741.663609682</v>
      </c>
      <c r="J645" s="8">
        <v>396089.724183</v>
      </c>
      <c r="K645" s="8">
        <f t="shared" si="91"/>
        <v>403658.3176387261</v>
      </c>
      <c r="L645" s="8"/>
      <c r="M645" s="8"/>
      <c r="N645" s="8"/>
      <c r="O645" s="8"/>
      <c r="P645" s="8"/>
      <c r="Q645" s="8"/>
      <c r="R645" s="8"/>
      <c r="S645" s="8"/>
      <c r="T645" s="8"/>
      <c r="U645" s="8"/>
      <c r="V645" s="8"/>
      <c r="W645" s="8"/>
      <c r="X645" s="8"/>
      <c r="Y645" s="8"/>
      <c r="Z645" s="15">
        <f t="shared" si="98"/>
        <v>12973498.731600001</v>
      </c>
      <c r="AC645" s="15">
        <f t="shared" si="99"/>
        <v>13221399.981248409</v>
      </c>
      <c r="AF645" s="51"/>
      <c r="AG645" s="8"/>
      <c r="AH645" s="8"/>
      <c r="AI645" s="8"/>
      <c r="AJ645" s="8"/>
      <c r="AK645" s="8"/>
      <c r="AL645" s="8"/>
      <c r="AM645" s="8"/>
      <c r="AN645" s="8">
        <v>15890258.268602</v>
      </c>
      <c r="AO645" s="8">
        <f t="shared" si="103"/>
        <v>13102451.346768793</v>
      </c>
      <c r="AP645" s="8">
        <v>-63128</v>
      </c>
      <c r="AQ645" s="8">
        <f t="shared" si="104"/>
        <v>13039323.346768793</v>
      </c>
      <c r="AR645" s="8">
        <v>572086.51906</v>
      </c>
      <c r="AS645" s="8">
        <f t="shared" si="92"/>
        <v>560829.986379648</v>
      </c>
      <c r="AT645" s="8"/>
      <c r="AU645" s="8"/>
      <c r="AV645" s="8"/>
      <c r="AW645" s="8"/>
      <c r="AX645" s="8"/>
      <c r="AY645" s="8"/>
      <c r="AZ645" s="8"/>
      <c r="BA645" s="8"/>
      <c r="BB645" s="8"/>
      <c r="BC645" s="8"/>
      <c r="BD645" s="8"/>
      <c r="BE645" s="8"/>
      <c r="BF645" s="8"/>
      <c r="BG645" s="8"/>
      <c r="BH645" s="8">
        <v>395063</v>
      </c>
      <c r="BI645" s="8">
        <v>399906</v>
      </c>
      <c r="BJ645" s="8"/>
      <c r="BK645" s="8">
        <f>BI645</f>
        <v>399906</v>
      </c>
      <c r="BL645" s="8">
        <f>BH645+BK645</f>
        <v>794969</v>
      </c>
      <c r="BM645" s="8"/>
      <c r="BN645" s="8"/>
      <c r="BO645" s="8">
        <v>38007.021031</v>
      </c>
      <c r="BP645" s="8"/>
      <c r="BQ645" s="8">
        <f t="shared" si="89"/>
        <v>17232192.808693</v>
      </c>
      <c r="BT645" s="8">
        <f t="shared" si="90"/>
        <v>14395122.33314844</v>
      </c>
      <c r="BW645" s="52"/>
      <c r="BX645" s="8">
        <f t="shared" si="105"/>
        <v>30205691.540293</v>
      </c>
      <c r="BY645" s="8">
        <f t="shared" si="106"/>
        <v>27616522.31439685</v>
      </c>
    </row>
    <row r="646" spans="1:77" ht="12.75">
      <c r="A646" s="7" t="s">
        <v>1279</v>
      </c>
      <c r="B646" s="7" t="s">
        <v>1304</v>
      </c>
      <c r="C646" s="7" t="s">
        <v>1350</v>
      </c>
      <c r="D646" s="7"/>
      <c r="E646" s="8"/>
      <c r="F646" s="8"/>
      <c r="G646" s="8"/>
      <c r="H646" s="8">
        <v>7849244.276361</v>
      </c>
      <c r="I646" s="8">
        <f t="shared" si="102"/>
        <v>7999229.83578191</v>
      </c>
      <c r="J646" s="8">
        <v>172954.368224</v>
      </c>
      <c r="K646" s="8">
        <f t="shared" si="91"/>
        <v>176259.2287633121</v>
      </c>
      <c r="L646" s="8"/>
      <c r="M646" s="8"/>
      <c r="N646" s="8"/>
      <c r="O646" s="8"/>
      <c r="P646" s="8"/>
      <c r="Q646" s="8"/>
      <c r="R646" s="8"/>
      <c r="S646" s="8"/>
      <c r="T646" s="8"/>
      <c r="U646" s="8"/>
      <c r="V646" s="8"/>
      <c r="W646" s="8"/>
      <c r="X646" s="8"/>
      <c r="Y646" s="8"/>
      <c r="Z646" s="15">
        <f t="shared" si="98"/>
        <v>8022198.644584999</v>
      </c>
      <c r="AC646" s="15">
        <f t="shared" si="99"/>
        <v>8175489.064545223</v>
      </c>
      <c r="AF646" s="51"/>
      <c r="AG646" s="8"/>
      <c r="AH646" s="8"/>
      <c r="AI646" s="8"/>
      <c r="AJ646" s="8"/>
      <c r="AK646" s="8"/>
      <c r="AL646" s="8"/>
      <c r="AM646" s="8"/>
      <c r="AN646" s="8">
        <v>9916710.086407</v>
      </c>
      <c r="AO646" s="8">
        <f t="shared" si="103"/>
        <v>8176909.980368141</v>
      </c>
      <c r="AP646" s="8">
        <v>-35050</v>
      </c>
      <c r="AQ646" s="8">
        <f t="shared" si="104"/>
        <v>8141859.980368141</v>
      </c>
      <c r="AR646" s="8">
        <v>249804.164138</v>
      </c>
      <c r="AS646" s="8">
        <f t="shared" si="92"/>
        <v>244888.948268331</v>
      </c>
      <c r="AT646" s="8"/>
      <c r="AU646" s="8"/>
      <c r="AV646" s="8"/>
      <c r="AW646" s="8"/>
      <c r="AX646" s="8"/>
      <c r="AY646" s="8"/>
      <c r="AZ646" s="8"/>
      <c r="BA646" s="8"/>
      <c r="BB646" s="8"/>
      <c r="BC646" s="8"/>
      <c r="BD646" s="8"/>
      <c r="BE646" s="8"/>
      <c r="BF646" s="8"/>
      <c r="BG646" s="8"/>
      <c r="BH646" s="8"/>
      <c r="BI646" s="8"/>
      <c r="BJ646" s="8"/>
      <c r="BK646" s="8"/>
      <c r="BL646" s="8"/>
      <c r="BM646" s="8"/>
      <c r="BN646" s="8"/>
      <c r="BO646" s="8">
        <v>23501.746052</v>
      </c>
      <c r="BP646" s="8"/>
      <c r="BQ646" s="8">
        <f t="shared" si="89"/>
        <v>10154965.996597001</v>
      </c>
      <c r="BT646" s="8">
        <f t="shared" si="90"/>
        <v>8386748.928636472</v>
      </c>
      <c r="BW646" s="52"/>
      <c r="BX646" s="8">
        <f t="shared" si="105"/>
        <v>18177164.641182</v>
      </c>
      <c r="BY646" s="8">
        <f t="shared" si="106"/>
        <v>16562237.993181694</v>
      </c>
    </row>
    <row r="647" spans="1:77" ht="12.75">
      <c r="A647" s="7" t="s">
        <v>1280</v>
      </c>
      <c r="B647" s="7" t="s">
        <v>1305</v>
      </c>
      <c r="C647" s="7" t="s">
        <v>1350</v>
      </c>
      <c r="D647" s="7"/>
      <c r="E647" s="8"/>
      <c r="F647" s="8"/>
      <c r="G647" s="8"/>
      <c r="H647" s="8">
        <v>8319131.060149</v>
      </c>
      <c r="I647" s="8">
        <f t="shared" si="102"/>
        <v>8478095.347922549</v>
      </c>
      <c r="J647" s="8">
        <v>247371.376065</v>
      </c>
      <c r="K647" s="8">
        <f t="shared" si="91"/>
        <v>252098.21764585987</v>
      </c>
      <c r="L647" s="8"/>
      <c r="M647" s="8"/>
      <c r="N647" s="8"/>
      <c r="O647" s="8"/>
      <c r="P647" s="8"/>
      <c r="Q647" s="8"/>
      <c r="R647" s="8"/>
      <c r="S647" s="8"/>
      <c r="T647" s="8"/>
      <c r="U647" s="8"/>
      <c r="V647" s="8"/>
      <c r="W647" s="8"/>
      <c r="X647" s="8"/>
      <c r="Y647" s="8"/>
      <c r="Z647" s="15">
        <f t="shared" si="98"/>
        <v>8566502.436214</v>
      </c>
      <c r="AC647" s="15">
        <f t="shared" si="99"/>
        <v>8730193.565568408</v>
      </c>
      <c r="AF647" s="51"/>
      <c r="AG647" s="8"/>
      <c r="AH647" s="8"/>
      <c r="AI647" s="8"/>
      <c r="AJ647" s="8"/>
      <c r="AK647" s="8"/>
      <c r="AL647" s="8"/>
      <c r="AM647" s="8"/>
      <c r="AN647" s="8">
        <v>10510363.544525</v>
      </c>
      <c r="AO647" s="8">
        <f t="shared" si="103"/>
        <v>8666412.128184171</v>
      </c>
      <c r="AP647" s="8">
        <v>-35644</v>
      </c>
      <c r="AQ647" s="8">
        <f t="shared" si="104"/>
        <v>8630768.128184171</v>
      </c>
      <c r="AR647" s="8">
        <v>357287.303375</v>
      </c>
      <c r="AS647" s="8">
        <f t="shared" si="92"/>
        <v>350257.2195105458</v>
      </c>
      <c r="AT647" s="8"/>
      <c r="AU647" s="8"/>
      <c r="AV647" s="8"/>
      <c r="AW647" s="8"/>
      <c r="AX647" s="8"/>
      <c r="AY647" s="8"/>
      <c r="AZ647" s="8"/>
      <c r="BA647" s="8"/>
      <c r="BB647" s="8"/>
      <c r="BC647" s="8"/>
      <c r="BD647" s="8"/>
      <c r="BE647" s="8"/>
      <c r="BF647" s="8"/>
      <c r="BG647" s="8"/>
      <c r="BH647" s="8">
        <v>244711</v>
      </c>
      <c r="BI647" s="8">
        <v>246386</v>
      </c>
      <c r="BJ647" s="8"/>
      <c r="BK647" s="8">
        <f>BI647</f>
        <v>246386</v>
      </c>
      <c r="BL647" s="8">
        <f>BH647+BK647</f>
        <v>491097</v>
      </c>
      <c r="BM647" s="8"/>
      <c r="BN647" s="8"/>
      <c r="BO647" s="8">
        <v>25096.332531</v>
      </c>
      <c r="BP647" s="8"/>
      <c r="BQ647" s="8">
        <f t="shared" si="89"/>
        <v>11348200.180430999</v>
      </c>
      <c r="BT647" s="8">
        <f t="shared" si="90"/>
        <v>9472122.347694717</v>
      </c>
      <c r="BW647" s="52"/>
      <c r="BX647" s="8">
        <f t="shared" si="105"/>
        <v>19914702.616645</v>
      </c>
      <c r="BY647" s="8">
        <f t="shared" si="106"/>
        <v>18202315.913263127</v>
      </c>
    </row>
    <row r="648" spans="1:77" ht="12.75">
      <c r="A648" s="7" t="s">
        <v>1281</v>
      </c>
      <c r="B648" s="7" t="s">
        <v>1306</v>
      </c>
      <c r="C648" s="7" t="s">
        <v>1350</v>
      </c>
      <c r="D648" s="7"/>
      <c r="E648" s="8"/>
      <c r="F648" s="8"/>
      <c r="G648" s="8"/>
      <c r="H648" s="8">
        <v>4054790.144077</v>
      </c>
      <c r="I648" s="8">
        <f t="shared" si="102"/>
        <v>4132270.2105243313</v>
      </c>
      <c r="J648" s="8">
        <v>159511.679471</v>
      </c>
      <c r="K648" s="8">
        <f t="shared" si="91"/>
        <v>162559.67334624205</v>
      </c>
      <c r="L648" s="8"/>
      <c r="M648" s="8"/>
      <c r="N648" s="8"/>
      <c r="O648" s="8"/>
      <c r="P648" s="8"/>
      <c r="Q648" s="8"/>
      <c r="R648" s="8"/>
      <c r="S648" s="8"/>
      <c r="T648" s="8"/>
      <c r="U648" s="8"/>
      <c r="V648" s="8"/>
      <c r="W648" s="8"/>
      <c r="X648" s="8"/>
      <c r="Y648" s="8"/>
      <c r="Z648" s="15">
        <f t="shared" si="98"/>
        <v>4214301.823548</v>
      </c>
      <c r="AC648" s="15">
        <f t="shared" si="99"/>
        <v>4294829.883870574</v>
      </c>
      <c r="AF648" s="51"/>
      <c r="AG648" s="8"/>
      <c r="AH648" s="8"/>
      <c r="AI648" s="8"/>
      <c r="AJ648" s="8"/>
      <c r="AK648" s="8"/>
      <c r="AL648" s="8"/>
      <c r="AM648" s="8"/>
      <c r="AN648" s="8">
        <v>5122808.885072</v>
      </c>
      <c r="AO648" s="8">
        <f t="shared" si="103"/>
        <v>4224056.842932358</v>
      </c>
      <c r="AP648" s="8">
        <v>-20137</v>
      </c>
      <c r="AQ648" s="8">
        <f t="shared" si="104"/>
        <v>4203919.842932358</v>
      </c>
      <c r="AR648" s="8">
        <v>230388.409208</v>
      </c>
      <c r="AS648" s="8">
        <f t="shared" si="92"/>
        <v>225855.22310586052</v>
      </c>
      <c r="AT648" s="8"/>
      <c r="AU648" s="8"/>
      <c r="AV648" s="8"/>
      <c r="AW648" s="8"/>
      <c r="AX648" s="8"/>
      <c r="AY648" s="8"/>
      <c r="AZ648" s="8"/>
      <c r="BA648" s="8"/>
      <c r="BB648" s="8"/>
      <c r="BC648" s="8"/>
      <c r="BD648" s="8">
        <v>5762.588235</v>
      </c>
      <c r="BE648" s="8">
        <f>BD648/BD$680*BE$680</f>
        <v>8188.942068088658</v>
      </c>
      <c r="BF648" s="8">
        <v>1213.1756141663377</v>
      </c>
      <c r="BG648" s="8">
        <f>BE648+BF648</f>
        <v>9402.117682254995</v>
      </c>
      <c r="BH648" s="8">
        <v>159057</v>
      </c>
      <c r="BI648" s="8"/>
      <c r="BJ648" s="8"/>
      <c r="BK648" s="8"/>
      <c r="BL648" s="8">
        <f>BH648+BK648</f>
        <v>159057</v>
      </c>
      <c r="BM648" s="8"/>
      <c r="BN648" s="8"/>
      <c r="BO648" s="8">
        <v>12346.172868</v>
      </c>
      <c r="BP648" s="8"/>
      <c r="BQ648" s="8">
        <f t="shared" si="89"/>
        <v>5511439.230997167</v>
      </c>
      <c r="BT648" s="8">
        <f t="shared" si="90"/>
        <v>4598234.183720474</v>
      </c>
      <c r="BW648" s="52"/>
      <c r="BX648" s="8">
        <f t="shared" si="105"/>
        <v>9725741.054545168</v>
      </c>
      <c r="BY648" s="8">
        <f t="shared" si="106"/>
        <v>8893064.067591049</v>
      </c>
    </row>
    <row r="649" spans="1:77" ht="12.75">
      <c r="A649" s="7" t="s">
        <v>1282</v>
      </c>
      <c r="B649" s="7" t="s">
        <v>1307</v>
      </c>
      <c r="C649" s="7" t="s">
        <v>1350</v>
      </c>
      <c r="D649" s="7"/>
      <c r="E649" s="8"/>
      <c r="F649" s="8"/>
      <c r="G649" s="8"/>
      <c r="H649" s="8">
        <v>6158105.853218</v>
      </c>
      <c r="I649" s="8">
        <f t="shared" si="102"/>
        <v>6275776.665699873</v>
      </c>
      <c r="J649" s="8">
        <v>189378.754981</v>
      </c>
      <c r="K649" s="8">
        <f t="shared" si="91"/>
        <v>192997.4573054777</v>
      </c>
      <c r="L649" s="8"/>
      <c r="M649" s="8"/>
      <c r="N649" s="8"/>
      <c r="O649" s="8"/>
      <c r="P649" s="8"/>
      <c r="Q649" s="8"/>
      <c r="R649" s="8"/>
      <c r="S649" s="8"/>
      <c r="T649" s="8"/>
      <c r="U649" s="8"/>
      <c r="V649" s="8"/>
      <c r="W649" s="8"/>
      <c r="X649" s="8"/>
      <c r="Y649" s="8"/>
      <c r="Z649" s="15">
        <f t="shared" si="98"/>
        <v>6347484.608199</v>
      </c>
      <c r="AC649" s="15">
        <f t="shared" si="99"/>
        <v>6468774.123005351</v>
      </c>
      <c r="AF649" s="51"/>
      <c r="AG649" s="8"/>
      <c r="AH649" s="8"/>
      <c r="AI649" s="8"/>
      <c r="AJ649" s="8"/>
      <c r="AK649" s="8"/>
      <c r="AL649" s="8"/>
      <c r="AM649" s="8"/>
      <c r="AN649" s="8">
        <v>7780131.217433</v>
      </c>
      <c r="AO649" s="8">
        <f t="shared" si="103"/>
        <v>6415175.198839694</v>
      </c>
      <c r="AP649" s="8">
        <v>-30920</v>
      </c>
      <c r="AQ649" s="8">
        <f t="shared" si="104"/>
        <v>6384255.198839694</v>
      </c>
      <c r="AR649" s="8">
        <v>273526.491869</v>
      </c>
      <c r="AS649" s="8">
        <f t="shared" si="92"/>
        <v>268144.508913477</v>
      </c>
      <c r="AT649" s="8"/>
      <c r="AU649" s="8"/>
      <c r="AV649" s="8"/>
      <c r="AW649" s="8"/>
      <c r="AX649" s="8"/>
      <c r="AY649" s="8"/>
      <c r="AZ649" s="8"/>
      <c r="BA649" s="8"/>
      <c r="BB649" s="8"/>
      <c r="BC649" s="8"/>
      <c r="BD649" s="8"/>
      <c r="BE649" s="8"/>
      <c r="BF649" s="8"/>
      <c r="BG649" s="8"/>
      <c r="BH649" s="8"/>
      <c r="BI649" s="8">
        <v>206490</v>
      </c>
      <c r="BJ649" s="8"/>
      <c r="BK649" s="8">
        <f>BI649</f>
        <v>206490</v>
      </c>
      <c r="BL649" s="8">
        <f>BH649+BK649</f>
        <v>206490</v>
      </c>
      <c r="BM649" s="8"/>
      <c r="BN649" s="8"/>
      <c r="BO649" s="8">
        <v>18595.521994</v>
      </c>
      <c r="BP649" s="8"/>
      <c r="BQ649" s="8">
        <f aca="true" t="shared" si="107" ref="BQ649:BQ659">AG649+AI649+AL649+AN649+AP649+AR649+AT649+AV649+AX649+AZ649+BB649+BD649+BF649+BH649+BK649+BM649+BO649</f>
        <v>8247823.231296</v>
      </c>
      <c r="BT649" s="8">
        <f aca="true" t="shared" si="108" ref="BT649:BT659">AJ649+AM649+AQ649+AS649+AU649+AW649+AY649+BA649+BC649+BG649+BL649+BN649+BP649</f>
        <v>6858889.707753171</v>
      </c>
      <c r="BW649" s="52"/>
      <c r="BX649" s="8">
        <f t="shared" si="105"/>
        <v>14595307.839495</v>
      </c>
      <c r="BY649" s="8">
        <f t="shared" si="106"/>
        <v>13327663.830758523</v>
      </c>
    </row>
    <row r="650" spans="1:77" ht="12.75">
      <c r="A650" s="7" t="s">
        <v>1283</v>
      </c>
      <c r="B650" s="7" t="s">
        <v>1308</v>
      </c>
      <c r="C650" s="7" t="s">
        <v>1350</v>
      </c>
      <c r="D650" s="7"/>
      <c r="E650" s="8"/>
      <c r="F650" s="8"/>
      <c r="G650" s="8"/>
      <c r="H650" s="8">
        <v>5283519.514885</v>
      </c>
      <c r="I650" s="8">
        <f t="shared" si="102"/>
        <v>5384478.486507006</v>
      </c>
      <c r="J650" s="8">
        <v>162981.2991</v>
      </c>
      <c r="K650" s="8">
        <f t="shared" si="91"/>
        <v>166095.59143949044</v>
      </c>
      <c r="L650" s="8"/>
      <c r="M650" s="8"/>
      <c r="N650" s="8"/>
      <c r="O650" s="8"/>
      <c r="P650" s="8"/>
      <c r="Q650" s="8"/>
      <c r="R650" s="8"/>
      <c r="S650" s="8"/>
      <c r="T650" s="8"/>
      <c r="U650" s="8"/>
      <c r="V650" s="8"/>
      <c r="W650" s="8"/>
      <c r="X650" s="8"/>
      <c r="Y650" s="8"/>
      <c r="Z650" s="15">
        <f t="shared" si="98"/>
        <v>5446500.813985</v>
      </c>
      <c r="AC650" s="15">
        <f t="shared" si="99"/>
        <v>5550574.077946496</v>
      </c>
      <c r="AF650" s="51"/>
      <c r="AG650" s="8"/>
      <c r="AH650" s="8"/>
      <c r="AI650" s="8"/>
      <c r="AJ650" s="8"/>
      <c r="AK650" s="8"/>
      <c r="AL650" s="8"/>
      <c r="AM650" s="8"/>
      <c r="AN650" s="8">
        <v>6675181.637905</v>
      </c>
      <c r="AO650" s="8">
        <f t="shared" si="103"/>
        <v>5504079.36504794</v>
      </c>
      <c r="AP650" s="8">
        <v>-22210</v>
      </c>
      <c r="AQ650" s="8">
        <f t="shared" si="104"/>
        <v>5481869.36504794</v>
      </c>
      <c r="AR650" s="8">
        <v>235399.704616</v>
      </c>
      <c r="AS650" s="8">
        <f t="shared" si="92"/>
        <v>230767.91487848078</v>
      </c>
      <c r="AT650" s="8"/>
      <c r="AU650" s="8"/>
      <c r="AV650" s="8"/>
      <c r="AW650" s="8"/>
      <c r="AX650" s="8"/>
      <c r="AY650" s="8"/>
      <c r="AZ650" s="8"/>
      <c r="BA650" s="8"/>
      <c r="BB650" s="8"/>
      <c r="BC650" s="8"/>
      <c r="BD650" s="8"/>
      <c r="BE650" s="8"/>
      <c r="BF650" s="8"/>
      <c r="BG650" s="8"/>
      <c r="BH650" s="8"/>
      <c r="BI650" s="8">
        <v>184555</v>
      </c>
      <c r="BJ650" s="8"/>
      <c r="BK650" s="8">
        <f>BI650</f>
        <v>184555</v>
      </c>
      <c r="BL650" s="8">
        <f>BH650+BK650</f>
        <v>184555</v>
      </c>
      <c r="BM650" s="8"/>
      <c r="BN650" s="8"/>
      <c r="BO650" s="8">
        <v>15956.009652</v>
      </c>
      <c r="BP650" s="8"/>
      <c r="BQ650" s="8">
        <f t="shared" si="107"/>
        <v>7088882.352173</v>
      </c>
      <c r="BT650" s="8">
        <f t="shared" si="108"/>
        <v>5897192.279926421</v>
      </c>
      <c r="BW650" s="52"/>
      <c r="BX650" s="8">
        <f t="shared" si="105"/>
        <v>12535383.166158</v>
      </c>
      <c r="BY650" s="8">
        <f t="shared" si="106"/>
        <v>11447766.357872918</v>
      </c>
    </row>
    <row r="651" spans="1:77" ht="12.75">
      <c r="A651" s="7" t="s">
        <v>1284</v>
      </c>
      <c r="B651" s="7" t="s">
        <v>1309</v>
      </c>
      <c r="C651" s="7" t="s">
        <v>1350</v>
      </c>
      <c r="D651" s="7"/>
      <c r="E651" s="8"/>
      <c r="F651" s="8"/>
      <c r="G651" s="8"/>
      <c r="H651" s="8">
        <v>8178360.381862</v>
      </c>
      <c r="I651" s="8">
        <f t="shared" si="102"/>
        <v>8334634.784063185</v>
      </c>
      <c r="J651" s="8">
        <v>254854.741608</v>
      </c>
      <c r="K651" s="8">
        <f t="shared" si="91"/>
        <v>259724.57743490447</v>
      </c>
      <c r="L651" s="8"/>
      <c r="M651" s="8"/>
      <c r="N651" s="8"/>
      <c r="O651" s="8"/>
      <c r="P651" s="8"/>
      <c r="Q651" s="8"/>
      <c r="R651" s="8"/>
      <c r="S651" s="8"/>
      <c r="T651" s="8"/>
      <c r="U651" s="8"/>
      <c r="V651" s="8"/>
      <c r="W651" s="8"/>
      <c r="X651" s="8"/>
      <c r="Y651" s="8"/>
      <c r="Z651" s="15">
        <f t="shared" si="98"/>
        <v>8433215.123469999</v>
      </c>
      <c r="AC651" s="15">
        <f t="shared" si="99"/>
        <v>8594359.36149809</v>
      </c>
      <c r="AF651" s="51"/>
      <c r="AG651" s="8"/>
      <c r="AH651" s="8"/>
      <c r="AI651" s="8"/>
      <c r="AJ651" s="8"/>
      <c r="AK651" s="8"/>
      <c r="AL651" s="8"/>
      <c r="AM651" s="8"/>
      <c r="AN651" s="8">
        <v>10332514.320308</v>
      </c>
      <c r="AO651" s="8">
        <f t="shared" si="103"/>
        <v>8519764.995835906</v>
      </c>
      <c r="AP651" s="8">
        <v>-38060</v>
      </c>
      <c r="AQ651" s="8">
        <f t="shared" si="104"/>
        <v>8481704.995835906</v>
      </c>
      <c r="AR651" s="8">
        <v>368095.795197</v>
      </c>
      <c r="AS651" s="8">
        <f t="shared" si="92"/>
        <v>360853.04045608535</v>
      </c>
      <c r="AT651" s="8"/>
      <c r="AU651" s="8"/>
      <c r="AV651" s="8"/>
      <c r="AW651" s="8"/>
      <c r="AX651" s="8"/>
      <c r="AY651" s="8"/>
      <c r="AZ651" s="8"/>
      <c r="BA651" s="8"/>
      <c r="BB651" s="8"/>
      <c r="BC651" s="8"/>
      <c r="BD651" s="8"/>
      <c r="BE651" s="8"/>
      <c r="BF651" s="8"/>
      <c r="BG651" s="8"/>
      <c r="BH651" s="8"/>
      <c r="BI651" s="8"/>
      <c r="BJ651" s="8"/>
      <c r="BK651" s="8"/>
      <c r="BL651" s="8"/>
      <c r="BM651" s="8"/>
      <c r="BN651" s="8"/>
      <c r="BO651" s="8">
        <v>24705.855467</v>
      </c>
      <c r="BP651" s="8"/>
      <c r="BQ651" s="8">
        <f t="shared" si="107"/>
        <v>10687255.970972</v>
      </c>
      <c r="BT651" s="8">
        <f t="shared" si="108"/>
        <v>8842558.03629199</v>
      </c>
      <c r="BW651" s="52"/>
      <c r="BX651" s="8">
        <f t="shared" si="105"/>
        <v>19120471.094442</v>
      </c>
      <c r="BY651" s="8">
        <f t="shared" si="106"/>
        <v>17436917.39779008</v>
      </c>
    </row>
    <row r="652" spans="1:77" ht="12.75">
      <c r="A652" s="7" t="s">
        <v>1285</v>
      </c>
      <c r="B652" s="7" t="s">
        <v>1310</v>
      </c>
      <c r="C652" s="7" t="s">
        <v>1350</v>
      </c>
      <c r="D652" s="7"/>
      <c r="E652" s="8"/>
      <c r="F652" s="8"/>
      <c r="G652" s="8"/>
      <c r="H652" s="8">
        <v>14275307.190772</v>
      </c>
      <c r="I652" s="8">
        <f t="shared" si="102"/>
        <v>14548083.761296306</v>
      </c>
      <c r="J652" s="8">
        <v>436727.730638</v>
      </c>
      <c r="K652" s="8">
        <f t="shared" si="91"/>
        <v>445072.8465100637</v>
      </c>
      <c r="L652" s="8"/>
      <c r="M652" s="8"/>
      <c r="N652" s="8"/>
      <c r="O652" s="8"/>
      <c r="P652" s="8"/>
      <c r="Q652" s="8"/>
      <c r="R652" s="8"/>
      <c r="S652" s="8"/>
      <c r="T652" s="8"/>
      <c r="U652" s="8"/>
      <c r="V652" s="8"/>
      <c r="W652" s="8"/>
      <c r="X652" s="8"/>
      <c r="Y652" s="8"/>
      <c r="Z652" s="15">
        <f t="shared" si="98"/>
        <v>14712034.92141</v>
      </c>
      <c r="AC652" s="15">
        <f t="shared" si="99"/>
        <v>14993156.60780637</v>
      </c>
      <c r="AF652" s="51"/>
      <c r="AG652" s="8"/>
      <c r="AH652" s="8"/>
      <c r="AI652" s="8"/>
      <c r="AJ652" s="8"/>
      <c r="AK652" s="8"/>
      <c r="AL652" s="8"/>
      <c r="AM652" s="8"/>
      <c r="AN652" s="8">
        <v>18035377.396986</v>
      </c>
      <c r="AO652" s="8">
        <f t="shared" si="103"/>
        <v>14871228.073841283</v>
      </c>
      <c r="AP652" s="8">
        <v>-57736</v>
      </c>
      <c r="AQ652" s="8">
        <f t="shared" si="104"/>
        <v>14813492.073841283</v>
      </c>
      <c r="AR652" s="8">
        <v>630781.441535</v>
      </c>
      <c r="AS652" s="8">
        <f t="shared" si="92"/>
        <v>618370.0113155552</v>
      </c>
      <c r="AT652" s="8"/>
      <c r="AU652" s="8"/>
      <c r="AV652" s="8"/>
      <c r="AW652" s="8"/>
      <c r="AX652" s="8"/>
      <c r="AY652" s="8"/>
      <c r="AZ652" s="8"/>
      <c r="BA652" s="8"/>
      <c r="BB652" s="8"/>
      <c r="BC652" s="8"/>
      <c r="BD652" s="8"/>
      <c r="BE652" s="8"/>
      <c r="BF652" s="8"/>
      <c r="BG652" s="8"/>
      <c r="BH652" s="8">
        <v>432590</v>
      </c>
      <c r="BI652" s="8">
        <v>438524</v>
      </c>
      <c r="BJ652" s="8"/>
      <c r="BK652" s="8">
        <f>BI652</f>
        <v>438524</v>
      </c>
      <c r="BL652" s="8">
        <f>BH652+BK652</f>
        <v>871114</v>
      </c>
      <c r="BM652" s="8"/>
      <c r="BN652" s="8"/>
      <c r="BO652" s="8">
        <v>43100.217778</v>
      </c>
      <c r="BP652" s="8"/>
      <c r="BQ652" s="8">
        <f t="shared" si="107"/>
        <v>19522637.056299</v>
      </c>
      <c r="BT652" s="8">
        <f t="shared" si="108"/>
        <v>16302976.085156837</v>
      </c>
      <c r="BW652" s="52"/>
      <c r="BX652" s="8">
        <f t="shared" si="105"/>
        <v>34234671.977709</v>
      </c>
      <c r="BY652" s="8">
        <f t="shared" si="106"/>
        <v>31296132.692963205</v>
      </c>
    </row>
    <row r="653" spans="1:77" ht="12.75">
      <c r="A653" s="7" t="s">
        <v>1286</v>
      </c>
      <c r="B653" s="7" t="s">
        <v>1311</v>
      </c>
      <c r="C653" s="7" t="s">
        <v>1350</v>
      </c>
      <c r="D653" s="7"/>
      <c r="E653" s="8"/>
      <c r="F653" s="8"/>
      <c r="G653" s="8"/>
      <c r="H653" s="8">
        <v>4854133.689826</v>
      </c>
      <c r="I653" s="8">
        <f t="shared" si="102"/>
        <v>4946887.83676535</v>
      </c>
      <c r="J653" s="8">
        <v>211340.115428</v>
      </c>
      <c r="K653" s="8">
        <f t="shared" si="91"/>
        <v>215378.46158267514</v>
      </c>
      <c r="L653" s="8"/>
      <c r="M653" s="8"/>
      <c r="N653" s="8"/>
      <c r="O653" s="8"/>
      <c r="P653" s="8"/>
      <c r="Q653" s="8"/>
      <c r="R653" s="8"/>
      <c r="S653" s="8"/>
      <c r="T653" s="8"/>
      <c r="U653" s="8"/>
      <c r="V653" s="8"/>
      <c r="W653" s="8"/>
      <c r="X653" s="8"/>
      <c r="Y653" s="8"/>
      <c r="Z653" s="15">
        <f t="shared" si="98"/>
        <v>5065473.805253999</v>
      </c>
      <c r="AC653" s="15">
        <f t="shared" si="99"/>
        <v>5162266.298348025</v>
      </c>
      <c r="AF653" s="51"/>
      <c r="AG653" s="8"/>
      <c r="AH653" s="8"/>
      <c r="AI653" s="8"/>
      <c r="AJ653" s="8"/>
      <c r="AK653" s="8"/>
      <c r="AL653" s="8"/>
      <c r="AM653" s="8"/>
      <c r="AN653" s="8">
        <v>6132696.961368</v>
      </c>
      <c r="AO653" s="8">
        <f t="shared" si="103"/>
        <v>5056768.8833336</v>
      </c>
      <c r="AP653" s="8">
        <v>-31119</v>
      </c>
      <c r="AQ653" s="8">
        <f t="shared" si="104"/>
        <v>5025649.8833336</v>
      </c>
      <c r="AR653" s="8">
        <v>305246.06823</v>
      </c>
      <c r="AS653" s="8">
        <f t="shared" si="92"/>
        <v>299239.9621112512</v>
      </c>
      <c r="AT653" s="8"/>
      <c r="AU653" s="8"/>
      <c r="AV653" s="8"/>
      <c r="AW653" s="8"/>
      <c r="AX653" s="8"/>
      <c r="AY653" s="8"/>
      <c r="AZ653" s="8"/>
      <c r="BA653" s="8"/>
      <c r="BB653" s="8"/>
      <c r="BC653" s="8"/>
      <c r="BD653" s="8">
        <v>12798.176471</v>
      </c>
      <c r="BE653" s="8">
        <f>BD653/BD$680*BE$680</f>
        <v>18186.884334655977</v>
      </c>
      <c r="BF653" s="8">
        <v>2694.351039366705</v>
      </c>
      <c r="BG653" s="8">
        <f>BE653+BF653</f>
        <v>20881.235374022683</v>
      </c>
      <c r="BH653" s="8">
        <v>209645</v>
      </c>
      <c r="BI653" s="8"/>
      <c r="BJ653" s="8"/>
      <c r="BK653" s="8"/>
      <c r="BL653" s="8">
        <f>BH653+BK653</f>
        <v>209645</v>
      </c>
      <c r="BM653" s="8"/>
      <c r="BN653" s="8"/>
      <c r="BO653" s="8">
        <v>14839.757064</v>
      </c>
      <c r="BP653" s="8"/>
      <c r="BQ653" s="8">
        <f t="shared" si="107"/>
        <v>6646801.314172367</v>
      </c>
      <c r="BT653" s="8">
        <f t="shared" si="108"/>
        <v>5555416.080818874</v>
      </c>
      <c r="BW653" s="52"/>
      <c r="BX653" s="8">
        <f t="shared" si="105"/>
        <v>11712275.119426366</v>
      </c>
      <c r="BY653" s="8">
        <f t="shared" si="106"/>
        <v>10717682.3791669</v>
      </c>
    </row>
    <row r="654" spans="1:77" ht="12.75">
      <c r="A654" s="7" t="s">
        <v>1287</v>
      </c>
      <c r="B654" s="7" t="s">
        <v>1312</v>
      </c>
      <c r="C654" s="7" t="s">
        <v>1350</v>
      </c>
      <c r="D654" s="7"/>
      <c r="E654" s="8"/>
      <c r="F654" s="8"/>
      <c r="G654" s="8"/>
      <c r="H654" s="8">
        <v>12833032.355007</v>
      </c>
      <c r="I654" s="8">
        <f t="shared" si="102"/>
        <v>13078249.533765096</v>
      </c>
      <c r="J654" s="8">
        <v>439724.090728</v>
      </c>
      <c r="K654" s="8">
        <f t="shared" si="91"/>
        <v>448126.46188840765</v>
      </c>
      <c r="L654" s="8"/>
      <c r="M654" s="8"/>
      <c r="N654" s="8"/>
      <c r="O654" s="8"/>
      <c r="P654" s="8"/>
      <c r="Q654" s="8"/>
      <c r="R654" s="8"/>
      <c r="S654" s="8"/>
      <c r="T654" s="8"/>
      <c r="U654" s="8"/>
      <c r="V654" s="8"/>
      <c r="W654" s="8"/>
      <c r="X654" s="8"/>
      <c r="Y654" s="8"/>
      <c r="Z654" s="15">
        <f t="shared" si="98"/>
        <v>13272756.445735</v>
      </c>
      <c r="AC654" s="15">
        <f t="shared" si="99"/>
        <v>13526375.995653505</v>
      </c>
      <c r="AF654" s="51"/>
      <c r="AG654" s="8"/>
      <c r="AH654" s="8"/>
      <c r="AI654" s="8"/>
      <c r="AJ654" s="8"/>
      <c r="AK654" s="8"/>
      <c r="AL654" s="8"/>
      <c r="AM654" s="8"/>
      <c r="AN654" s="8">
        <v>16213211.987473</v>
      </c>
      <c r="AO654" s="8">
        <f t="shared" si="103"/>
        <v>13368745.658493508</v>
      </c>
      <c r="AP654" s="8">
        <v>-64476</v>
      </c>
      <c r="AQ654" s="8">
        <f t="shared" si="104"/>
        <v>13304269.658493508</v>
      </c>
      <c r="AR654" s="8">
        <v>635109.191308</v>
      </c>
      <c r="AS654" s="8">
        <f t="shared" si="92"/>
        <v>622612.6070862687</v>
      </c>
      <c r="AT654" s="8"/>
      <c r="AU654" s="8"/>
      <c r="AV654" s="8"/>
      <c r="AW654" s="8"/>
      <c r="AX654" s="8"/>
      <c r="AY654" s="8"/>
      <c r="AZ654" s="8"/>
      <c r="BA654" s="8"/>
      <c r="BB654" s="8"/>
      <c r="BC654" s="8"/>
      <c r="BD654" s="8"/>
      <c r="BE654" s="8"/>
      <c r="BF654" s="8"/>
      <c r="BG654" s="8"/>
      <c r="BH654" s="8">
        <v>434433</v>
      </c>
      <c r="BI654" s="8"/>
      <c r="BJ654" s="8"/>
      <c r="BK654" s="8"/>
      <c r="BL654" s="8">
        <f>BH654+BK654</f>
        <v>434433</v>
      </c>
      <c r="BM654" s="8"/>
      <c r="BN654" s="8"/>
      <c r="BO654" s="8">
        <v>38883.723182</v>
      </c>
      <c r="BP654" s="8"/>
      <c r="BQ654" s="8">
        <f t="shared" si="107"/>
        <v>17257161.901963</v>
      </c>
      <c r="BT654" s="8">
        <f t="shared" si="108"/>
        <v>14361315.265579777</v>
      </c>
      <c r="BW654" s="52"/>
      <c r="BX654" s="8">
        <f t="shared" si="105"/>
        <v>30529918.347698</v>
      </c>
      <c r="BY654" s="8">
        <f t="shared" si="106"/>
        <v>27887691.26123328</v>
      </c>
    </row>
    <row r="655" spans="1:77" ht="12.75">
      <c r="A655" s="7" t="s">
        <v>1288</v>
      </c>
      <c r="B655" s="7" t="s">
        <v>1313</v>
      </c>
      <c r="C655" s="7" t="s">
        <v>1350</v>
      </c>
      <c r="D655" s="7"/>
      <c r="E655" s="8"/>
      <c r="F655" s="8"/>
      <c r="G655" s="8"/>
      <c r="H655" s="8">
        <v>13662199.396734</v>
      </c>
      <c r="I655" s="8">
        <f t="shared" si="102"/>
        <v>13923260.531703439</v>
      </c>
      <c r="J655" s="8">
        <v>303789.044794</v>
      </c>
      <c r="K655" s="8">
        <f t="shared" si="91"/>
        <v>309593.93100025476</v>
      </c>
      <c r="L655" s="8"/>
      <c r="M655" s="8"/>
      <c r="N655" s="8"/>
      <c r="O655" s="8"/>
      <c r="P655" s="8"/>
      <c r="Q655" s="8"/>
      <c r="R655" s="8"/>
      <c r="S655" s="8"/>
      <c r="T655" s="8"/>
      <c r="U655" s="8"/>
      <c r="V655" s="8"/>
      <c r="W655" s="8"/>
      <c r="X655" s="8"/>
      <c r="Y655" s="8"/>
      <c r="Z655" s="15">
        <f t="shared" si="98"/>
        <v>13965988.441528</v>
      </c>
      <c r="AC655" s="15">
        <f t="shared" si="99"/>
        <v>14232854.462703694</v>
      </c>
      <c r="AF655" s="51"/>
      <c r="AG655" s="8"/>
      <c r="AH655" s="8"/>
      <c r="AI655" s="8"/>
      <c r="AJ655" s="8"/>
      <c r="AK655" s="8"/>
      <c r="AL655" s="8"/>
      <c r="AM655" s="8"/>
      <c r="AN655" s="8">
        <v>17260778.973097</v>
      </c>
      <c r="AO655" s="8">
        <f t="shared" si="103"/>
        <v>14232526.1729198</v>
      </c>
      <c r="AP655" s="8">
        <v>-57683</v>
      </c>
      <c r="AQ655" s="8">
        <f t="shared" si="104"/>
        <v>14174843.1729198</v>
      </c>
      <c r="AR655" s="8">
        <v>438773.355009</v>
      </c>
      <c r="AS655" s="8">
        <f t="shared" si="92"/>
        <v>430139.92904042115</v>
      </c>
      <c r="AT655" s="8"/>
      <c r="AU655" s="8"/>
      <c r="AV655" s="8"/>
      <c r="AW655" s="8"/>
      <c r="AX655" s="8"/>
      <c r="AY655" s="8"/>
      <c r="AZ655" s="8"/>
      <c r="BA655" s="8"/>
      <c r="BB655" s="8"/>
      <c r="BC655" s="8"/>
      <c r="BD655" s="8"/>
      <c r="BE655" s="8"/>
      <c r="BF655" s="8"/>
      <c r="BG655" s="8"/>
      <c r="BH655" s="8">
        <v>299678</v>
      </c>
      <c r="BI655" s="8">
        <v>304740</v>
      </c>
      <c r="BJ655" s="8"/>
      <c r="BK655" s="8">
        <f>BI655</f>
        <v>304740</v>
      </c>
      <c r="BL655" s="8">
        <f>BH655+BK655</f>
        <v>604418</v>
      </c>
      <c r="BM655" s="8"/>
      <c r="BN655" s="8"/>
      <c r="BO655" s="8">
        <v>40914.60811</v>
      </c>
      <c r="BP655" s="8"/>
      <c r="BQ655" s="8">
        <f t="shared" si="107"/>
        <v>18287201.936216</v>
      </c>
      <c r="BT655" s="8">
        <f t="shared" si="108"/>
        <v>15209401.101960221</v>
      </c>
      <c r="BW655" s="52"/>
      <c r="BX655" s="8">
        <f t="shared" si="105"/>
        <v>32253190.377744</v>
      </c>
      <c r="BY655" s="8">
        <f t="shared" si="106"/>
        <v>29442255.564663917</v>
      </c>
    </row>
    <row r="656" spans="1:77" ht="12.75">
      <c r="A656" s="7" t="s">
        <v>1289</v>
      </c>
      <c r="B656" s="7" t="s">
        <v>1314</v>
      </c>
      <c r="C656" s="7" t="s">
        <v>1350</v>
      </c>
      <c r="D656" s="7"/>
      <c r="E656" s="8"/>
      <c r="F656" s="8"/>
      <c r="G656" s="8"/>
      <c r="H656" s="8">
        <v>9423691.902606</v>
      </c>
      <c r="I656" s="8">
        <f t="shared" si="102"/>
        <v>9603762.448515669</v>
      </c>
      <c r="J656" s="8">
        <v>236146.735029</v>
      </c>
      <c r="K656" s="8">
        <f t="shared" si="91"/>
        <v>240659.09302318472</v>
      </c>
      <c r="L656" s="8"/>
      <c r="M656" s="8"/>
      <c r="N656" s="8"/>
      <c r="O656" s="8"/>
      <c r="P656" s="8"/>
      <c r="Q656" s="8"/>
      <c r="R656" s="8"/>
      <c r="S656" s="8"/>
      <c r="T656" s="8"/>
      <c r="U656" s="8"/>
      <c r="V656" s="8"/>
      <c r="W656" s="8"/>
      <c r="X656" s="8"/>
      <c r="Y656" s="8"/>
      <c r="Z656" s="15">
        <f t="shared" si="98"/>
        <v>9659838.637635</v>
      </c>
      <c r="AC656" s="15">
        <f t="shared" si="99"/>
        <v>9844421.541538853</v>
      </c>
      <c r="AF656" s="51"/>
      <c r="AG656" s="8"/>
      <c r="AH656" s="8"/>
      <c r="AI656" s="8"/>
      <c r="AJ656" s="8"/>
      <c r="AK656" s="8"/>
      <c r="AL656" s="8"/>
      <c r="AM656" s="8"/>
      <c r="AN656" s="8">
        <v>11905862.176212</v>
      </c>
      <c r="AO656" s="8">
        <f t="shared" si="103"/>
        <v>9817082.72252499</v>
      </c>
      <c r="AP656" s="8">
        <v>-44961</v>
      </c>
      <c r="AQ656" s="8">
        <f t="shared" si="104"/>
        <v>9772121.72252499</v>
      </c>
      <c r="AR656" s="8">
        <v>341075.15389</v>
      </c>
      <c r="AS656" s="8">
        <f t="shared" si="92"/>
        <v>334364.0647657059</v>
      </c>
      <c r="AT656" s="8"/>
      <c r="AU656" s="8"/>
      <c r="AV656" s="8"/>
      <c r="AW656" s="8"/>
      <c r="AX656" s="8"/>
      <c r="AY656" s="8"/>
      <c r="AZ656" s="8"/>
      <c r="BA656" s="8"/>
      <c r="BB656" s="8"/>
      <c r="BC656" s="8"/>
      <c r="BD656" s="8"/>
      <c r="BE656" s="8"/>
      <c r="BF656" s="8"/>
      <c r="BG656" s="8"/>
      <c r="BH656" s="8">
        <v>235811</v>
      </c>
      <c r="BI656" s="8"/>
      <c r="BJ656" s="8"/>
      <c r="BK656" s="8"/>
      <c r="BL656" s="8">
        <f>BH656+BK656</f>
        <v>235811</v>
      </c>
      <c r="BM656" s="8"/>
      <c r="BN656" s="8"/>
      <c r="BO656" s="8">
        <v>28299.358396</v>
      </c>
      <c r="BP656" s="8"/>
      <c r="BQ656" s="8">
        <f t="shared" si="107"/>
        <v>12466086.688498</v>
      </c>
      <c r="BT656" s="8">
        <f t="shared" si="108"/>
        <v>10342296.787290696</v>
      </c>
      <c r="BW656" s="52"/>
      <c r="BX656" s="8">
        <f t="shared" si="105"/>
        <v>22125925.326132998</v>
      </c>
      <c r="BY656" s="8">
        <f t="shared" si="106"/>
        <v>20186718.32882955</v>
      </c>
    </row>
    <row r="657" spans="1:77" ht="12.75">
      <c r="A657" s="7" t="s">
        <v>1290</v>
      </c>
      <c r="B657" s="7" t="s">
        <v>1315</v>
      </c>
      <c r="C657" s="7" t="s">
        <v>1350</v>
      </c>
      <c r="D657" s="7"/>
      <c r="E657" s="8"/>
      <c r="F657" s="8"/>
      <c r="G657" s="8"/>
      <c r="H657" s="8">
        <v>3355647.544321</v>
      </c>
      <c r="I657" s="8">
        <f t="shared" si="102"/>
        <v>3419768.1980341403</v>
      </c>
      <c r="J657" s="8">
        <v>136813.549226</v>
      </c>
      <c r="K657" s="8">
        <f t="shared" si="91"/>
        <v>139427.82086726115</v>
      </c>
      <c r="L657" s="8"/>
      <c r="M657" s="8"/>
      <c r="N657" s="8"/>
      <c r="O657" s="8"/>
      <c r="P657" s="8"/>
      <c r="Q657" s="8"/>
      <c r="R657" s="8"/>
      <c r="S657" s="8"/>
      <c r="T657" s="8"/>
      <c r="U657" s="8"/>
      <c r="V657" s="8"/>
      <c r="W657" s="8"/>
      <c r="X657" s="8"/>
      <c r="Y657" s="8"/>
      <c r="Z657" s="15">
        <f t="shared" si="98"/>
        <v>3492461.093547</v>
      </c>
      <c r="AC657" s="15">
        <f t="shared" si="99"/>
        <v>3559196.018901401</v>
      </c>
      <c r="AF657" s="51"/>
      <c r="AG657" s="8"/>
      <c r="AH657" s="8"/>
      <c r="AI657" s="8"/>
      <c r="AJ657" s="8"/>
      <c r="AK657" s="8"/>
      <c r="AL657" s="8"/>
      <c r="AM657" s="8"/>
      <c r="AN657" s="8">
        <v>4239514.363111</v>
      </c>
      <c r="AO657" s="8">
        <f t="shared" si="103"/>
        <v>3495728.624269641</v>
      </c>
      <c r="AP657" s="8">
        <v>-19413</v>
      </c>
      <c r="AQ657" s="8">
        <f t="shared" si="104"/>
        <v>3476315.624269641</v>
      </c>
      <c r="AR657" s="8">
        <v>197604.689943</v>
      </c>
      <c r="AS657" s="8">
        <f t="shared" si="92"/>
        <v>193716.56537437876</v>
      </c>
      <c r="AT657" s="8"/>
      <c r="AU657" s="8"/>
      <c r="AV657" s="8"/>
      <c r="AW657" s="8"/>
      <c r="AX657" s="8"/>
      <c r="AY657" s="8"/>
      <c r="AZ657" s="8"/>
      <c r="BA657" s="8"/>
      <c r="BB657" s="8"/>
      <c r="BC657" s="8"/>
      <c r="BD657" s="8">
        <v>37510.470588</v>
      </c>
      <c r="BE657" s="8">
        <f>BD657/BD$680*BE$680</f>
        <v>53304.35874738071</v>
      </c>
      <c r="BF657" s="8">
        <v>7896.935602108874</v>
      </c>
      <c r="BG657" s="8">
        <f>BE657+BF657</f>
        <v>61201.29434948959</v>
      </c>
      <c r="BH657" s="8"/>
      <c r="BI657" s="8"/>
      <c r="BJ657" s="8"/>
      <c r="BK657" s="8"/>
      <c r="BL657" s="8"/>
      <c r="BM657" s="8"/>
      <c r="BN657" s="8"/>
      <c r="BO657" s="8">
        <v>10231.476102</v>
      </c>
      <c r="BP657" s="8"/>
      <c r="BQ657" s="8">
        <f t="shared" si="107"/>
        <v>4473344.935346108</v>
      </c>
      <c r="BT657" s="8">
        <f t="shared" si="108"/>
        <v>3731233.4839935093</v>
      </c>
      <c r="BW657" s="52"/>
      <c r="BX657" s="8">
        <f t="shared" si="105"/>
        <v>7965806.028893108</v>
      </c>
      <c r="BY657" s="8">
        <f t="shared" si="106"/>
        <v>7290429.50289491</v>
      </c>
    </row>
    <row r="658" spans="1:77" ht="12.75">
      <c r="A658" s="7" t="s">
        <v>1291</v>
      </c>
      <c r="B658" s="7" t="s">
        <v>633</v>
      </c>
      <c r="C658" s="7" t="s">
        <v>1325</v>
      </c>
      <c r="D658" s="7"/>
      <c r="E658" s="8"/>
      <c r="F658" s="8"/>
      <c r="G658" s="8"/>
      <c r="H658" s="8">
        <v>115337269.404516</v>
      </c>
      <c r="I658" s="8">
        <f t="shared" si="102"/>
        <v>117541166.27211821</v>
      </c>
      <c r="J658" s="8"/>
      <c r="K658" s="8"/>
      <c r="L658" s="8"/>
      <c r="M658" s="8"/>
      <c r="N658" s="8"/>
      <c r="O658" s="8"/>
      <c r="P658" s="8"/>
      <c r="Q658" s="8"/>
      <c r="R658" s="8"/>
      <c r="S658" s="8"/>
      <c r="T658" s="8"/>
      <c r="U658" s="8"/>
      <c r="V658" s="8"/>
      <c r="W658" s="8"/>
      <c r="X658" s="8"/>
      <c r="Y658" s="8"/>
      <c r="Z658" s="15">
        <f t="shared" si="98"/>
        <v>115337269.404516</v>
      </c>
      <c r="AC658" s="15">
        <f t="shared" si="99"/>
        <v>117541166.27211821</v>
      </c>
      <c r="AF658" s="51"/>
      <c r="AG658" s="8"/>
      <c r="AH658" s="8"/>
      <c r="AI658" s="8"/>
      <c r="AJ658" s="8"/>
      <c r="AK658" s="8"/>
      <c r="AL658" s="8"/>
      <c r="AM658" s="8"/>
      <c r="AN658" s="8">
        <v>145716736.869446</v>
      </c>
      <c r="AO658" s="8">
        <f t="shared" si="103"/>
        <v>120152009.04659678</v>
      </c>
      <c r="AP658" s="8">
        <v>-435168</v>
      </c>
      <c r="AQ658" s="8">
        <f t="shared" si="104"/>
        <v>119716841.04659678</v>
      </c>
      <c r="AR658" s="8"/>
      <c r="AS658" s="8"/>
      <c r="AT658" s="8"/>
      <c r="AU658" s="8"/>
      <c r="AV658" s="8"/>
      <c r="AW658" s="8"/>
      <c r="AX658" s="8"/>
      <c r="AY658" s="8"/>
      <c r="AZ658" s="8"/>
      <c r="BA658" s="8"/>
      <c r="BB658" s="8"/>
      <c r="BC658" s="8"/>
      <c r="BD658" s="8"/>
      <c r="BE658" s="8"/>
      <c r="BF658" s="8"/>
      <c r="BG658" s="8"/>
      <c r="BH658" s="8"/>
      <c r="BI658" s="8"/>
      <c r="BJ658" s="8"/>
      <c r="BK658" s="8"/>
      <c r="BL658" s="8"/>
      <c r="BM658" s="8"/>
      <c r="BN658" s="8"/>
      <c r="BO658" s="8">
        <v>337890.812235</v>
      </c>
      <c r="BP658" s="8"/>
      <c r="BQ658" s="8">
        <f t="shared" si="107"/>
        <v>145619459.681681</v>
      </c>
      <c r="BT658" s="8">
        <f t="shared" si="108"/>
        <v>119716841.04659678</v>
      </c>
      <c r="BW658" s="52"/>
      <c r="BX658" s="8">
        <f t="shared" si="105"/>
        <v>260956729.08619702</v>
      </c>
      <c r="BY658" s="8">
        <f t="shared" si="106"/>
        <v>237258007.31871498</v>
      </c>
    </row>
    <row r="659" spans="1:77" ht="12.75">
      <c r="A659" t="s">
        <v>1292</v>
      </c>
      <c r="B659" t="s">
        <v>634</v>
      </c>
      <c r="C659" s="18" t="s">
        <v>1325</v>
      </c>
      <c r="J659" s="1">
        <v>9519044.204535</v>
      </c>
      <c r="K659" s="1">
        <f>J659*RPI_inc</f>
        <v>9700936.768952867</v>
      </c>
      <c r="N659" s="1">
        <v>18617183.105124</v>
      </c>
      <c r="O659" s="1">
        <f>N659*RPI_inc</f>
        <v>18972925.45745121</v>
      </c>
      <c r="P659" s="1">
        <v>773225000</v>
      </c>
      <c r="Q659" s="1">
        <f>P659*RPI_inc</f>
        <v>788000000</v>
      </c>
      <c r="R659" s="1">
        <v>45188474.025974</v>
      </c>
      <c r="S659" s="1">
        <f>R659*RPI_inc</f>
        <v>46051948.051948026</v>
      </c>
      <c r="Z659" s="12">
        <f t="shared" si="98"/>
        <v>846549701.335633</v>
      </c>
      <c r="AC659" s="12">
        <f t="shared" si="99"/>
        <v>862725810.2783521</v>
      </c>
      <c r="AF659" s="51"/>
      <c r="AR659" s="1">
        <v>13748695.134621</v>
      </c>
      <c r="AS659" s="1">
        <f>AR659/$AR$680*$AS$680</f>
        <v>13478172.004047414</v>
      </c>
      <c r="AV659" s="1">
        <v>23394704</v>
      </c>
      <c r="AW659" s="1">
        <f>AV659/$AV$680*$AW$680</f>
        <v>21580834</v>
      </c>
      <c r="BH659" s="1">
        <v>9459710</v>
      </c>
      <c r="BI659" s="1">
        <v>9459393</v>
      </c>
      <c r="BK659" s="9">
        <f>BI659</f>
        <v>9459393</v>
      </c>
      <c r="BL659" s="9">
        <f>BH659+BK659</f>
        <v>18919103</v>
      </c>
      <c r="BM659" s="9"/>
      <c r="BO659" s="1">
        <v>1040269.42794</v>
      </c>
      <c r="BQ659" s="1">
        <f t="shared" si="107"/>
        <v>57102771.562561005</v>
      </c>
      <c r="BT659" s="9">
        <f t="shared" si="108"/>
        <v>53978109.004047416</v>
      </c>
      <c r="BW659" s="52"/>
      <c r="BX659" s="9">
        <f t="shared" si="105"/>
        <v>903652472.8981941</v>
      </c>
      <c r="BY659" s="9">
        <f t="shared" si="106"/>
        <v>916703919.2823995</v>
      </c>
    </row>
    <row r="660" spans="3:75" ht="12.75">
      <c r="C660" s="18"/>
      <c r="Z660" s="12"/>
      <c r="AF660" s="51"/>
      <c r="AH660" s="9"/>
      <c r="AI660" s="9"/>
      <c r="AJ660" s="9"/>
      <c r="AK660" s="9"/>
      <c r="BW660" s="52"/>
    </row>
    <row r="661" spans="1:77" ht="12.75">
      <c r="A661" t="s">
        <v>1407</v>
      </c>
      <c r="B661" s="18" t="s">
        <v>1322</v>
      </c>
      <c r="C661" s="18" t="s">
        <v>1342</v>
      </c>
      <c r="D661" s="1">
        <f aca="true" t="shared" si="109" ref="D661:AC662">SUMIF($C$2:$C$659,$C661,D$2:D$659)</f>
        <v>608954367.915535</v>
      </c>
      <c r="E661" s="1">
        <f t="shared" si="109"/>
        <v>620590438.6400357</v>
      </c>
      <c r="F661" s="1">
        <f t="shared" si="109"/>
        <v>266146533.028475</v>
      </c>
      <c r="G661" s="1">
        <f t="shared" si="109"/>
        <v>271232135.5704204</v>
      </c>
      <c r="H661" s="1">
        <f t="shared" si="109"/>
        <v>0</v>
      </c>
      <c r="I661" s="1">
        <f t="shared" si="109"/>
        <v>0</v>
      </c>
      <c r="J661" s="1">
        <f>SUMIF($C$2:$C$659,$C661,J$2:J$659)</f>
        <v>9587925.867807003</v>
      </c>
      <c r="K661" s="1">
        <f t="shared" si="109"/>
        <v>9771134.64235108</v>
      </c>
      <c r="L661" s="1">
        <f>SUMIF($C$2:$C$659,$C661,L$2:L$659)</f>
        <v>55289805.493476</v>
      </c>
      <c r="M661" s="1">
        <f t="shared" si="109"/>
        <v>56346298.59207745</v>
      </c>
      <c r="N661" s="1">
        <f t="shared" si="109"/>
        <v>0</v>
      </c>
      <c r="O661" s="1">
        <f t="shared" si="109"/>
        <v>0</v>
      </c>
      <c r="P661" s="1">
        <f t="shared" si="109"/>
        <v>0</v>
      </c>
      <c r="Q661" s="1">
        <f t="shared" si="109"/>
        <v>0</v>
      </c>
      <c r="R661" s="1">
        <f t="shared" si="109"/>
        <v>0</v>
      </c>
      <c r="S661" s="1">
        <f t="shared" si="109"/>
        <v>0</v>
      </c>
      <c r="T661" s="1">
        <f>SUMIF($C$2:$C$659,$C661,T$2:T$659)</f>
        <v>9723435.713262001</v>
      </c>
      <c r="U661" s="1">
        <f t="shared" si="109"/>
        <v>9909233.847910319</v>
      </c>
      <c r="V661" s="1">
        <f>SUMIF($C$2:$C$659,$C661,V$2:V$659)</f>
        <v>766582.705267</v>
      </c>
      <c r="W661" s="1">
        <f t="shared" si="109"/>
        <v>781230.782437707</v>
      </c>
      <c r="X661" s="1">
        <f>SUMIF($C$2:$C$659,$C661,X$2:X$659)</f>
        <v>29984507.818781</v>
      </c>
      <c r="Y661" s="1">
        <f t="shared" si="109"/>
        <v>30557460.19748382</v>
      </c>
      <c r="Z661" s="12">
        <f t="shared" si="109"/>
        <v>980453158.5426031</v>
      </c>
      <c r="AC661" s="12">
        <f t="shared" si="109"/>
        <v>999187932.2727165</v>
      </c>
      <c r="AF661" s="51"/>
      <c r="AG661" s="1">
        <f aca="true" t="shared" si="110" ref="AG661:AU662">SUMIF($C$2:$C$659,$C661,AG$2:AG$659)</f>
        <v>15920591</v>
      </c>
      <c r="AH661" s="9">
        <f t="shared" si="110"/>
        <v>11987098.452319998</v>
      </c>
      <c r="AI661" s="9">
        <f t="shared" si="110"/>
        <v>727616198.4693301</v>
      </c>
      <c r="AJ661" s="9">
        <f t="shared" si="110"/>
        <v>498744988.1321923</v>
      </c>
      <c r="AK661" s="9">
        <f t="shared" si="110"/>
        <v>486757889.6798724</v>
      </c>
      <c r="AL661" s="1">
        <f t="shared" si="110"/>
        <v>294033050.588283</v>
      </c>
      <c r="AM661" s="1">
        <f t="shared" si="110"/>
        <v>196867406.32886645</v>
      </c>
      <c r="AN661" s="1">
        <f t="shared" si="110"/>
        <v>0</v>
      </c>
      <c r="AO661" s="1">
        <f>SUMIF($C$2:$C$659,$C661,AO$2:AO$659)</f>
        <v>0</v>
      </c>
      <c r="AP661" s="1">
        <f>SUMIF($C$2:$C$659,$C661,AP$2:AP$659)</f>
        <v>0</v>
      </c>
      <c r="AQ661" s="1">
        <f>SUMIF($C$2:$C$659,$C661,AQ$2:AQ$659)</f>
        <v>0</v>
      </c>
      <c r="AR661" s="1">
        <f t="shared" si="110"/>
        <v>13848183.378225</v>
      </c>
      <c r="AS661" s="1">
        <f t="shared" si="110"/>
        <v>13575702.689435776</v>
      </c>
      <c r="AT661" s="1">
        <f t="shared" si="110"/>
        <v>69937060.15785299</v>
      </c>
      <c r="AU661" s="1">
        <f t="shared" si="110"/>
        <v>57719304.513340764</v>
      </c>
      <c r="AV661" s="1">
        <f aca="true" t="shared" si="111" ref="AV661:BQ662">SUMIF($C$2:$C$659,$C661,AV$2:AV$659)</f>
        <v>0</v>
      </c>
      <c r="AW661" s="1">
        <f t="shared" si="111"/>
        <v>0</v>
      </c>
      <c r="AX661" s="1">
        <f t="shared" si="111"/>
        <v>13793469.030208003</v>
      </c>
      <c r="AY661" s="1">
        <f t="shared" si="111"/>
        <v>13517137.11934768</v>
      </c>
      <c r="AZ661" s="1">
        <f t="shared" si="111"/>
        <v>1087458.7068289998</v>
      </c>
      <c r="BA661" s="1">
        <f t="shared" si="111"/>
        <v>1065673.0484859587</v>
      </c>
      <c r="BB661" s="1">
        <f t="shared" si="111"/>
        <v>44337339.863299</v>
      </c>
      <c r="BC661" s="1">
        <f t="shared" si="111"/>
        <v>43485205.7480934</v>
      </c>
      <c r="BD661" s="1">
        <f t="shared" si="111"/>
        <v>0</v>
      </c>
      <c r="BE661" s="1">
        <f t="shared" si="111"/>
        <v>0</v>
      </c>
      <c r="BF661" s="1">
        <f t="shared" si="111"/>
        <v>0</v>
      </c>
      <c r="BG661" s="1">
        <f t="shared" si="111"/>
        <v>0</v>
      </c>
      <c r="BH661" s="1">
        <f t="shared" si="111"/>
        <v>8266392</v>
      </c>
      <c r="BI661" s="1">
        <f t="shared" si="111"/>
        <v>0</v>
      </c>
      <c r="BK661" s="1">
        <f aca="true" t="shared" si="112" ref="BK661:BN662">SUMIF($C$2:$C$659,$C661,BK$2:BK$659)</f>
        <v>9874005.999999989</v>
      </c>
      <c r="BL661" s="1">
        <f t="shared" si="112"/>
        <v>18140397.99999999</v>
      </c>
      <c r="BM661" s="1">
        <f t="shared" si="112"/>
        <v>0</v>
      </c>
      <c r="BN661" s="1">
        <f t="shared" si="112"/>
        <v>0</v>
      </c>
      <c r="BO661" s="1">
        <f t="shared" si="111"/>
        <v>2872324.928523</v>
      </c>
      <c r="BP661" s="1">
        <f t="shared" si="111"/>
        <v>-361592</v>
      </c>
      <c r="BQ661" s="1">
        <f t="shared" si="111"/>
        <v>1201586074.1225502</v>
      </c>
      <c r="BT661" s="1">
        <f>SUMIF($C$2:$C$659,$C661,BT$2:BT$659)</f>
        <v>842754223.5797626</v>
      </c>
      <c r="BW661" s="52"/>
      <c r="BX661" s="1">
        <f>SUMIF($C$2:$C$659,$C661,BX$2:BX$659)</f>
        <v>2182039232.665153</v>
      </c>
      <c r="BY661" s="1">
        <f>SUMIF($C$2:$C$659,$C661,BY$2:BY$659)</f>
        <v>1841942155.852479</v>
      </c>
    </row>
    <row r="662" spans="1:77" ht="12.75">
      <c r="A662" t="s">
        <v>1408</v>
      </c>
      <c r="B662" s="18" t="s">
        <v>1323</v>
      </c>
      <c r="C662" s="18" t="s">
        <v>1343</v>
      </c>
      <c r="D662" s="1">
        <f t="shared" si="109"/>
        <v>612935211.590231</v>
      </c>
      <c r="E662" s="1">
        <f t="shared" si="109"/>
        <v>624647349.3913181</v>
      </c>
      <c r="F662" s="1">
        <f t="shared" si="109"/>
        <v>211873194.964377</v>
      </c>
      <c r="G662" s="1">
        <f t="shared" si="109"/>
        <v>215921727.35223135</v>
      </c>
      <c r="H662" s="1">
        <f t="shared" si="109"/>
        <v>0</v>
      </c>
      <c r="I662" s="1">
        <f t="shared" si="109"/>
        <v>0</v>
      </c>
      <c r="J662" s="1">
        <f>SUMIF($C$2:$C$659,$C662,J$2:J$659)</f>
        <v>21147576.822918996</v>
      </c>
      <c r="K662" s="1">
        <f t="shared" si="109"/>
        <v>21551670.64756076</v>
      </c>
      <c r="L662" s="1">
        <f>SUMIF($C$2:$C$659,$C662,L$2:L$659)</f>
        <v>75660010.648462</v>
      </c>
      <c r="M662" s="1">
        <f t="shared" si="109"/>
        <v>77105743.33601223</v>
      </c>
      <c r="N662" s="1">
        <f t="shared" si="109"/>
        <v>0</v>
      </c>
      <c r="O662" s="1">
        <f t="shared" si="109"/>
        <v>0</v>
      </c>
      <c r="P662" s="1">
        <f t="shared" si="109"/>
        <v>0</v>
      </c>
      <c r="Q662" s="1">
        <f t="shared" si="109"/>
        <v>0</v>
      </c>
      <c r="R662" s="1">
        <f t="shared" si="109"/>
        <v>0</v>
      </c>
      <c r="S662" s="1">
        <f t="shared" si="109"/>
        <v>0</v>
      </c>
      <c r="T662" s="1">
        <f>SUMIF($C$2:$C$659,$C662,T$2:T$659)</f>
        <v>4865301.514702</v>
      </c>
      <c r="U662" s="1">
        <f t="shared" si="109"/>
        <v>4958269.059568918</v>
      </c>
      <c r="V662" s="1">
        <f>SUMIF($C$2:$C$659,$C662,V$2:V$659)</f>
        <v>1062593.9209669998</v>
      </c>
      <c r="W662" s="1">
        <f t="shared" si="109"/>
        <v>1082898.26340586</v>
      </c>
      <c r="X662" s="1">
        <f>SUMIF($C$2:$C$659,$C662,X$2:X$659)</f>
        <v>61039983.645767</v>
      </c>
      <c r="Y662" s="1">
        <f t="shared" si="109"/>
        <v>62206352.76001731</v>
      </c>
      <c r="Z662" s="12">
        <f t="shared" si="109"/>
        <v>988583873.1074251</v>
      </c>
      <c r="AC662" s="12">
        <f t="shared" si="109"/>
        <v>1007474010.8101147</v>
      </c>
      <c r="AF662" s="51"/>
      <c r="AG662" s="1">
        <f t="shared" si="110"/>
        <v>16520695</v>
      </c>
      <c r="AH662" s="9">
        <f t="shared" si="110"/>
        <v>12438935.053714443</v>
      </c>
      <c r="AI662" s="9">
        <f t="shared" si="110"/>
        <v>732372755.7647479</v>
      </c>
      <c r="AJ662" s="9">
        <f t="shared" si="110"/>
        <v>502005373.3694149</v>
      </c>
      <c r="AK662" s="9">
        <f t="shared" si="110"/>
        <v>489566438.3157004</v>
      </c>
      <c r="AL662" s="1">
        <f t="shared" si="110"/>
        <v>234073016.63627696</v>
      </c>
      <c r="AM662" s="1">
        <f t="shared" si="110"/>
        <v>156721659.63846838</v>
      </c>
      <c r="AN662" s="1">
        <f t="shared" si="110"/>
        <v>0</v>
      </c>
      <c r="AO662" s="1">
        <f t="shared" si="110"/>
        <v>0</v>
      </c>
      <c r="AP662" s="1">
        <f t="shared" si="110"/>
        <v>0</v>
      </c>
      <c r="AQ662" s="1">
        <f t="shared" si="110"/>
        <v>0</v>
      </c>
      <c r="AR662" s="1">
        <f t="shared" si="110"/>
        <v>30544199.64094601</v>
      </c>
      <c r="AS662" s="1">
        <f t="shared" si="110"/>
        <v>29943203.515362695</v>
      </c>
      <c r="AT662" s="1">
        <f t="shared" si="110"/>
        <v>95703695.627756</v>
      </c>
      <c r="AU662" s="1">
        <f t="shared" si="110"/>
        <v>78984600.4181842</v>
      </c>
      <c r="AV662" s="1">
        <f t="shared" si="111"/>
        <v>0</v>
      </c>
      <c r="AW662" s="1">
        <f t="shared" si="111"/>
        <v>0</v>
      </c>
      <c r="AX662" s="1">
        <f t="shared" si="111"/>
        <v>6901818.219889001</v>
      </c>
      <c r="AY662" s="1">
        <f t="shared" si="111"/>
        <v>6763550.41989353</v>
      </c>
      <c r="AZ662" s="1">
        <f t="shared" si="111"/>
        <v>1507374.2249030005</v>
      </c>
      <c r="BA662" s="1">
        <f t="shared" si="111"/>
        <v>1477176.1680456493</v>
      </c>
      <c r="BB662" s="1">
        <f t="shared" si="111"/>
        <v>90258293.266279</v>
      </c>
      <c r="BC662" s="1">
        <f t="shared" si="111"/>
        <v>88523589.03933251</v>
      </c>
      <c r="BD662" s="1">
        <f t="shared" si="111"/>
        <v>0</v>
      </c>
      <c r="BE662" s="1">
        <f t="shared" si="111"/>
        <v>0</v>
      </c>
      <c r="BF662" s="1">
        <f t="shared" si="111"/>
        <v>0</v>
      </c>
      <c r="BG662" s="1">
        <f t="shared" si="111"/>
        <v>0</v>
      </c>
      <c r="BH662" s="1">
        <f t="shared" si="111"/>
        <v>16331309</v>
      </c>
      <c r="BI662" s="1">
        <f t="shared" si="111"/>
        <v>0</v>
      </c>
      <c r="BK662" s="1">
        <f t="shared" si="112"/>
        <v>21423521.00000001</v>
      </c>
      <c r="BL662" s="1">
        <f t="shared" si="112"/>
        <v>37754830.000000015</v>
      </c>
      <c r="BM662" s="1">
        <f t="shared" si="112"/>
        <v>0</v>
      </c>
      <c r="BN662" s="1">
        <f t="shared" si="112"/>
        <v>0</v>
      </c>
      <c r="BO662" s="1">
        <f t="shared" si="111"/>
        <v>2896144.58164</v>
      </c>
      <c r="BP662" s="1">
        <f t="shared" si="111"/>
        <v>-884318</v>
      </c>
      <c r="BQ662" s="1">
        <f t="shared" si="111"/>
        <v>1248532822.962438</v>
      </c>
      <c r="BT662" s="1">
        <f>SUMIF($C$2:$C$659,$C662,BT$2:BT$659)</f>
        <v>901289664.5687019</v>
      </c>
      <c r="BW662" s="52"/>
      <c r="BX662" s="1">
        <f>SUMIF($C$2:$C$659,$C662,BX$2:BX$659)</f>
        <v>2237116696.0698633</v>
      </c>
      <c r="BY662" s="1">
        <f>SUMIF($C$2:$C$659,$C662,BY$2:BY$659)</f>
        <v>1908763675.3788173</v>
      </c>
    </row>
    <row r="663" spans="1:77" ht="12.75">
      <c r="A663" t="s">
        <v>1409</v>
      </c>
      <c r="B663" s="18" t="s">
        <v>1324</v>
      </c>
      <c r="C663" s="18"/>
      <c r="D663" s="1">
        <f aca="true" t="shared" si="113" ref="D663:AC663">D661+D662</f>
        <v>1221889579.505766</v>
      </c>
      <c r="E663" s="1">
        <f t="shared" si="113"/>
        <v>1245237788.031354</v>
      </c>
      <c r="F663" s="1">
        <f t="shared" si="113"/>
        <v>478019727.992852</v>
      </c>
      <c r="G663" s="1">
        <f t="shared" si="113"/>
        <v>487153862.92265177</v>
      </c>
      <c r="H663" s="1">
        <f t="shared" si="113"/>
        <v>0</v>
      </c>
      <c r="I663" s="1">
        <f t="shared" si="113"/>
        <v>0</v>
      </c>
      <c r="J663" s="1">
        <f>J661+J662</f>
        <v>30735502.690725997</v>
      </c>
      <c r="K663" s="1">
        <f t="shared" si="113"/>
        <v>31322805.28991184</v>
      </c>
      <c r="L663" s="1">
        <f>L661+L662</f>
        <v>130949816.141938</v>
      </c>
      <c r="M663" s="1">
        <f t="shared" si="113"/>
        <v>133452041.92808968</v>
      </c>
      <c r="N663" s="1">
        <f t="shared" si="113"/>
        <v>0</v>
      </c>
      <c r="O663" s="1">
        <f t="shared" si="113"/>
        <v>0</v>
      </c>
      <c r="P663" s="1">
        <f t="shared" si="113"/>
        <v>0</v>
      </c>
      <c r="Q663" s="1">
        <f t="shared" si="113"/>
        <v>0</v>
      </c>
      <c r="R663" s="1">
        <f t="shared" si="113"/>
        <v>0</v>
      </c>
      <c r="S663" s="1">
        <f t="shared" si="113"/>
        <v>0</v>
      </c>
      <c r="T663" s="1">
        <f>T661+T662</f>
        <v>14588737.227964</v>
      </c>
      <c r="U663" s="1">
        <f t="shared" si="113"/>
        <v>14867502.907479238</v>
      </c>
      <c r="V663" s="1">
        <f>V661+V662</f>
        <v>1829176.6262339999</v>
      </c>
      <c r="W663" s="1">
        <f t="shared" si="113"/>
        <v>1864129.0458435668</v>
      </c>
      <c r="X663" s="1">
        <f>X661+X662</f>
        <v>91024491.464548</v>
      </c>
      <c r="Y663" s="1">
        <f t="shared" si="113"/>
        <v>92763812.95750113</v>
      </c>
      <c r="Z663" s="12">
        <f t="shared" si="113"/>
        <v>1969037031.6500282</v>
      </c>
      <c r="AC663" s="12">
        <f t="shared" si="113"/>
        <v>2006661943.0828314</v>
      </c>
      <c r="AF663" s="51"/>
      <c r="AG663" s="1">
        <f>AG661+AG662</f>
        <v>32441286</v>
      </c>
      <c r="AH663" s="9">
        <f>AH661+AH662</f>
        <v>24426033.50603444</v>
      </c>
      <c r="AI663" s="9">
        <f aca="true" t="shared" si="114" ref="AI663:BQ663">AI661+AI662</f>
        <v>1459988954.234078</v>
      </c>
      <c r="AJ663" s="9">
        <f t="shared" si="114"/>
        <v>1000750361.5016072</v>
      </c>
      <c r="AK663" s="9">
        <f t="shared" si="114"/>
        <v>976324327.9955728</v>
      </c>
      <c r="AL663" s="1">
        <f t="shared" si="114"/>
        <v>528106067.22455996</v>
      </c>
      <c r="AM663" s="1">
        <f t="shared" si="114"/>
        <v>353589065.96733487</v>
      </c>
      <c r="AN663" s="1">
        <f t="shared" si="114"/>
        <v>0</v>
      </c>
      <c r="AO663" s="1">
        <f t="shared" si="114"/>
        <v>0</v>
      </c>
      <c r="AP663" s="1">
        <f>AP661+AP662</f>
        <v>0</v>
      </c>
      <c r="AQ663" s="1">
        <f>AQ661+AQ662</f>
        <v>0</v>
      </c>
      <c r="AR663" s="1">
        <f t="shared" si="114"/>
        <v>44392383.01917101</v>
      </c>
      <c r="AS663" s="1">
        <f t="shared" si="114"/>
        <v>43518906.204798475</v>
      </c>
      <c r="AT663" s="1">
        <f t="shared" si="114"/>
        <v>165640755.785609</v>
      </c>
      <c r="AU663" s="1">
        <f t="shared" si="114"/>
        <v>136703904.93152496</v>
      </c>
      <c r="AV663" s="1">
        <f t="shared" si="114"/>
        <v>0</v>
      </c>
      <c r="AW663" s="1">
        <f t="shared" si="114"/>
        <v>0</v>
      </c>
      <c r="AX663" s="1">
        <f t="shared" si="114"/>
        <v>20695287.250097003</v>
      </c>
      <c r="AY663" s="1">
        <f t="shared" si="114"/>
        <v>20280687.53924121</v>
      </c>
      <c r="AZ663" s="1">
        <f t="shared" si="114"/>
        <v>2594832.9317320003</v>
      </c>
      <c r="BA663" s="1">
        <f t="shared" si="114"/>
        <v>2542849.2165316083</v>
      </c>
      <c r="BB663" s="1">
        <f t="shared" si="114"/>
        <v>134595633.129578</v>
      </c>
      <c r="BC663" s="1">
        <f t="shared" si="114"/>
        <v>132008794.7874259</v>
      </c>
      <c r="BD663" s="1">
        <f t="shared" si="114"/>
        <v>0</v>
      </c>
      <c r="BE663" s="1">
        <f>BE661+BE662</f>
        <v>0</v>
      </c>
      <c r="BF663" s="1">
        <f>BF661+BF662</f>
        <v>0</v>
      </c>
      <c r="BG663" s="1">
        <f t="shared" si="114"/>
        <v>0</v>
      </c>
      <c r="BH663" s="1">
        <f t="shared" si="114"/>
        <v>24597701</v>
      </c>
      <c r="BI663" s="1">
        <f>BI661+BI662</f>
        <v>0</v>
      </c>
      <c r="BK663" s="1">
        <f>BK661+BK662</f>
        <v>31297527</v>
      </c>
      <c r="BL663" s="1">
        <f>BL661+BL662</f>
        <v>55895228</v>
      </c>
      <c r="BM663" s="1">
        <f>BM661+BM662</f>
        <v>0</v>
      </c>
      <c r="BN663" s="1">
        <f>BN661+BN662</f>
        <v>0</v>
      </c>
      <c r="BO663" s="1">
        <f t="shared" si="114"/>
        <v>5768469.510163</v>
      </c>
      <c r="BP663" s="1">
        <f>BP661+BP662</f>
        <v>-1245910</v>
      </c>
      <c r="BQ663" s="1">
        <f t="shared" si="114"/>
        <v>2450118897.0849886</v>
      </c>
      <c r="BT663" s="1">
        <f>BT661+BT662</f>
        <v>1744043888.1484644</v>
      </c>
      <c r="BW663" s="52"/>
      <c r="BX663" s="1">
        <f>BX661+BX662</f>
        <v>4419155928.735016</v>
      </c>
      <c r="BY663" s="1">
        <f>BY661+BY662</f>
        <v>3750705831.2312965</v>
      </c>
    </row>
    <row r="664" spans="1:77" ht="12.75">
      <c r="A664" t="s">
        <v>1410</v>
      </c>
      <c r="B664" s="18" t="s">
        <v>1325</v>
      </c>
      <c r="C664" s="18" t="s">
        <v>1325</v>
      </c>
      <c r="D664" s="1">
        <f aca="true" t="shared" si="115" ref="D664:AC664">SUMIF($C$2:$C$659,$C664,D$2:D$659)</f>
        <v>0</v>
      </c>
      <c r="E664" s="1">
        <f t="shared" si="115"/>
        <v>0</v>
      </c>
      <c r="F664" s="1">
        <f t="shared" si="115"/>
        <v>0</v>
      </c>
      <c r="G664" s="1">
        <f t="shared" si="115"/>
        <v>0</v>
      </c>
      <c r="H664" s="1">
        <f t="shared" si="115"/>
        <v>115337269.404516</v>
      </c>
      <c r="I664" s="1">
        <f t="shared" si="115"/>
        <v>117541166.27211821</v>
      </c>
      <c r="J664" s="1">
        <f>SUMIF($C$2:$C$659,$C664,J$2:J$659)</f>
        <v>9519044.204535</v>
      </c>
      <c r="K664" s="1">
        <f t="shared" si="115"/>
        <v>9700936.768952867</v>
      </c>
      <c r="L664" s="1">
        <f>SUMIF($C$2:$C$659,$C664,L$2:L$659)</f>
        <v>0</v>
      </c>
      <c r="M664" s="1">
        <f t="shared" si="115"/>
        <v>0</v>
      </c>
      <c r="N664" s="1">
        <f t="shared" si="115"/>
        <v>18617183.105124</v>
      </c>
      <c r="O664" s="1">
        <f t="shared" si="115"/>
        <v>18972925.45745121</v>
      </c>
      <c r="P664" s="1">
        <f t="shared" si="115"/>
        <v>773225000</v>
      </c>
      <c r="Q664" s="1">
        <f t="shared" si="115"/>
        <v>788000000</v>
      </c>
      <c r="R664" s="1">
        <f t="shared" si="115"/>
        <v>45188474.025974</v>
      </c>
      <c r="S664" s="1">
        <f t="shared" si="115"/>
        <v>46051948.051948026</v>
      </c>
      <c r="T664" s="1">
        <f>SUMIF($C$2:$C$659,$C664,T$2:T$659)</f>
        <v>0</v>
      </c>
      <c r="U664" s="1">
        <f t="shared" si="115"/>
        <v>0</v>
      </c>
      <c r="V664" s="1">
        <f>SUMIF($C$2:$C$659,$C664,V$2:V$659)</f>
        <v>0</v>
      </c>
      <c r="W664" s="1">
        <f t="shared" si="115"/>
        <v>0</v>
      </c>
      <c r="X664" s="1">
        <f>SUMIF($C$2:$C$659,$C664,X$2:X$659)</f>
        <v>0</v>
      </c>
      <c r="Y664" s="1">
        <f t="shared" si="115"/>
        <v>0</v>
      </c>
      <c r="Z664" s="12">
        <f t="shared" si="115"/>
        <v>961886970.740149</v>
      </c>
      <c r="AC664" s="12">
        <f t="shared" si="115"/>
        <v>980266976.5504704</v>
      </c>
      <c r="AF664" s="51"/>
      <c r="AG664" s="1">
        <f aca="true" t="shared" si="116" ref="AG664:BQ664">SUMIF($C$2:$C$659,$C664,AG$2:AG$659)</f>
        <v>0</v>
      </c>
      <c r="AH664" s="9">
        <f t="shared" si="116"/>
        <v>0</v>
      </c>
      <c r="AI664" s="9">
        <f t="shared" si="116"/>
        <v>0</v>
      </c>
      <c r="AJ664" s="9">
        <f t="shared" si="116"/>
        <v>0</v>
      </c>
      <c r="AK664" s="9">
        <f t="shared" si="116"/>
        <v>0</v>
      </c>
      <c r="AL664" s="1">
        <f t="shared" si="116"/>
        <v>0</v>
      </c>
      <c r="AM664" s="1">
        <f t="shared" si="116"/>
        <v>0</v>
      </c>
      <c r="AN664" s="1">
        <f t="shared" si="116"/>
        <v>145716736.869446</v>
      </c>
      <c r="AO664" s="1">
        <f t="shared" si="116"/>
        <v>120152009.04659678</v>
      </c>
      <c r="AP664" s="1">
        <f t="shared" si="116"/>
        <v>-435168</v>
      </c>
      <c r="AQ664" s="1">
        <f t="shared" si="116"/>
        <v>119716841.04659678</v>
      </c>
      <c r="AR664" s="1">
        <f t="shared" si="116"/>
        <v>13748695.134621</v>
      </c>
      <c r="AS664" s="1">
        <f t="shared" si="116"/>
        <v>13478172.004047414</v>
      </c>
      <c r="AT664" s="1">
        <f t="shared" si="116"/>
        <v>0</v>
      </c>
      <c r="AU664" s="1">
        <f t="shared" si="116"/>
        <v>0</v>
      </c>
      <c r="AV664" s="1">
        <f t="shared" si="116"/>
        <v>23394704</v>
      </c>
      <c r="AW664" s="1">
        <f t="shared" si="116"/>
        <v>21580834</v>
      </c>
      <c r="AX664" s="1">
        <f t="shared" si="116"/>
        <v>0</v>
      </c>
      <c r="AY664" s="1">
        <f t="shared" si="116"/>
        <v>0</v>
      </c>
      <c r="AZ664" s="1">
        <f t="shared" si="116"/>
        <v>0</v>
      </c>
      <c r="BA664" s="1">
        <f t="shared" si="116"/>
        <v>0</v>
      </c>
      <c r="BB664" s="1">
        <f t="shared" si="116"/>
        <v>0</v>
      </c>
      <c r="BC664" s="1">
        <f t="shared" si="116"/>
        <v>0</v>
      </c>
      <c r="BD664" s="1">
        <f t="shared" si="116"/>
        <v>0</v>
      </c>
      <c r="BE664" s="1">
        <f t="shared" si="116"/>
        <v>0</v>
      </c>
      <c r="BF664" s="1">
        <f t="shared" si="116"/>
        <v>0</v>
      </c>
      <c r="BG664" s="1">
        <f t="shared" si="116"/>
        <v>0</v>
      </c>
      <c r="BH664" s="1">
        <f t="shared" si="116"/>
        <v>9459710</v>
      </c>
      <c r="BI664" s="1">
        <f t="shared" si="116"/>
        <v>9459393</v>
      </c>
      <c r="BK664" s="1">
        <f>SUMIF($C$2:$C$659,$C664,BK$2:BK$659)</f>
        <v>9459393</v>
      </c>
      <c r="BL664" s="1">
        <f>SUMIF($C$2:$C$659,$C664,BL$2:BL$659)</f>
        <v>18919103</v>
      </c>
      <c r="BM664" s="1">
        <f>SUMIF($C$2:$C$659,$C664,BM$2:BM$659)</f>
        <v>0</v>
      </c>
      <c r="BN664" s="1">
        <f>SUMIF($C$2:$C$659,$C664,BN$2:BN$659)</f>
        <v>0</v>
      </c>
      <c r="BO664" s="1">
        <f t="shared" si="116"/>
        <v>1378160.240175</v>
      </c>
      <c r="BP664" s="1">
        <f t="shared" si="116"/>
        <v>0</v>
      </c>
      <c r="BQ664" s="1">
        <f t="shared" si="116"/>
        <v>202722231.244242</v>
      </c>
      <c r="BT664" s="1">
        <f>SUMIF($C$2:$C$659,$C664,BT$2:BT$659)</f>
        <v>173694950.0506442</v>
      </c>
      <c r="BW664" s="52"/>
      <c r="BX664" s="1">
        <f>SUMIF($C$2:$C$659,$C664,BX$2:BX$659)</f>
        <v>1164609201.9843912</v>
      </c>
      <c r="BY664" s="1">
        <f>SUMIF($C$2:$C$659,$C664,BY$2:BY$659)</f>
        <v>1153961926.6011145</v>
      </c>
    </row>
    <row r="665" spans="3:75" ht="12.75">
      <c r="C665" s="18"/>
      <c r="D665" s="1"/>
      <c r="Z665" s="12"/>
      <c r="AF665" s="51"/>
      <c r="AH665" s="9"/>
      <c r="AI665" s="9"/>
      <c r="AJ665" s="9"/>
      <c r="AK665" s="9"/>
      <c r="BW665" s="52"/>
    </row>
    <row r="666" spans="1:77" ht="12.75">
      <c r="A666" t="s">
        <v>1413</v>
      </c>
      <c r="B666" t="s">
        <v>1326</v>
      </c>
      <c r="C666" s="18" t="s">
        <v>1341</v>
      </c>
      <c r="D666" s="1">
        <f aca="true" t="shared" si="117" ref="D666:M667">SUMIF($C$2:$C$659,$C666,D$2:D$659)</f>
        <v>2003225929.5974598</v>
      </c>
      <c r="E666" s="1">
        <f t="shared" si="117"/>
        <v>2041504132.0738444</v>
      </c>
      <c r="F666" s="1">
        <f t="shared" si="117"/>
        <v>394490059.9568721</v>
      </c>
      <c r="G666" s="1">
        <f t="shared" si="117"/>
        <v>402028086.58025163</v>
      </c>
      <c r="H666" s="1">
        <f t="shared" si="117"/>
        <v>0</v>
      </c>
      <c r="I666" s="1">
        <f t="shared" si="117"/>
        <v>0</v>
      </c>
      <c r="J666" s="1">
        <f t="shared" si="117"/>
        <v>42252803.433616</v>
      </c>
      <c r="K666" s="1">
        <f t="shared" si="117"/>
        <v>43060181.843175545</v>
      </c>
      <c r="L666" s="1">
        <f t="shared" si="117"/>
        <v>175497792.200128</v>
      </c>
      <c r="M666" s="1">
        <f t="shared" si="117"/>
        <v>178851253.19758263</v>
      </c>
      <c r="N666" s="1">
        <f aca="true" t="shared" si="118" ref="D666:AC667">SUMIF($C$2:$C$659,$C666,N$2:N$659)</f>
        <v>0</v>
      </c>
      <c r="O666" s="1">
        <f t="shared" si="118"/>
        <v>0</v>
      </c>
      <c r="P666" s="1">
        <f t="shared" si="118"/>
        <v>0</v>
      </c>
      <c r="Q666" s="1">
        <f t="shared" si="118"/>
        <v>0</v>
      </c>
      <c r="R666" s="1">
        <f t="shared" si="118"/>
        <v>0</v>
      </c>
      <c r="S666" s="1">
        <f t="shared" si="118"/>
        <v>0</v>
      </c>
      <c r="T666" s="1">
        <f t="shared" si="118"/>
        <v>3343844.594027</v>
      </c>
      <c r="U666" s="1">
        <f t="shared" si="118"/>
        <v>3407739.7136580893</v>
      </c>
      <c r="V666" s="1">
        <f t="shared" si="118"/>
        <v>1837607.325416</v>
      </c>
      <c r="W666" s="1">
        <f t="shared" si="118"/>
        <v>1872720.8411882794</v>
      </c>
      <c r="X666" s="1">
        <f t="shared" si="118"/>
        <v>129994366.38216</v>
      </c>
      <c r="Y666" s="1">
        <f t="shared" si="118"/>
        <v>132478335.16653249</v>
      </c>
      <c r="Z666" s="12">
        <f t="shared" si="118"/>
        <v>2750642403.4896793</v>
      </c>
      <c r="AC666" s="12">
        <f t="shared" si="118"/>
        <v>2803202449.4162335</v>
      </c>
      <c r="AF666" s="51"/>
      <c r="AG666" s="1">
        <f aca="true" t="shared" si="119" ref="AG666:AU667">SUMIF($C$2:$C$659,$C666,AG$2:AG$659)</f>
        <v>55695524</v>
      </c>
      <c r="AH666" s="9">
        <f t="shared" si="119"/>
        <v>41934858.41961213</v>
      </c>
      <c r="AI666" s="9">
        <f t="shared" si="119"/>
        <v>2393577766.029046</v>
      </c>
      <c r="AJ666" s="9">
        <f t="shared" si="119"/>
        <v>1640679409.0386863</v>
      </c>
      <c r="AK666" s="9">
        <f t="shared" si="119"/>
        <v>1598744550.619074</v>
      </c>
      <c r="AL666" s="1">
        <f t="shared" si="119"/>
        <v>435824259.80150807</v>
      </c>
      <c r="AM666" s="1">
        <f t="shared" si="119"/>
        <v>291802542.16544175</v>
      </c>
      <c r="AN666" s="1">
        <f t="shared" si="119"/>
        <v>0</v>
      </c>
      <c r="AO666" s="1">
        <f t="shared" si="119"/>
        <v>0</v>
      </c>
      <c r="AP666" s="1">
        <f t="shared" si="119"/>
        <v>0</v>
      </c>
      <c r="AQ666" s="1">
        <f t="shared" si="119"/>
        <v>0</v>
      </c>
      <c r="AR666" s="1">
        <f t="shared" si="119"/>
        <v>61027231.35953999</v>
      </c>
      <c r="AS666" s="1">
        <f t="shared" si="119"/>
        <v>59826442.66534248</v>
      </c>
      <c r="AT666" s="1">
        <f t="shared" si="119"/>
        <v>221990284.485974</v>
      </c>
      <c r="AU666" s="1">
        <f t="shared" si="119"/>
        <v>183209371.4023571</v>
      </c>
      <c r="AV666" s="1">
        <f aca="true" t="shared" si="120" ref="AV666:BQ667">SUMIF($C$2:$C$659,$C666,AV$2:AV$659)</f>
        <v>0</v>
      </c>
      <c r="AW666" s="1">
        <f t="shared" si="120"/>
        <v>0</v>
      </c>
      <c r="AX666" s="1">
        <f t="shared" si="120"/>
        <v>4743510.237500998</v>
      </c>
      <c r="AY666" s="1">
        <f t="shared" si="120"/>
        <v>4648480.970733987</v>
      </c>
      <c r="AZ666" s="1">
        <f t="shared" si="120"/>
        <v>2606792.550921</v>
      </c>
      <c r="BA666" s="1">
        <f t="shared" si="120"/>
        <v>2554569.242091968</v>
      </c>
      <c r="BB666" s="1">
        <f t="shared" si="120"/>
        <v>192219410.01779902</v>
      </c>
      <c r="BC666" s="1">
        <f t="shared" si="120"/>
        <v>188525081.09806952</v>
      </c>
      <c r="BD666" s="1">
        <f t="shared" si="120"/>
        <v>0</v>
      </c>
      <c r="BE666" s="1">
        <f t="shared" si="120"/>
        <v>0</v>
      </c>
      <c r="BF666" s="1">
        <f t="shared" si="120"/>
        <v>0</v>
      </c>
      <c r="BG666" s="1">
        <f t="shared" si="120"/>
        <v>0</v>
      </c>
      <c r="BH666" s="1">
        <f t="shared" si="120"/>
        <v>24602937</v>
      </c>
      <c r="BI666" s="1">
        <f t="shared" si="120"/>
        <v>0</v>
      </c>
      <c r="BK666" s="1">
        <f aca="true" t="shared" si="121" ref="BK666:BN667">SUMIF($C$2:$C$659,$C666,BK$2:BK$659)</f>
        <v>24128277.000000004</v>
      </c>
      <c r="BL666" s="1">
        <f t="shared" si="121"/>
        <v>48731214</v>
      </c>
      <c r="BM666" s="1">
        <f t="shared" si="121"/>
        <v>0</v>
      </c>
      <c r="BN666" s="1">
        <f t="shared" si="121"/>
        <v>0</v>
      </c>
      <c r="BO666" s="1">
        <f t="shared" si="120"/>
        <v>8058252.121640997</v>
      </c>
      <c r="BP666" s="1">
        <f t="shared" si="120"/>
        <v>-700705</v>
      </c>
      <c r="BQ666" s="1">
        <f t="shared" si="120"/>
        <v>3424474244.6039295</v>
      </c>
      <c r="BT666" s="1">
        <f>SUMIF($C$2:$C$659,$C666,BT$2:BT$659)</f>
        <v>2419276405.582723</v>
      </c>
      <c r="BW666" s="52"/>
      <c r="BX666" s="1">
        <f>SUMIF($C$2:$C$659,$C666,BX$2:BX$659)</f>
        <v>6175116648.09361</v>
      </c>
      <c r="BY666" s="1">
        <f>SUMIF($C$2:$C$659,$C666,BY$2:BY$659)</f>
        <v>5222478854.998958</v>
      </c>
    </row>
    <row r="667" spans="1:77" ht="12.75">
      <c r="A667" t="s">
        <v>1414</v>
      </c>
      <c r="B667" t="s">
        <v>1327</v>
      </c>
      <c r="C667" s="18" t="s">
        <v>1351</v>
      </c>
      <c r="D667" s="1">
        <f t="shared" si="118"/>
        <v>0</v>
      </c>
      <c r="E667" s="1">
        <f t="shared" si="118"/>
        <v>0</v>
      </c>
      <c r="F667" s="1">
        <f t="shared" si="118"/>
        <v>0</v>
      </c>
      <c r="G667" s="1">
        <f t="shared" si="118"/>
        <v>0</v>
      </c>
      <c r="H667" s="1">
        <f t="shared" si="118"/>
        <v>124400139.43135501</v>
      </c>
      <c r="I667" s="1">
        <f t="shared" si="118"/>
        <v>126777212.15934268</v>
      </c>
      <c r="J667" s="1">
        <f t="shared" si="117"/>
        <v>1940740.4350509997</v>
      </c>
      <c r="K667" s="1">
        <f t="shared" si="118"/>
        <v>1977824.6471857326</v>
      </c>
      <c r="L667" s="1">
        <f t="shared" si="117"/>
        <v>0</v>
      </c>
      <c r="M667" s="1">
        <f t="shared" si="118"/>
        <v>0</v>
      </c>
      <c r="N667" s="1">
        <f t="shared" si="118"/>
        <v>0</v>
      </c>
      <c r="O667" s="1">
        <f t="shared" si="118"/>
        <v>0</v>
      </c>
      <c r="P667" s="1">
        <f t="shared" si="118"/>
        <v>0</v>
      </c>
      <c r="Q667" s="1">
        <f t="shared" si="118"/>
        <v>0</v>
      </c>
      <c r="R667" s="1">
        <f t="shared" si="118"/>
        <v>0</v>
      </c>
      <c r="S667" s="1">
        <f t="shared" si="118"/>
        <v>0</v>
      </c>
      <c r="T667" s="1">
        <f t="shared" si="118"/>
        <v>0</v>
      </c>
      <c r="U667" s="1">
        <f t="shared" si="118"/>
        <v>0</v>
      </c>
      <c r="V667" s="1">
        <f t="shared" si="118"/>
        <v>0</v>
      </c>
      <c r="W667" s="1">
        <f t="shared" si="118"/>
        <v>0</v>
      </c>
      <c r="X667" s="1">
        <f t="shared" si="118"/>
        <v>0</v>
      </c>
      <c r="Y667" s="1">
        <f t="shared" si="118"/>
        <v>0</v>
      </c>
      <c r="Z667" s="12">
        <f t="shared" si="118"/>
        <v>126340879.866406</v>
      </c>
      <c r="AC667" s="12">
        <f t="shared" si="118"/>
        <v>128755036.80652842</v>
      </c>
      <c r="AF667" s="51"/>
      <c r="AG667" s="1">
        <f t="shared" si="119"/>
        <v>0</v>
      </c>
      <c r="AH667" s="9">
        <f t="shared" si="119"/>
        <v>0</v>
      </c>
      <c r="AI667" s="9">
        <f t="shared" si="119"/>
        <v>0</v>
      </c>
      <c r="AJ667" s="9">
        <f t="shared" si="119"/>
        <v>0</v>
      </c>
      <c r="AK667" s="9">
        <f t="shared" si="119"/>
        <v>0</v>
      </c>
      <c r="AL667" s="1">
        <f t="shared" si="119"/>
        <v>0</v>
      </c>
      <c r="AM667" s="1">
        <f t="shared" si="119"/>
        <v>0</v>
      </c>
      <c r="AN667" s="1">
        <f t="shared" si="119"/>
        <v>157166737.84312204</v>
      </c>
      <c r="AO667" s="1">
        <f t="shared" si="119"/>
        <v>129593207.43004154</v>
      </c>
      <c r="AP667" s="1">
        <f t="shared" si="119"/>
        <v>-462462</v>
      </c>
      <c r="AQ667" s="1">
        <f t="shared" si="119"/>
        <v>129130745.43004154</v>
      </c>
      <c r="AR667" s="1">
        <f t="shared" si="119"/>
        <v>2803080.645873</v>
      </c>
      <c r="AS667" s="1">
        <f t="shared" si="119"/>
        <v>2747926.455300958</v>
      </c>
      <c r="AT667" s="1">
        <f t="shared" si="119"/>
        <v>0</v>
      </c>
      <c r="AU667" s="1">
        <f t="shared" si="119"/>
        <v>0</v>
      </c>
      <c r="AV667" s="1">
        <f t="shared" si="120"/>
        <v>0</v>
      </c>
      <c r="AW667" s="1">
        <f t="shared" si="120"/>
        <v>0</v>
      </c>
      <c r="AX667" s="1">
        <f t="shared" si="120"/>
        <v>0</v>
      </c>
      <c r="AY667" s="1">
        <f t="shared" si="120"/>
        <v>0</v>
      </c>
      <c r="AZ667" s="1">
        <f t="shared" si="120"/>
        <v>0</v>
      </c>
      <c r="BA667" s="1">
        <f t="shared" si="120"/>
        <v>0</v>
      </c>
      <c r="BB667" s="1">
        <f t="shared" si="120"/>
        <v>0</v>
      </c>
      <c r="BC667" s="1">
        <f t="shared" si="120"/>
        <v>0</v>
      </c>
      <c r="BD667" s="1">
        <f t="shared" si="120"/>
        <v>0</v>
      </c>
      <c r="BE667" s="1">
        <f t="shared" si="120"/>
        <v>0</v>
      </c>
      <c r="BF667" s="1">
        <f t="shared" si="120"/>
        <v>0</v>
      </c>
      <c r="BG667" s="1">
        <f t="shared" si="120"/>
        <v>0</v>
      </c>
      <c r="BH667" s="1">
        <f t="shared" si="120"/>
        <v>240488</v>
      </c>
      <c r="BI667" s="1">
        <f t="shared" si="120"/>
        <v>1111096</v>
      </c>
      <c r="BK667" s="1">
        <f t="shared" si="121"/>
        <v>1111096</v>
      </c>
      <c r="BL667" s="1">
        <f t="shared" si="121"/>
        <v>1351584</v>
      </c>
      <c r="BM667" s="1">
        <f t="shared" si="121"/>
        <v>0</v>
      </c>
      <c r="BN667" s="1">
        <f t="shared" si="121"/>
        <v>0</v>
      </c>
      <c r="BO667" s="1">
        <f t="shared" si="120"/>
        <v>370126.869978</v>
      </c>
      <c r="BP667" s="1">
        <f t="shared" si="120"/>
        <v>0</v>
      </c>
      <c r="BQ667" s="1">
        <f t="shared" si="120"/>
        <v>161229067.358973</v>
      </c>
      <c r="BT667" s="1">
        <f>SUMIF($C$2:$C$659,$C667,BT$2:BT$659)</f>
        <v>133230255.8853425</v>
      </c>
      <c r="BW667" s="52"/>
      <c r="BX667" s="1">
        <f>SUMIF($C$2:$C$659,$C667,BX$2:BX$659)</f>
        <v>287569947.225379</v>
      </c>
      <c r="BY667" s="1">
        <f>SUMIF($C$2:$C$659,$C667,BY$2:BY$659)</f>
        <v>261985292.69187093</v>
      </c>
    </row>
    <row r="668" spans="3:75" ht="12.75">
      <c r="C668" s="18"/>
      <c r="D668" s="1"/>
      <c r="Z668" s="12"/>
      <c r="AF668" s="51"/>
      <c r="AH668" s="9"/>
      <c r="AI668" s="9"/>
      <c r="AJ668" s="9"/>
      <c r="AK668" s="9"/>
      <c r="BW668" s="52"/>
    </row>
    <row r="669" spans="1:77" ht="12.75">
      <c r="A669" t="s">
        <v>1416</v>
      </c>
      <c r="B669" t="s">
        <v>1329</v>
      </c>
      <c r="C669" s="18" t="s">
        <v>1344</v>
      </c>
      <c r="D669" s="1">
        <f aca="true" t="shared" si="122" ref="D669:M669">SUMIF($C$2:$C$659,$C669,D$2:D$659)</f>
        <v>670093281.2762609</v>
      </c>
      <c r="E669" s="1">
        <f t="shared" si="122"/>
        <v>682897611.4917309</v>
      </c>
      <c r="F669" s="1">
        <f t="shared" si="122"/>
        <v>0</v>
      </c>
      <c r="G669" s="1">
        <f t="shared" si="122"/>
        <v>0</v>
      </c>
      <c r="H669" s="1">
        <f t="shared" si="122"/>
        <v>60033013.73723599</v>
      </c>
      <c r="I669" s="1">
        <f t="shared" si="122"/>
        <v>61180141.388266</v>
      </c>
      <c r="J669" s="1">
        <f t="shared" si="122"/>
        <v>35889207.83513401</v>
      </c>
      <c r="K669" s="1">
        <f t="shared" si="122"/>
        <v>36574988.87656969</v>
      </c>
      <c r="L669" s="1">
        <f t="shared" si="122"/>
        <v>87862207.621023</v>
      </c>
      <c r="M669" s="1">
        <f t="shared" si="122"/>
        <v>89541103.30804892</v>
      </c>
      <c r="N669" s="1">
        <f aca="true" t="shared" si="123" ref="D669:AC674">SUMIF($C$2:$C$659,$C669,N$2:N$659)</f>
        <v>0</v>
      </c>
      <c r="O669" s="1">
        <f t="shared" si="123"/>
        <v>0</v>
      </c>
      <c r="P669" s="1">
        <f t="shared" si="123"/>
        <v>0</v>
      </c>
      <c r="Q669" s="1">
        <f t="shared" si="123"/>
        <v>0</v>
      </c>
      <c r="R669" s="1">
        <f t="shared" si="123"/>
        <v>0</v>
      </c>
      <c r="S669" s="1">
        <f t="shared" si="123"/>
        <v>0</v>
      </c>
      <c r="T669" s="1">
        <f t="shared" si="123"/>
        <v>0</v>
      </c>
      <c r="U669" s="1">
        <f t="shared" si="123"/>
        <v>0</v>
      </c>
      <c r="V669" s="1">
        <f t="shared" si="123"/>
        <v>808003.0968969999</v>
      </c>
      <c r="W669" s="1">
        <f t="shared" si="123"/>
        <v>823442.6465192357</v>
      </c>
      <c r="X669" s="1">
        <f t="shared" si="123"/>
        <v>107445817.104594</v>
      </c>
      <c r="Y669" s="1">
        <f t="shared" si="123"/>
        <v>109498921.89003211</v>
      </c>
      <c r="Z669" s="12">
        <f t="shared" si="123"/>
        <v>962131530.6711448</v>
      </c>
      <c r="AC669" s="12">
        <f t="shared" si="123"/>
        <v>980516209.6011668</v>
      </c>
      <c r="AF669" s="51"/>
      <c r="AG669" s="1">
        <f aca="true" t="shared" si="124" ref="AG669:AU674">SUMIF($C$2:$C$659,$C669,AG$2:AG$659)</f>
        <v>16813891</v>
      </c>
      <c r="AH669" s="9">
        <f t="shared" si="124"/>
        <v>12659691.262942258</v>
      </c>
      <c r="AI669" s="9">
        <f t="shared" si="124"/>
        <v>800668739.1225072</v>
      </c>
      <c r="AJ669" s="9">
        <f t="shared" si="124"/>
        <v>548818898.7979279</v>
      </c>
      <c r="AK669" s="9">
        <f t="shared" si="124"/>
        <v>536159207.53498554</v>
      </c>
      <c r="AL669" s="1">
        <f t="shared" si="124"/>
        <v>0</v>
      </c>
      <c r="AM669" s="1">
        <f t="shared" si="124"/>
        <v>0</v>
      </c>
      <c r="AN669" s="1">
        <f t="shared" si="124"/>
        <v>75845517.337052</v>
      </c>
      <c r="AO669" s="1">
        <f t="shared" si="124"/>
        <v>62539084.26037573</v>
      </c>
      <c r="AP669" s="1">
        <f t="shared" si="124"/>
        <v>-300784</v>
      </c>
      <c r="AQ669" s="1">
        <f t="shared" si="124"/>
        <v>62238300.26037573</v>
      </c>
      <c r="AR669" s="1">
        <f t="shared" si="124"/>
        <v>51836063.21664699</v>
      </c>
      <c r="AS669" s="1">
        <f t="shared" si="124"/>
        <v>50816122.49058738</v>
      </c>
      <c r="AT669" s="1">
        <f t="shared" si="124"/>
        <v>111138472.004904</v>
      </c>
      <c r="AU669" s="1">
        <f t="shared" si="124"/>
        <v>91722976.26351042</v>
      </c>
      <c r="AV669" s="1">
        <f aca="true" t="shared" si="125" ref="AV669:BQ674">SUMIF($C$2:$C$659,$C669,AV$2:AV$659)</f>
        <v>0</v>
      </c>
      <c r="AW669" s="1">
        <f t="shared" si="125"/>
        <v>0</v>
      </c>
      <c r="AX669" s="1">
        <f t="shared" si="125"/>
        <v>0</v>
      </c>
      <c r="AY669" s="1">
        <f t="shared" si="125"/>
        <v>0</v>
      </c>
      <c r="AZ669" s="1">
        <f t="shared" si="125"/>
        <v>1146216.8358709998</v>
      </c>
      <c r="BA669" s="1">
        <f t="shared" si="125"/>
        <v>1123254.0436136809</v>
      </c>
      <c r="BB669" s="1">
        <f t="shared" si="125"/>
        <v>158877435.596004</v>
      </c>
      <c r="BC669" s="1">
        <f t="shared" si="125"/>
        <v>155823917.19762573</v>
      </c>
      <c r="BD669" s="1">
        <f t="shared" si="125"/>
        <v>2216091.8235319997</v>
      </c>
      <c r="BE669" s="1">
        <f t="shared" si="125"/>
        <v>3149183.460696893</v>
      </c>
      <c r="BF669" s="1">
        <f t="shared" si="125"/>
        <v>466545.31773298455</v>
      </c>
      <c r="BG669" s="1">
        <f t="shared" si="125"/>
        <v>3615728.778429877</v>
      </c>
      <c r="BH669" s="1">
        <f t="shared" si="125"/>
        <v>27253900.000000004</v>
      </c>
      <c r="BI669" s="1">
        <f t="shared" si="125"/>
        <v>0</v>
      </c>
      <c r="BK669" s="1">
        <f aca="true" t="shared" si="126" ref="BK669:BN674">SUMIF($C$2:$C$659,$C669,BK$2:BK$659)</f>
        <v>22677222.999999993</v>
      </c>
      <c r="BL669" s="1">
        <f t="shared" si="126"/>
        <v>49931122.99999999</v>
      </c>
      <c r="BM669" s="1">
        <f t="shared" si="126"/>
        <v>0</v>
      </c>
      <c r="BN669" s="1">
        <f t="shared" si="126"/>
        <v>0</v>
      </c>
      <c r="BO669" s="1">
        <f t="shared" si="125"/>
        <v>2818650.0864270004</v>
      </c>
      <c r="BP669" s="1">
        <f t="shared" si="125"/>
        <v>-792106</v>
      </c>
      <c r="BQ669" s="1">
        <f t="shared" si="125"/>
        <v>1271457961.3406773</v>
      </c>
      <c r="BT669" s="1">
        <f aca="true" t="shared" si="127" ref="BT669:BT674">SUMIF($C$2:$C$659,$C669,BT$2:BT$659)</f>
        <v>963298214.8320707</v>
      </c>
      <c r="BW669" s="52"/>
      <c r="BX669" s="1">
        <f aca="true" t="shared" si="128" ref="BX669:BY674">SUMIF($C$2:$C$659,$C669,BX$2:BX$659)</f>
        <v>2233589492.011822</v>
      </c>
      <c r="BY669" s="1">
        <f t="shared" si="128"/>
        <v>1943814424.4332376</v>
      </c>
    </row>
    <row r="670" spans="1:77" ht="12.75">
      <c r="A670" t="s">
        <v>1417</v>
      </c>
      <c r="B670" t="s">
        <v>1330</v>
      </c>
      <c r="C670" s="18" t="s">
        <v>1347</v>
      </c>
      <c r="D670" s="1">
        <f t="shared" si="123"/>
        <v>1100643972.557691</v>
      </c>
      <c r="E670" s="1">
        <f t="shared" si="123"/>
        <v>1121675386.0460544</v>
      </c>
      <c r="F670" s="1">
        <f t="shared" si="123"/>
        <v>0</v>
      </c>
      <c r="G670" s="1">
        <f t="shared" si="123"/>
        <v>0</v>
      </c>
      <c r="H670" s="1">
        <f t="shared" si="123"/>
        <v>0</v>
      </c>
      <c r="I670" s="1">
        <f t="shared" si="123"/>
        <v>0</v>
      </c>
      <c r="J670" s="1">
        <f>SUMIF($C$2:$C$659,$C670,J$2:J$659)</f>
        <v>52101370.679455996</v>
      </c>
      <c r="K670" s="1">
        <f t="shared" si="123"/>
        <v>53096938.272057064</v>
      </c>
      <c r="L670" s="1">
        <f>SUMIF($C$2:$C$659,$C670,L$2:L$659)</f>
        <v>137931728.76239</v>
      </c>
      <c r="M670" s="1">
        <f t="shared" si="123"/>
        <v>140567366.89160764</v>
      </c>
      <c r="N670" s="1">
        <f t="shared" si="123"/>
        <v>0</v>
      </c>
      <c r="O670" s="1">
        <f t="shared" si="123"/>
        <v>0</v>
      </c>
      <c r="P670" s="1">
        <f t="shared" si="123"/>
        <v>0</v>
      </c>
      <c r="Q670" s="1">
        <f t="shared" si="123"/>
        <v>0</v>
      </c>
      <c r="R670" s="1">
        <f t="shared" si="123"/>
        <v>0</v>
      </c>
      <c r="S670" s="1">
        <f t="shared" si="123"/>
        <v>0</v>
      </c>
      <c r="T670" s="1">
        <f>SUMIF($C$2:$C$659,$C670,T$2:T$659)</f>
        <v>0</v>
      </c>
      <c r="U670" s="1">
        <f t="shared" si="123"/>
        <v>0</v>
      </c>
      <c r="V670" s="1">
        <f>SUMIF($C$2:$C$659,$C670,V$2:V$659)</f>
        <v>1177243.2842279999</v>
      </c>
      <c r="W670" s="1">
        <f t="shared" si="123"/>
        <v>1199738.378831083</v>
      </c>
      <c r="X670" s="1">
        <f>SUMIF($C$2:$C$659,$C670,X$2:X$659)</f>
        <v>120931422.596056</v>
      </c>
      <c r="Y670" s="1">
        <f t="shared" si="123"/>
        <v>123242214.11063032</v>
      </c>
      <c r="Z670" s="12">
        <f t="shared" si="123"/>
        <v>1412785737.879821</v>
      </c>
      <c r="AC670" s="12">
        <f t="shared" si="123"/>
        <v>1439781643.6991806</v>
      </c>
      <c r="AF670" s="51"/>
      <c r="AG670" s="1">
        <f t="shared" si="124"/>
        <v>26106273</v>
      </c>
      <c r="AH670" s="9">
        <f t="shared" si="124"/>
        <v>19656209.036093153</v>
      </c>
      <c r="AI670" s="9">
        <f t="shared" si="124"/>
        <v>1315117232.7114182</v>
      </c>
      <c r="AJ670" s="9">
        <f t="shared" si="124"/>
        <v>901447947.4218923</v>
      </c>
      <c r="AK670" s="9">
        <f t="shared" si="124"/>
        <v>881791738.3857993</v>
      </c>
      <c r="AL670" s="1">
        <f t="shared" si="124"/>
        <v>0</v>
      </c>
      <c r="AM670" s="1">
        <f t="shared" si="124"/>
        <v>0</v>
      </c>
      <c r="AN670" s="1">
        <f t="shared" si="124"/>
        <v>0</v>
      </c>
      <c r="AO670" s="1">
        <f t="shared" si="124"/>
        <v>0</v>
      </c>
      <c r="AP670" s="1">
        <f t="shared" si="124"/>
        <v>0</v>
      </c>
      <c r="AQ670" s="1">
        <f t="shared" si="124"/>
        <v>0</v>
      </c>
      <c r="AR670" s="1">
        <f t="shared" si="124"/>
        <v>75251868.378384</v>
      </c>
      <c r="AS670" s="1">
        <f t="shared" si="124"/>
        <v>73771191.78937669</v>
      </c>
      <c r="AT670" s="1">
        <f t="shared" si="124"/>
        <v>174472301.46741098</v>
      </c>
      <c r="AU670" s="1">
        <f t="shared" si="124"/>
        <v>143992610.9963905</v>
      </c>
      <c r="AV670" s="1">
        <f t="shared" si="125"/>
        <v>0</v>
      </c>
      <c r="AW670" s="1">
        <f t="shared" si="125"/>
        <v>0</v>
      </c>
      <c r="AX670" s="1">
        <f t="shared" si="125"/>
        <v>0</v>
      </c>
      <c r="AY670" s="1">
        <f t="shared" si="125"/>
        <v>0</v>
      </c>
      <c r="AZ670" s="1">
        <f t="shared" si="125"/>
        <v>1670013.490642</v>
      </c>
      <c r="BA670" s="1">
        <f t="shared" si="125"/>
        <v>1636557.191927462</v>
      </c>
      <c r="BB670" s="1">
        <f t="shared" si="125"/>
        <v>178818262.29060802</v>
      </c>
      <c r="BC670" s="1">
        <f t="shared" si="125"/>
        <v>175381494.49647734</v>
      </c>
      <c r="BD670" s="1">
        <f t="shared" si="125"/>
        <v>2306169.7058820003</v>
      </c>
      <c r="BE670" s="1">
        <f t="shared" si="125"/>
        <v>3277188.886401278</v>
      </c>
      <c r="BF670" s="1">
        <f t="shared" si="125"/>
        <v>485509.06905205897</v>
      </c>
      <c r="BG670" s="1">
        <f t="shared" si="125"/>
        <v>3762697.955453337</v>
      </c>
      <c r="BH670" s="1">
        <f t="shared" si="125"/>
        <v>49425574</v>
      </c>
      <c r="BI670" s="1">
        <f t="shared" si="125"/>
        <v>18888741</v>
      </c>
      <c r="BK670" s="1">
        <f t="shared" si="126"/>
        <v>18888741</v>
      </c>
      <c r="BL670" s="1">
        <f t="shared" si="126"/>
        <v>68314315</v>
      </c>
      <c r="BM670" s="1">
        <f t="shared" si="126"/>
        <v>0</v>
      </c>
      <c r="BN670" s="1">
        <f t="shared" si="126"/>
        <v>0</v>
      </c>
      <c r="BO670" s="1">
        <f t="shared" si="125"/>
        <v>4138881.759129</v>
      </c>
      <c r="BP670" s="1">
        <f t="shared" si="125"/>
        <v>-1122436</v>
      </c>
      <c r="BQ670" s="1">
        <f t="shared" si="125"/>
        <v>1846680826.872526</v>
      </c>
      <c r="BT670" s="1">
        <f t="shared" si="127"/>
        <v>1367184378.8515177</v>
      </c>
      <c r="BW670" s="52"/>
      <c r="BX670" s="1">
        <f t="shared" si="128"/>
        <v>3259466564.7523475</v>
      </c>
      <c r="BY670" s="1">
        <f t="shared" si="128"/>
        <v>2806966022.5506983</v>
      </c>
    </row>
    <row r="671" spans="1:77" ht="12.75">
      <c r="A671" t="s">
        <v>1418</v>
      </c>
      <c r="B671" t="s">
        <v>1331</v>
      </c>
      <c r="C671" s="18" t="s">
        <v>1345</v>
      </c>
      <c r="D671" s="1">
        <f t="shared" si="123"/>
        <v>130579047.18416002</v>
      </c>
      <c r="E671" s="1">
        <f t="shared" si="123"/>
        <v>133074188.2131567</v>
      </c>
      <c r="F671" s="1">
        <f t="shared" si="123"/>
        <v>25821764.855064</v>
      </c>
      <c r="G671" s="1">
        <f t="shared" si="123"/>
        <v>26315174.374587514</v>
      </c>
      <c r="H671" s="1">
        <f t="shared" si="123"/>
        <v>11517824.025899</v>
      </c>
      <c r="I671" s="1">
        <f t="shared" si="123"/>
        <v>11737909.835311081</v>
      </c>
      <c r="J671" s="1">
        <f>SUMIF($C$2:$C$659,$C671,J$2:J$659)</f>
        <v>4708936.074419</v>
      </c>
      <c r="K671" s="1">
        <f t="shared" si="123"/>
        <v>4798915.744630827</v>
      </c>
      <c r="L671" s="1">
        <f>SUMIF($C$2:$C$659,$C671,L$2:L$659)</f>
        <v>11742967.873312999</v>
      </c>
      <c r="M671" s="1">
        <f t="shared" si="123"/>
        <v>11967355.794459108</v>
      </c>
      <c r="N671" s="1">
        <f t="shared" si="123"/>
        <v>0</v>
      </c>
      <c r="O671" s="1">
        <f t="shared" si="123"/>
        <v>0</v>
      </c>
      <c r="P671" s="1">
        <f t="shared" si="123"/>
        <v>0</v>
      </c>
      <c r="Q671" s="1">
        <f t="shared" si="123"/>
        <v>0</v>
      </c>
      <c r="R671" s="1">
        <f t="shared" si="123"/>
        <v>0</v>
      </c>
      <c r="S671" s="1">
        <f t="shared" si="123"/>
        <v>0</v>
      </c>
      <c r="T671" s="1">
        <f>SUMIF($C$2:$C$659,$C671,T$2:T$659)</f>
        <v>498091.409553</v>
      </c>
      <c r="U671" s="1">
        <f t="shared" si="123"/>
        <v>507609.0797992357</v>
      </c>
      <c r="V671" s="1">
        <f>SUMIF($C$2:$C$659,$C671,V$2:V$659)</f>
        <v>165396.47041100002</v>
      </c>
      <c r="W671" s="1">
        <f t="shared" si="123"/>
        <v>168556.91252076434</v>
      </c>
      <c r="X671" s="1">
        <f>SUMIF($C$2:$C$659,$C671,X$2:X$659)</f>
        <v>5394814.180832</v>
      </c>
      <c r="Y671" s="1">
        <f t="shared" si="123"/>
        <v>5497899.802121784</v>
      </c>
      <c r="Z671" s="12">
        <f t="shared" si="123"/>
        <v>190428842.073651</v>
      </c>
      <c r="AC671" s="12">
        <f t="shared" si="123"/>
        <v>194067609.75658703</v>
      </c>
      <c r="AF671" s="51"/>
      <c r="AG671" s="1">
        <f t="shared" si="124"/>
        <v>2625115</v>
      </c>
      <c r="AH671" s="9">
        <f t="shared" si="124"/>
        <v>1976529.1347326245</v>
      </c>
      <c r="AI671" s="9">
        <f t="shared" si="124"/>
        <v>156023890.98071998</v>
      </c>
      <c r="AJ671" s="9">
        <f t="shared" si="124"/>
        <v>106946675.76012976</v>
      </c>
      <c r="AK671" s="9">
        <f t="shared" si="124"/>
        <v>104970146.62539715</v>
      </c>
      <c r="AL671" s="1">
        <f t="shared" si="124"/>
        <v>28527338.701404</v>
      </c>
      <c r="AM671" s="1">
        <f t="shared" si="124"/>
        <v>19100244.575819448</v>
      </c>
      <c r="AN671" s="1">
        <f t="shared" si="124"/>
        <v>14551581.995619</v>
      </c>
      <c r="AO671" s="1">
        <f t="shared" si="124"/>
        <v>11998634.124962451</v>
      </c>
      <c r="AP671" s="1">
        <f t="shared" si="124"/>
        <v>-44143</v>
      </c>
      <c r="AQ671" s="1">
        <f t="shared" si="124"/>
        <v>11954491.124962451</v>
      </c>
      <c r="AR671" s="1">
        <f t="shared" si="124"/>
        <v>6801284.362642999</v>
      </c>
      <c r="AS671" s="1">
        <f t="shared" si="124"/>
        <v>6667460.409192301</v>
      </c>
      <c r="AT671" s="1">
        <f t="shared" si="124"/>
        <v>14853889.306674998</v>
      </c>
      <c r="AU671" s="1">
        <f t="shared" si="124"/>
        <v>12258967.679858372</v>
      </c>
      <c r="AV671" s="1">
        <f t="shared" si="125"/>
        <v>0</v>
      </c>
      <c r="AW671" s="1">
        <f t="shared" si="125"/>
        <v>0</v>
      </c>
      <c r="AX671" s="1">
        <f t="shared" si="125"/>
        <v>706582.388621</v>
      </c>
      <c r="AY671" s="1">
        <f t="shared" si="125"/>
        <v>692427.0473359115</v>
      </c>
      <c r="AZ671" s="1">
        <f t="shared" si="125"/>
        <v>234628.084604</v>
      </c>
      <c r="BA671" s="1">
        <f t="shared" si="125"/>
        <v>229927.6511468345</v>
      </c>
      <c r="BB671" s="1">
        <f t="shared" si="125"/>
        <v>7977176.456607999</v>
      </c>
      <c r="BC671" s="1">
        <f t="shared" si="125"/>
        <v>7823860.44300301</v>
      </c>
      <c r="BD671" s="1">
        <f t="shared" si="125"/>
        <v>736929.529412</v>
      </c>
      <c r="BE671" s="1">
        <f t="shared" si="125"/>
        <v>1047215.7611342336</v>
      </c>
      <c r="BF671" s="1">
        <f t="shared" si="125"/>
        <v>155142.94931081662</v>
      </c>
      <c r="BG671" s="1">
        <f t="shared" si="125"/>
        <v>1202358.7104450502</v>
      </c>
      <c r="BH671" s="1">
        <f t="shared" si="125"/>
        <v>4775747</v>
      </c>
      <c r="BI671" s="1">
        <f t="shared" si="125"/>
        <v>0</v>
      </c>
      <c r="BK671" s="1">
        <f t="shared" si="126"/>
        <v>0</v>
      </c>
      <c r="BL671" s="1">
        <f t="shared" si="126"/>
        <v>4775747</v>
      </c>
      <c r="BM671" s="1">
        <f t="shared" si="126"/>
        <v>0</v>
      </c>
      <c r="BN671" s="1">
        <f t="shared" si="126"/>
        <v>0</v>
      </c>
      <c r="BO671" s="1">
        <f t="shared" si="125"/>
        <v>557878.2682599999</v>
      </c>
      <c r="BP671" s="1">
        <f t="shared" si="125"/>
        <v>-71916</v>
      </c>
      <c r="BQ671" s="1">
        <f t="shared" si="125"/>
        <v>238483042.0238768</v>
      </c>
      <c r="BT671" s="1">
        <f t="shared" si="127"/>
        <v>171580244.40189317</v>
      </c>
      <c r="BW671" s="52"/>
      <c r="BX671" s="1">
        <f t="shared" si="128"/>
        <v>428911884.0975278</v>
      </c>
      <c r="BY671" s="1">
        <f t="shared" si="128"/>
        <v>365647854.15848017</v>
      </c>
    </row>
    <row r="672" spans="1:77" ht="12.75">
      <c r="A672" t="s">
        <v>1420</v>
      </c>
      <c r="B672" t="s">
        <v>1332</v>
      </c>
      <c r="C672" s="18" t="s">
        <v>1346</v>
      </c>
      <c r="D672" s="1">
        <f t="shared" si="123"/>
        <v>1361347237.8942797</v>
      </c>
      <c r="E672" s="1">
        <f t="shared" si="123"/>
        <v>1387360242.4400306</v>
      </c>
      <c r="F672" s="1">
        <f t="shared" si="123"/>
        <v>338637541.282736</v>
      </c>
      <c r="G672" s="1">
        <f t="shared" si="123"/>
        <v>345108322.3263552</v>
      </c>
      <c r="H672" s="1">
        <f t="shared" si="123"/>
        <v>0</v>
      </c>
      <c r="I672" s="1">
        <f t="shared" si="123"/>
        <v>0</v>
      </c>
      <c r="J672" s="1">
        <f>SUMIF($C$2:$C$659,$C672,J$2:J$659)</f>
        <v>45455864.311473</v>
      </c>
      <c r="K672" s="1">
        <f t="shared" si="123"/>
        <v>46324447.70595974</v>
      </c>
      <c r="L672" s="1">
        <f>SUMIF($C$2:$C$659,$C672,L$2:L$659)</f>
        <v>151831087.222958</v>
      </c>
      <c r="M672" s="1">
        <f t="shared" si="123"/>
        <v>154732318.18900177</v>
      </c>
      <c r="N672" s="1">
        <f t="shared" si="123"/>
        <v>0</v>
      </c>
      <c r="O672" s="1">
        <f t="shared" si="123"/>
        <v>0</v>
      </c>
      <c r="P672" s="1">
        <f t="shared" si="123"/>
        <v>0</v>
      </c>
      <c r="Q672" s="1">
        <f t="shared" si="123"/>
        <v>0</v>
      </c>
      <c r="R672" s="1">
        <f t="shared" si="123"/>
        <v>0</v>
      </c>
      <c r="S672" s="1">
        <f t="shared" si="123"/>
        <v>0</v>
      </c>
      <c r="T672" s="1">
        <f>SUMIF($C$2:$C$659,$C672,T$2:T$659)</f>
        <v>5656078.290217998</v>
      </c>
      <c r="U672" s="1">
        <f t="shared" si="123"/>
        <v>5764156.219330445</v>
      </c>
      <c r="V672" s="1">
        <f>SUMIF($C$2:$C$659,$C672,V$2:V$659)</f>
        <v>2690085.4150960003</v>
      </c>
      <c r="W672" s="1">
        <f t="shared" si="123"/>
        <v>2741488.3211169415</v>
      </c>
      <c r="X672" s="1">
        <f>SUMIF($C$2:$C$659,$C672,X$2:X$659)</f>
        <v>120572490.669413</v>
      </c>
      <c r="Y672" s="1">
        <f t="shared" si="123"/>
        <v>122876423.61214064</v>
      </c>
      <c r="Z672" s="12">
        <f t="shared" si="123"/>
        <v>2026190385.086174</v>
      </c>
      <c r="AC672" s="12">
        <f t="shared" si="123"/>
        <v>2064907398.8139348</v>
      </c>
      <c r="AF672" s="51"/>
      <c r="AG672" s="1">
        <f t="shared" si="124"/>
        <v>38445353</v>
      </c>
      <c r="AH672" s="9">
        <f t="shared" si="124"/>
        <v>28946678.640585378</v>
      </c>
      <c r="AI672" s="9">
        <f t="shared" si="124"/>
        <v>1626621556.9222307</v>
      </c>
      <c r="AJ672" s="9">
        <f t="shared" si="124"/>
        <v>1114968785.4797564</v>
      </c>
      <c r="AK672" s="9">
        <f t="shared" si="124"/>
        <v>1086022106.8391712</v>
      </c>
      <c r="AL672" s="1">
        <f t="shared" si="124"/>
        <v>374119580.57115114</v>
      </c>
      <c r="AM672" s="1">
        <f t="shared" si="124"/>
        <v>250488682.6039713</v>
      </c>
      <c r="AN672" s="1">
        <f t="shared" si="124"/>
        <v>0</v>
      </c>
      <c r="AO672" s="1">
        <f t="shared" si="124"/>
        <v>0</v>
      </c>
      <c r="AP672" s="1">
        <f t="shared" si="124"/>
        <v>0</v>
      </c>
      <c r="AQ672" s="1">
        <f t="shared" si="124"/>
        <v>0</v>
      </c>
      <c r="AR672" s="1">
        <f t="shared" si="124"/>
        <v>65653526.45399698</v>
      </c>
      <c r="AS672" s="1">
        <f t="shared" si="124"/>
        <v>64361709.497142166</v>
      </c>
      <c r="AT672" s="1">
        <f t="shared" si="124"/>
        <v>192053847.651852</v>
      </c>
      <c r="AU672" s="1">
        <f t="shared" si="124"/>
        <v>158502723.59970337</v>
      </c>
      <c r="AV672" s="1">
        <f t="shared" si="125"/>
        <v>0</v>
      </c>
      <c r="AW672" s="1">
        <f t="shared" si="125"/>
        <v>0</v>
      </c>
      <c r="AX672" s="1">
        <f t="shared" si="125"/>
        <v>8023598.142593998</v>
      </c>
      <c r="AY672" s="1">
        <f t="shared" si="125"/>
        <v>7862857.1279976955</v>
      </c>
      <c r="AZ672" s="1">
        <f t="shared" si="125"/>
        <v>3816100.7111939997</v>
      </c>
      <c r="BA672" s="1">
        <f t="shared" si="125"/>
        <v>3739650.6669075997</v>
      </c>
      <c r="BB672" s="1">
        <f t="shared" si="125"/>
        <v>178287518.65074104</v>
      </c>
      <c r="BC672" s="1">
        <f t="shared" si="125"/>
        <v>174860951.39555466</v>
      </c>
      <c r="BD672" s="1">
        <f t="shared" si="125"/>
        <v>2105297.235295</v>
      </c>
      <c r="BE672" s="1">
        <f t="shared" si="125"/>
        <v>2991738.502367239</v>
      </c>
      <c r="BF672" s="1">
        <f t="shared" si="125"/>
        <v>443220.15772686986</v>
      </c>
      <c r="BG672" s="1">
        <f t="shared" si="125"/>
        <v>3434958.660094109</v>
      </c>
      <c r="BH672" s="1">
        <f t="shared" si="125"/>
        <v>21451461</v>
      </c>
      <c r="BI672" s="1">
        <f t="shared" si="125"/>
        <v>0</v>
      </c>
      <c r="BK672" s="1">
        <f t="shared" si="126"/>
        <v>26378649.00000011</v>
      </c>
      <c r="BL672" s="1">
        <f t="shared" si="126"/>
        <v>47830110.000000104</v>
      </c>
      <c r="BM672" s="1">
        <f t="shared" si="126"/>
        <v>0</v>
      </c>
      <c r="BN672" s="1">
        <f t="shared" si="126"/>
        <v>0</v>
      </c>
      <c r="BO672" s="1">
        <f t="shared" si="125"/>
        <v>5935905.353874</v>
      </c>
      <c r="BP672" s="1">
        <f t="shared" si="125"/>
        <v>-2422496</v>
      </c>
      <c r="BQ672" s="1">
        <f t="shared" si="125"/>
        <v>2543335614.850656</v>
      </c>
      <c r="BT672" s="1">
        <f t="shared" si="127"/>
        <v>1823627933.0311282</v>
      </c>
      <c r="BW672" s="52"/>
      <c r="BX672" s="1">
        <f t="shared" si="128"/>
        <v>4569525999.936829</v>
      </c>
      <c r="BY672" s="1">
        <f t="shared" si="128"/>
        <v>3888535331.845063</v>
      </c>
    </row>
    <row r="673" spans="1:77" ht="12.75">
      <c r="A673" t="s">
        <v>1421</v>
      </c>
      <c r="B673" t="s">
        <v>1328</v>
      </c>
      <c r="C673" s="18" t="s">
        <v>1349</v>
      </c>
      <c r="D673" s="1">
        <f t="shared" si="123"/>
        <v>0</v>
      </c>
      <c r="E673" s="1">
        <f t="shared" si="123"/>
        <v>0</v>
      </c>
      <c r="F673" s="1">
        <f t="shared" si="123"/>
        <v>488765651.3825917</v>
      </c>
      <c r="G673" s="1">
        <f t="shared" si="123"/>
        <v>498105122.4281191</v>
      </c>
      <c r="H673" s="1">
        <f t="shared" si="123"/>
        <v>0</v>
      </c>
      <c r="I673" s="1">
        <f t="shared" si="123"/>
        <v>0</v>
      </c>
      <c r="J673" s="1">
        <f>SUMIF($C$2:$C$659,$C673,J$2:J$659)</f>
        <v>13311753.070495006</v>
      </c>
      <c r="K673" s="1">
        <f t="shared" si="123"/>
        <v>13566117.77884841</v>
      </c>
      <c r="L673" s="1">
        <f>SUMIF($C$2:$C$659,$C673,L$2:L$659)</f>
        <v>0</v>
      </c>
      <c r="M673" s="1">
        <f t="shared" si="123"/>
        <v>0</v>
      </c>
      <c r="N673" s="1">
        <f t="shared" si="123"/>
        <v>0</v>
      </c>
      <c r="O673" s="1">
        <f t="shared" si="123"/>
        <v>0</v>
      </c>
      <c r="P673" s="1">
        <f t="shared" si="123"/>
        <v>0</v>
      </c>
      <c r="Q673" s="1">
        <f t="shared" si="123"/>
        <v>0</v>
      </c>
      <c r="R673" s="1">
        <f t="shared" si="123"/>
        <v>0</v>
      </c>
      <c r="S673" s="1">
        <f t="shared" si="123"/>
        <v>0</v>
      </c>
      <c r="T673" s="1">
        <f>SUMIF($C$2:$C$659,$C673,T$2:T$659)</f>
        <v>8475300.023636997</v>
      </c>
      <c r="U673" s="1">
        <f t="shared" si="123"/>
        <v>8637248.43173197</v>
      </c>
      <c r="V673" s="1">
        <f>SUMIF($C$2:$C$659,$C673,V$2:V$659)</f>
        <v>0</v>
      </c>
      <c r="W673" s="1">
        <f t="shared" si="123"/>
        <v>0</v>
      </c>
      <c r="X673" s="1">
        <f>SUMIF($C$2:$C$659,$C673,X$2:X$659)</f>
        <v>0</v>
      </c>
      <c r="Y673" s="1">
        <f t="shared" si="123"/>
        <v>0</v>
      </c>
      <c r="Z673" s="12">
        <f t="shared" si="123"/>
        <v>510552704.4767238</v>
      </c>
      <c r="AC673" s="12">
        <f t="shared" si="123"/>
        <v>520308488.6386996</v>
      </c>
      <c r="AF673" s="51"/>
      <c r="AG673" s="1">
        <f t="shared" si="124"/>
        <v>0</v>
      </c>
      <c r="AH673" s="9">
        <f t="shared" si="124"/>
        <v>0</v>
      </c>
      <c r="AI673" s="9">
        <f t="shared" si="124"/>
        <v>0</v>
      </c>
      <c r="AJ673" s="9">
        <f t="shared" si="124"/>
        <v>0</v>
      </c>
      <c r="AK673" s="9">
        <f t="shared" si="124"/>
        <v>0</v>
      </c>
      <c r="AL673" s="1">
        <f t="shared" si="124"/>
        <v>539977935.701371</v>
      </c>
      <c r="AM673" s="1">
        <f t="shared" si="124"/>
        <v>361537777.68743277</v>
      </c>
      <c r="AN673" s="1">
        <f t="shared" si="124"/>
        <v>0</v>
      </c>
      <c r="AO673" s="1">
        <f t="shared" si="124"/>
        <v>0</v>
      </c>
      <c r="AP673" s="1">
        <f t="shared" si="124"/>
        <v>0</v>
      </c>
      <c r="AQ673" s="1">
        <f t="shared" si="124"/>
        <v>0</v>
      </c>
      <c r="AR673" s="1">
        <f t="shared" si="124"/>
        <v>19226639.85386299</v>
      </c>
      <c r="AS673" s="1">
        <f t="shared" si="124"/>
        <v>18848331.16691128</v>
      </c>
      <c r="AT673" s="1">
        <f t="shared" si="124"/>
        <v>0</v>
      </c>
      <c r="AU673" s="1">
        <f t="shared" si="124"/>
        <v>0</v>
      </c>
      <c r="AV673" s="1">
        <f t="shared" si="125"/>
        <v>0</v>
      </c>
      <c r="AW673" s="1">
        <f t="shared" si="125"/>
        <v>0</v>
      </c>
      <c r="AX673" s="1">
        <f t="shared" si="125"/>
        <v>12022889.01220102</v>
      </c>
      <c r="AY673" s="1">
        <f t="shared" si="125"/>
        <v>11782028.073772289</v>
      </c>
      <c r="AZ673" s="1">
        <f t="shared" si="125"/>
        <v>0</v>
      </c>
      <c r="BA673" s="1">
        <f t="shared" si="125"/>
        <v>0</v>
      </c>
      <c r="BB673" s="1">
        <f t="shared" si="125"/>
        <v>0</v>
      </c>
      <c r="BC673" s="1">
        <f t="shared" si="125"/>
        <v>0</v>
      </c>
      <c r="BD673" s="1">
        <f t="shared" si="125"/>
        <v>1969390.2352959996</v>
      </c>
      <c r="BE673" s="1">
        <f t="shared" si="125"/>
        <v>2798607.481330554</v>
      </c>
      <c r="BF673" s="1">
        <f t="shared" si="125"/>
        <v>414608.17792378913</v>
      </c>
      <c r="BG673" s="1">
        <f t="shared" si="125"/>
        <v>3213215.659254342</v>
      </c>
      <c r="BH673" s="1">
        <f t="shared" si="125"/>
        <v>8492328</v>
      </c>
      <c r="BI673" s="1">
        <f t="shared" si="125"/>
        <v>9091324</v>
      </c>
      <c r="BK673" s="1">
        <f t="shared" si="126"/>
        <v>9091324</v>
      </c>
      <c r="BL673" s="1">
        <f t="shared" si="126"/>
        <v>17583652</v>
      </c>
      <c r="BM673" s="1">
        <f t="shared" si="126"/>
        <v>9386434</v>
      </c>
      <c r="BN673" s="1">
        <f t="shared" si="126"/>
        <v>9386434</v>
      </c>
      <c r="BO673" s="1">
        <f t="shared" si="125"/>
        <v>1495709.6599839998</v>
      </c>
      <c r="BP673" s="1">
        <f t="shared" si="125"/>
        <v>0</v>
      </c>
      <c r="BQ673" s="1">
        <f t="shared" si="125"/>
        <v>602077258.6406387</v>
      </c>
      <c r="BT673" s="1">
        <f t="shared" si="127"/>
        <v>422351438.5873706</v>
      </c>
      <c r="BW673" s="52"/>
      <c r="BX673" s="1">
        <f t="shared" si="128"/>
        <v>1112629963.1173632</v>
      </c>
      <c r="BY673" s="1">
        <f t="shared" si="128"/>
        <v>942659927.2260704</v>
      </c>
    </row>
    <row r="674" spans="1:77" ht="12.75">
      <c r="A674" t="s">
        <v>1423</v>
      </c>
      <c r="B674" t="s">
        <v>1333</v>
      </c>
      <c r="C674" s="18" t="s">
        <v>1350</v>
      </c>
      <c r="D674" s="1">
        <f t="shared" si="123"/>
        <v>0</v>
      </c>
      <c r="E674" s="1">
        <f t="shared" si="123"/>
        <v>0</v>
      </c>
      <c r="F674" s="1">
        <f t="shared" si="123"/>
        <v>0</v>
      </c>
      <c r="G674" s="1">
        <f t="shared" si="123"/>
        <v>0</v>
      </c>
      <c r="H674" s="1">
        <f t="shared" si="123"/>
        <v>193777549.000651</v>
      </c>
      <c r="I674" s="1">
        <f t="shared" si="123"/>
        <v>197480304.71403924</v>
      </c>
      <c r="J674" s="1">
        <f>SUMIF($C$2:$C$659,$C674,J$2:J$659)</f>
        <v>5732269.817689999</v>
      </c>
      <c r="K674" s="1">
        <f t="shared" si="123"/>
        <v>5841803.635862419</v>
      </c>
      <c r="L674" s="1">
        <f>SUMIF($C$2:$C$659,$C674,L$2:L$659)</f>
        <v>0</v>
      </c>
      <c r="M674" s="1">
        <f t="shared" si="123"/>
        <v>0</v>
      </c>
      <c r="N674" s="1">
        <f t="shared" si="123"/>
        <v>0</v>
      </c>
      <c r="O674" s="1">
        <f t="shared" si="123"/>
        <v>0</v>
      </c>
      <c r="P674" s="1">
        <f t="shared" si="123"/>
        <v>0</v>
      </c>
      <c r="Q674" s="1">
        <f t="shared" si="123"/>
        <v>0</v>
      </c>
      <c r="R674" s="1">
        <f t="shared" si="123"/>
        <v>0</v>
      </c>
      <c r="S674" s="1">
        <f t="shared" si="123"/>
        <v>0</v>
      </c>
      <c r="T674" s="1">
        <f>SUMIF($C$2:$C$659,$C674,T$2:T$659)</f>
        <v>0</v>
      </c>
      <c r="U674" s="1">
        <f t="shared" si="123"/>
        <v>0</v>
      </c>
      <c r="V674" s="1">
        <f>SUMIF($C$2:$C$659,$C674,V$2:V$659)</f>
        <v>0</v>
      </c>
      <c r="W674" s="1">
        <f t="shared" si="123"/>
        <v>0</v>
      </c>
      <c r="X674" s="1">
        <f>SUMIF($C$2:$C$659,$C674,X$2:X$659)</f>
        <v>0</v>
      </c>
      <c r="Y674" s="1">
        <f t="shared" si="123"/>
        <v>0</v>
      </c>
      <c r="Z674" s="12">
        <f t="shared" si="123"/>
        <v>199509818.818341</v>
      </c>
      <c r="AC674" s="12">
        <f t="shared" si="123"/>
        <v>203322108.34990168</v>
      </c>
      <c r="AF674" s="51"/>
      <c r="AG674" s="1">
        <f t="shared" si="124"/>
        <v>0</v>
      </c>
      <c r="AH674" s="9">
        <f t="shared" si="124"/>
        <v>0</v>
      </c>
      <c r="AI674" s="9">
        <f t="shared" si="124"/>
        <v>0</v>
      </c>
      <c r="AJ674" s="9">
        <f t="shared" si="124"/>
        <v>0</v>
      </c>
      <c r="AK674" s="9">
        <f t="shared" si="124"/>
        <v>0</v>
      </c>
      <c r="AL674" s="1">
        <f t="shared" si="124"/>
        <v>0</v>
      </c>
      <c r="AM674" s="1">
        <f t="shared" si="124"/>
        <v>0</v>
      </c>
      <c r="AN674" s="1">
        <f t="shared" si="124"/>
        <v>244817934.95476303</v>
      </c>
      <c r="AO674" s="1">
        <f t="shared" si="124"/>
        <v>201866768.13802344</v>
      </c>
      <c r="AP674" s="1">
        <f t="shared" si="124"/>
        <v>-910347</v>
      </c>
      <c r="AQ674" s="1">
        <f t="shared" si="124"/>
        <v>200956421.13802344</v>
      </c>
      <c r="AR674" s="1">
        <f t="shared" si="124"/>
        <v>8279321.7952769995</v>
      </c>
      <c r="AS674" s="1">
        <f t="shared" si="124"/>
        <v>8116415.568238445</v>
      </c>
      <c r="AT674" s="1">
        <f t="shared" si="124"/>
        <v>0</v>
      </c>
      <c r="AU674" s="1">
        <f t="shared" si="124"/>
        <v>0</v>
      </c>
      <c r="AV674" s="1">
        <f t="shared" si="125"/>
        <v>0</v>
      </c>
      <c r="AW674" s="1">
        <f t="shared" si="125"/>
        <v>0</v>
      </c>
      <c r="AX674" s="1">
        <f t="shared" si="125"/>
        <v>0</v>
      </c>
      <c r="AY674" s="1">
        <f t="shared" si="125"/>
        <v>0</v>
      </c>
      <c r="AZ674" s="1">
        <f t="shared" si="125"/>
        <v>0</v>
      </c>
      <c r="BA674" s="1">
        <f t="shared" si="125"/>
        <v>0</v>
      </c>
      <c r="BB674" s="1">
        <f t="shared" si="125"/>
        <v>0</v>
      </c>
      <c r="BC674" s="1">
        <f t="shared" si="125"/>
        <v>0</v>
      </c>
      <c r="BD674" s="1">
        <f t="shared" si="125"/>
        <v>166128.176471</v>
      </c>
      <c r="BE674" s="1">
        <f t="shared" si="125"/>
        <v>236076.90806980385</v>
      </c>
      <c r="BF674" s="1">
        <f t="shared" si="125"/>
        <v>34974.32825348125</v>
      </c>
      <c r="BG674" s="1">
        <f t="shared" si="125"/>
        <v>271051.2363232851</v>
      </c>
      <c r="BH674" s="1">
        <f t="shared" si="125"/>
        <v>3649610</v>
      </c>
      <c r="BI674" s="1">
        <f t="shared" si="125"/>
        <v>2183089</v>
      </c>
      <c r="BK674" s="1">
        <f t="shared" si="126"/>
        <v>2183089</v>
      </c>
      <c r="BL674" s="1">
        <f t="shared" si="126"/>
        <v>5832699</v>
      </c>
      <c r="BM674" s="1">
        <f t="shared" si="126"/>
        <v>0</v>
      </c>
      <c r="BN674" s="1">
        <f t="shared" si="126"/>
        <v>0</v>
      </c>
      <c r="BO674" s="1">
        <f t="shared" si="125"/>
        <v>584481.7991389999</v>
      </c>
      <c r="BP674" s="1">
        <f t="shared" si="125"/>
        <v>0</v>
      </c>
      <c r="BQ674" s="1">
        <f t="shared" si="125"/>
        <v>258805193.05390346</v>
      </c>
      <c r="BT674" s="1">
        <f t="shared" si="127"/>
        <v>215176586.94258508</v>
      </c>
      <c r="BW674" s="52"/>
      <c r="BX674" s="1">
        <f t="shared" si="128"/>
        <v>458315011.87224454</v>
      </c>
      <c r="BY674" s="1">
        <f t="shared" si="128"/>
        <v>418498695.2924867</v>
      </c>
    </row>
    <row r="675" spans="3:75" ht="12.75">
      <c r="C675" s="18"/>
      <c r="D675" s="1"/>
      <c r="Z675" s="12"/>
      <c r="AF675" s="51"/>
      <c r="AH675" s="9"/>
      <c r="AI675" s="9"/>
      <c r="AJ675" s="9"/>
      <c r="AK675" s="9"/>
      <c r="BW675" s="52"/>
    </row>
    <row r="676" spans="1:80" ht="12.75">
      <c r="A676" t="s">
        <v>1401</v>
      </c>
      <c r="B676" t="s">
        <v>1334</v>
      </c>
      <c r="C676" s="18"/>
      <c r="D676" s="1">
        <f aca="true" t="shared" si="129" ref="D676:AC676">SUM(D663:D664)</f>
        <v>1221889579.505766</v>
      </c>
      <c r="E676" s="1">
        <f t="shared" si="129"/>
        <v>1245237788.031354</v>
      </c>
      <c r="F676" s="1">
        <f t="shared" si="129"/>
        <v>478019727.992852</v>
      </c>
      <c r="G676" s="1">
        <f t="shared" si="129"/>
        <v>487153862.92265177</v>
      </c>
      <c r="H676" s="1">
        <f t="shared" si="129"/>
        <v>115337269.404516</v>
      </c>
      <c r="I676" s="1">
        <f t="shared" si="129"/>
        <v>117541166.27211821</v>
      </c>
      <c r="J676" s="1">
        <f>SUM(J663:J664)</f>
        <v>40254546.895261</v>
      </c>
      <c r="K676" s="1">
        <f t="shared" si="129"/>
        <v>41023742.058864705</v>
      </c>
      <c r="L676" s="1">
        <f>SUM(L663:L664)</f>
        <v>130949816.141938</v>
      </c>
      <c r="M676" s="1">
        <f t="shared" si="129"/>
        <v>133452041.92808968</v>
      </c>
      <c r="N676" s="1">
        <f t="shared" si="129"/>
        <v>18617183.105124</v>
      </c>
      <c r="O676" s="1">
        <f t="shared" si="129"/>
        <v>18972925.45745121</v>
      </c>
      <c r="P676" s="1">
        <f t="shared" si="129"/>
        <v>773225000</v>
      </c>
      <c r="Q676" s="1">
        <f t="shared" si="129"/>
        <v>788000000</v>
      </c>
      <c r="R676" s="1">
        <f t="shared" si="129"/>
        <v>45188474.025974</v>
      </c>
      <c r="S676" s="1">
        <f t="shared" si="129"/>
        <v>46051948.051948026</v>
      </c>
      <c r="T676" s="1">
        <f>SUM(T663:T664)</f>
        <v>14588737.227964</v>
      </c>
      <c r="U676" s="1">
        <f t="shared" si="129"/>
        <v>14867502.907479238</v>
      </c>
      <c r="V676" s="1">
        <f>SUM(V663:V664)</f>
        <v>1829176.6262339999</v>
      </c>
      <c r="W676" s="1">
        <f t="shared" si="129"/>
        <v>1864129.0458435668</v>
      </c>
      <c r="X676" s="1">
        <f>SUM(X663:X664)</f>
        <v>91024491.464548</v>
      </c>
      <c r="Y676" s="1">
        <f t="shared" si="129"/>
        <v>92763812.95750113</v>
      </c>
      <c r="Z676" s="12">
        <f>SUM(Z663:Z664)</f>
        <v>2930924002.3901772</v>
      </c>
      <c r="AC676" s="12">
        <f t="shared" si="129"/>
        <v>2986928919.6333017</v>
      </c>
      <c r="AF676" s="51"/>
      <c r="AG676" s="1">
        <f>SUM(AG663:AG664)</f>
        <v>32441286</v>
      </c>
      <c r="AH676" s="9">
        <f>SUM(AH663:AH664)</f>
        <v>24426033.50603444</v>
      </c>
      <c r="AI676" s="9">
        <f aca="true" t="shared" si="130" ref="AI676:BQ676">SUM(AI663:AI664)</f>
        <v>1459988954.234078</v>
      </c>
      <c r="AJ676" s="9">
        <f t="shared" si="130"/>
        <v>1000750361.5016072</v>
      </c>
      <c r="AK676" s="9">
        <f t="shared" si="130"/>
        <v>976324327.9955728</v>
      </c>
      <c r="AL676" s="1">
        <f t="shared" si="130"/>
        <v>528106067.22455996</v>
      </c>
      <c r="AM676" s="1">
        <f t="shared" si="130"/>
        <v>353589065.96733487</v>
      </c>
      <c r="AN676" s="1">
        <f t="shared" si="130"/>
        <v>145716736.869446</v>
      </c>
      <c r="AO676" s="1">
        <f t="shared" si="130"/>
        <v>120152009.04659678</v>
      </c>
      <c r="AP676" s="1">
        <f>SUM(AP663:AP664)</f>
        <v>-435168</v>
      </c>
      <c r="AQ676" s="1">
        <f>SUM(AQ663:AQ664)</f>
        <v>119716841.04659678</v>
      </c>
      <c r="AR676" s="1">
        <f t="shared" si="130"/>
        <v>58141078.15379201</v>
      </c>
      <c r="AS676" s="1">
        <f t="shared" si="130"/>
        <v>56997078.20884589</v>
      </c>
      <c r="AT676" s="1">
        <f t="shared" si="130"/>
        <v>165640755.785609</v>
      </c>
      <c r="AU676" s="1">
        <f t="shared" si="130"/>
        <v>136703904.93152496</v>
      </c>
      <c r="AV676" s="1">
        <f t="shared" si="130"/>
        <v>23394704</v>
      </c>
      <c r="AW676" s="1">
        <f t="shared" si="130"/>
        <v>21580834</v>
      </c>
      <c r="AX676" s="1">
        <f t="shared" si="130"/>
        <v>20695287.250097003</v>
      </c>
      <c r="AY676" s="1">
        <f t="shared" si="130"/>
        <v>20280687.53924121</v>
      </c>
      <c r="AZ676" s="1">
        <f t="shared" si="130"/>
        <v>2594832.9317320003</v>
      </c>
      <c r="BA676" s="1">
        <f t="shared" si="130"/>
        <v>2542849.2165316083</v>
      </c>
      <c r="BB676" s="1">
        <f t="shared" si="130"/>
        <v>134595633.129578</v>
      </c>
      <c r="BC676" s="1">
        <f t="shared" si="130"/>
        <v>132008794.7874259</v>
      </c>
      <c r="BD676" s="1">
        <f t="shared" si="130"/>
        <v>0</v>
      </c>
      <c r="BE676" s="1">
        <f>SUM(BE663:BE664)</f>
        <v>0</v>
      </c>
      <c r="BF676" s="1">
        <f>SUM(BF663:BF664)</f>
        <v>0</v>
      </c>
      <c r="BG676" s="1">
        <f t="shared" si="130"/>
        <v>0</v>
      </c>
      <c r="BH676" s="1">
        <f t="shared" si="130"/>
        <v>34057411</v>
      </c>
      <c r="BI676" s="1">
        <f>SUM(BI663:BI664)</f>
        <v>9459393</v>
      </c>
      <c r="BK676" s="1">
        <f>SUM(BK663:BK664)</f>
        <v>40756920</v>
      </c>
      <c r="BL676" s="1">
        <f>SUM(BL663:BL664)</f>
        <v>74814331</v>
      </c>
      <c r="BM676" s="1">
        <f>SUM(BM663:BM664)</f>
        <v>0</v>
      </c>
      <c r="BN676" s="1">
        <f>SUM(BN663:BN664)</f>
        <v>0</v>
      </c>
      <c r="BO676" s="1">
        <f t="shared" si="130"/>
        <v>7146629.750337999</v>
      </c>
      <c r="BP676" s="1">
        <f>SUM(BP663:BP664)</f>
        <v>-1245910</v>
      </c>
      <c r="BQ676" s="1">
        <f t="shared" si="130"/>
        <v>2652841128.329231</v>
      </c>
      <c r="BT676" s="1">
        <f>SUM(BT663:BT664)</f>
        <v>1917738838.1991086</v>
      </c>
      <c r="BW676" s="52"/>
      <c r="BX676" s="1">
        <f>SUM(BX663:BX664)</f>
        <v>5583765130.719407</v>
      </c>
      <c r="BY676" s="1">
        <f>SUM(BY663:BY664)</f>
        <v>4904667757.832411</v>
      </c>
      <c r="CA676" s="1"/>
      <c r="CB676" s="1"/>
    </row>
    <row r="677" spans="1:77" ht="12.75">
      <c r="A677" t="s">
        <v>1402</v>
      </c>
      <c r="B677" t="s">
        <v>1335</v>
      </c>
      <c r="C677" s="18"/>
      <c r="D677" s="1">
        <f aca="true" t="shared" si="131" ref="D677:AC677">SUM(D666:D667)</f>
        <v>2003225929.5974598</v>
      </c>
      <c r="E677" s="1">
        <f t="shared" si="131"/>
        <v>2041504132.0738444</v>
      </c>
      <c r="F677" s="1">
        <f t="shared" si="131"/>
        <v>394490059.9568721</v>
      </c>
      <c r="G677" s="1">
        <f t="shared" si="131"/>
        <v>402028086.58025163</v>
      </c>
      <c r="H677" s="1">
        <f t="shared" si="131"/>
        <v>124400139.43135501</v>
      </c>
      <c r="I677" s="1">
        <f t="shared" si="131"/>
        <v>126777212.15934268</v>
      </c>
      <c r="J677" s="1">
        <f>SUM(J666:J667)</f>
        <v>44193543.868667</v>
      </c>
      <c r="K677" s="1">
        <f t="shared" si="131"/>
        <v>45038006.49036128</v>
      </c>
      <c r="L677" s="1">
        <f>SUM(L666:L667)</f>
        <v>175497792.200128</v>
      </c>
      <c r="M677" s="1">
        <f t="shared" si="131"/>
        <v>178851253.19758263</v>
      </c>
      <c r="N677" s="1">
        <f t="shared" si="131"/>
        <v>0</v>
      </c>
      <c r="O677" s="1">
        <f t="shared" si="131"/>
        <v>0</v>
      </c>
      <c r="P677" s="1">
        <f t="shared" si="131"/>
        <v>0</v>
      </c>
      <c r="Q677" s="1">
        <f t="shared" si="131"/>
        <v>0</v>
      </c>
      <c r="R677" s="1">
        <f t="shared" si="131"/>
        <v>0</v>
      </c>
      <c r="S677" s="1">
        <f t="shared" si="131"/>
        <v>0</v>
      </c>
      <c r="T677" s="1">
        <f>SUM(T666:T667)</f>
        <v>3343844.594027</v>
      </c>
      <c r="U677" s="1">
        <f t="shared" si="131"/>
        <v>3407739.7136580893</v>
      </c>
      <c r="V677" s="1">
        <f>SUM(V666:V667)</f>
        <v>1837607.325416</v>
      </c>
      <c r="W677" s="1">
        <f t="shared" si="131"/>
        <v>1872720.8411882794</v>
      </c>
      <c r="X677" s="1">
        <f>SUM(X666:X667)</f>
        <v>129994366.38216</v>
      </c>
      <c r="Y677" s="1">
        <f t="shared" si="131"/>
        <v>132478335.16653249</v>
      </c>
      <c r="Z677" s="12">
        <f>SUM(Z666:Z667)</f>
        <v>2876983283.3560853</v>
      </c>
      <c r="AC677" s="12">
        <f t="shared" si="131"/>
        <v>2931957486.222762</v>
      </c>
      <c r="AF677" s="51"/>
      <c r="AG677" s="1">
        <f>SUM(AG666:AG667)</f>
        <v>55695524</v>
      </c>
      <c r="AH677" s="9">
        <f>SUM(AH666:AH667)</f>
        <v>41934858.41961213</v>
      </c>
      <c r="AI677" s="9">
        <f aca="true" t="shared" si="132" ref="AI677:BQ677">SUM(AI666:AI667)</f>
        <v>2393577766.029046</v>
      </c>
      <c r="AJ677" s="9">
        <f t="shared" si="132"/>
        <v>1640679409.0386863</v>
      </c>
      <c r="AK677" s="9">
        <f t="shared" si="132"/>
        <v>1598744550.619074</v>
      </c>
      <c r="AL677" s="1">
        <f t="shared" si="132"/>
        <v>435824259.80150807</v>
      </c>
      <c r="AM677" s="1">
        <f t="shared" si="132"/>
        <v>291802542.16544175</v>
      </c>
      <c r="AN677" s="1">
        <f t="shared" si="132"/>
        <v>157166737.84312204</v>
      </c>
      <c r="AO677" s="1">
        <f t="shared" si="132"/>
        <v>129593207.43004154</v>
      </c>
      <c r="AP677" s="1">
        <f>SUM(AP666:AP667)</f>
        <v>-462462</v>
      </c>
      <c r="AQ677" s="1">
        <f>SUM(AQ666:AQ667)</f>
        <v>129130745.43004154</v>
      </c>
      <c r="AR677" s="1">
        <f t="shared" si="132"/>
        <v>63830312.005412996</v>
      </c>
      <c r="AS677" s="1">
        <f t="shared" si="132"/>
        <v>62574369.12064344</v>
      </c>
      <c r="AT677" s="1">
        <f t="shared" si="132"/>
        <v>221990284.485974</v>
      </c>
      <c r="AU677" s="1">
        <f t="shared" si="132"/>
        <v>183209371.4023571</v>
      </c>
      <c r="AV677" s="1">
        <f t="shared" si="132"/>
        <v>0</v>
      </c>
      <c r="AW677" s="1">
        <f t="shared" si="132"/>
        <v>0</v>
      </c>
      <c r="AX677" s="1">
        <f t="shared" si="132"/>
        <v>4743510.237500998</v>
      </c>
      <c r="AY677" s="1">
        <f t="shared" si="132"/>
        <v>4648480.970733987</v>
      </c>
      <c r="AZ677" s="1">
        <f t="shared" si="132"/>
        <v>2606792.550921</v>
      </c>
      <c r="BA677" s="1">
        <f t="shared" si="132"/>
        <v>2554569.242091968</v>
      </c>
      <c r="BB677" s="1">
        <f t="shared" si="132"/>
        <v>192219410.01779902</v>
      </c>
      <c r="BC677" s="1">
        <f t="shared" si="132"/>
        <v>188525081.09806952</v>
      </c>
      <c r="BD677" s="1">
        <f t="shared" si="132"/>
        <v>0</v>
      </c>
      <c r="BE677" s="1">
        <f>SUM(BE666:BE667)</f>
        <v>0</v>
      </c>
      <c r="BF677" s="1">
        <f>SUM(BF666:BF667)</f>
        <v>0</v>
      </c>
      <c r="BG677" s="1">
        <f t="shared" si="132"/>
        <v>0</v>
      </c>
      <c r="BH677" s="1">
        <f t="shared" si="132"/>
        <v>24843425</v>
      </c>
      <c r="BI677" s="1">
        <f>SUM(BI666:BI667)</f>
        <v>1111096</v>
      </c>
      <c r="BK677" s="1">
        <f>SUM(BK666:BK667)</f>
        <v>25239373.000000004</v>
      </c>
      <c r="BL677" s="1">
        <f>SUM(BL666:BL667)</f>
        <v>50082798</v>
      </c>
      <c r="BM677" s="1">
        <f>SUM(BM666:BM667)</f>
        <v>0</v>
      </c>
      <c r="BN677" s="1">
        <f>SUM(BN666:BN667)</f>
        <v>0</v>
      </c>
      <c r="BO677" s="1">
        <f t="shared" si="132"/>
        <v>8428378.991618996</v>
      </c>
      <c r="BP677" s="1">
        <f>SUM(BP666:BP667)</f>
        <v>-700705</v>
      </c>
      <c r="BQ677" s="1">
        <f t="shared" si="132"/>
        <v>3585703311.9629025</v>
      </c>
      <c r="BT677" s="1">
        <f>SUM(BT666:BT667)</f>
        <v>2552506661.4680657</v>
      </c>
      <c r="BW677" s="52"/>
      <c r="BX677" s="1">
        <f>SUM(BX666:BX667)</f>
        <v>6462686595.318989</v>
      </c>
      <c r="BY677" s="1">
        <f>SUM(BY666:BY667)</f>
        <v>5484464147.690828</v>
      </c>
    </row>
    <row r="678" spans="1:77" ht="12.75">
      <c r="A678" t="s">
        <v>1404</v>
      </c>
      <c r="B678" t="s">
        <v>1336</v>
      </c>
      <c r="C678" s="18"/>
      <c r="D678" s="1">
        <f aca="true" t="shared" si="133" ref="D678:AC678">SUM(D669:D674)</f>
        <v>3262663538.9123917</v>
      </c>
      <c r="E678" s="1">
        <f t="shared" si="133"/>
        <v>3325007428.1909723</v>
      </c>
      <c r="F678" s="1">
        <f t="shared" si="133"/>
        <v>853224957.5203917</v>
      </c>
      <c r="G678" s="1">
        <f t="shared" si="133"/>
        <v>869528619.1290619</v>
      </c>
      <c r="H678" s="1">
        <f t="shared" si="133"/>
        <v>265328386.763786</v>
      </c>
      <c r="I678" s="1">
        <f t="shared" si="133"/>
        <v>270398355.93761635</v>
      </c>
      <c r="J678" s="1">
        <f>SUM(J669:J674)</f>
        <v>157199401.788667</v>
      </c>
      <c r="K678" s="1">
        <f t="shared" si="133"/>
        <v>160203212.01392812</v>
      </c>
      <c r="L678" s="1">
        <f>SUM(L669:L674)</f>
        <v>389367991.479684</v>
      </c>
      <c r="M678" s="1">
        <f t="shared" si="133"/>
        <v>396808144.1831174</v>
      </c>
      <c r="N678" s="1">
        <f t="shared" si="133"/>
        <v>0</v>
      </c>
      <c r="O678" s="1">
        <f t="shared" si="133"/>
        <v>0</v>
      </c>
      <c r="P678" s="1">
        <f t="shared" si="133"/>
        <v>0</v>
      </c>
      <c r="Q678" s="1">
        <f t="shared" si="133"/>
        <v>0</v>
      </c>
      <c r="R678" s="1">
        <f t="shared" si="133"/>
        <v>0</v>
      </c>
      <c r="S678" s="1">
        <f t="shared" si="133"/>
        <v>0</v>
      </c>
      <c r="T678" s="1">
        <f>SUM(T669:T674)</f>
        <v>14629469.723407995</v>
      </c>
      <c r="U678" s="1">
        <f t="shared" si="133"/>
        <v>14909013.730861649</v>
      </c>
      <c r="V678" s="1">
        <f>SUM(V669:V674)</f>
        <v>4840728.266632</v>
      </c>
      <c r="W678" s="1">
        <f t="shared" si="133"/>
        <v>4933226.258988025</v>
      </c>
      <c r="X678" s="1">
        <f>SUM(X669:X674)</f>
        <v>354344544.550895</v>
      </c>
      <c r="Y678" s="1">
        <f t="shared" si="133"/>
        <v>361115459.41492486</v>
      </c>
      <c r="Z678" s="12">
        <f>SUM(Z669:Z674)</f>
        <v>5301599019.005856</v>
      </c>
      <c r="AC678" s="12">
        <f t="shared" si="133"/>
        <v>5402903458.85947</v>
      </c>
      <c r="AF678" s="51"/>
      <c r="AG678" s="1">
        <f>SUM(AG669:AG674)</f>
        <v>83990632</v>
      </c>
      <c r="AH678" s="9">
        <f>SUM(AH669:AH674)</f>
        <v>63239108.07435341</v>
      </c>
      <c r="AI678" s="9">
        <f aca="true" t="shared" si="134" ref="AI678:BQ678">SUM(AI669:AI674)</f>
        <v>3898431419.736876</v>
      </c>
      <c r="AJ678" s="9">
        <f t="shared" si="134"/>
        <v>2672182307.4597063</v>
      </c>
      <c r="AK678" s="9">
        <f t="shared" si="134"/>
        <v>2608943199.385353</v>
      </c>
      <c r="AL678" s="1">
        <f t="shared" si="134"/>
        <v>942624854.9739261</v>
      </c>
      <c r="AM678" s="1">
        <f t="shared" si="134"/>
        <v>631126704.8672235</v>
      </c>
      <c r="AN678" s="1">
        <f t="shared" si="134"/>
        <v>335215034.28743404</v>
      </c>
      <c r="AO678" s="1">
        <f t="shared" si="134"/>
        <v>276404486.5233616</v>
      </c>
      <c r="AP678" s="1">
        <f>SUM(AP669:AP674)</f>
        <v>-1255274</v>
      </c>
      <c r="AQ678" s="1">
        <f>SUM(AQ669:AQ674)</f>
        <v>275149212.5233616</v>
      </c>
      <c r="AR678" s="1">
        <f t="shared" si="134"/>
        <v>227048704.06081098</v>
      </c>
      <c r="AS678" s="1">
        <f t="shared" si="134"/>
        <v>222581230.92144826</v>
      </c>
      <c r="AT678" s="1">
        <f t="shared" si="134"/>
        <v>492518510.430842</v>
      </c>
      <c r="AU678" s="1">
        <f t="shared" si="134"/>
        <v>406477278.5394627</v>
      </c>
      <c r="AV678" s="1">
        <f t="shared" si="134"/>
        <v>0</v>
      </c>
      <c r="AW678" s="1">
        <f t="shared" si="134"/>
        <v>0</v>
      </c>
      <c r="AX678" s="1">
        <f t="shared" si="134"/>
        <v>20753069.54341602</v>
      </c>
      <c r="AY678" s="1">
        <f t="shared" si="134"/>
        <v>20337312.249105897</v>
      </c>
      <c r="AZ678" s="1">
        <f t="shared" si="134"/>
        <v>6866959.122311</v>
      </c>
      <c r="BA678" s="1">
        <f t="shared" si="134"/>
        <v>6729389.553595576</v>
      </c>
      <c r="BB678" s="1">
        <f t="shared" si="134"/>
        <v>523960392.9939611</v>
      </c>
      <c r="BC678" s="1">
        <f t="shared" si="134"/>
        <v>513890223.5326607</v>
      </c>
      <c r="BD678" s="1">
        <f t="shared" si="134"/>
        <v>9500006.705888</v>
      </c>
      <c r="BE678" s="1">
        <f>SUM(BE669:BE674)</f>
        <v>13500011</v>
      </c>
      <c r="BF678" s="1">
        <f>SUM(BF669:BF674)</f>
        <v>2000000.0000000007</v>
      </c>
      <c r="BG678" s="1">
        <f t="shared" si="134"/>
        <v>15500011</v>
      </c>
      <c r="BH678" s="1">
        <f t="shared" si="134"/>
        <v>115048620</v>
      </c>
      <c r="BI678" s="1">
        <f>SUM(BI669:BI674)</f>
        <v>30163154</v>
      </c>
      <c r="BK678" s="1">
        <f>SUM(BK669:BK674)</f>
        <v>79219026.0000001</v>
      </c>
      <c r="BL678" s="1">
        <f>SUM(BL669:BL674)</f>
        <v>194267646.00000012</v>
      </c>
      <c r="BM678" s="1">
        <f>SUM(BM669:BM674)</f>
        <v>9386434</v>
      </c>
      <c r="BN678" s="1">
        <f>SUM(BN669:BN674)</f>
        <v>9386434</v>
      </c>
      <c r="BO678" s="1">
        <f t="shared" si="134"/>
        <v>15531506.926813</v>
      </c>
      <c r="BP678" s="1">
        <f>SUM(BP669:BP674)</f>
        <v>-4408954</v>
      </c>
      <c r="BQ678" s="1">
        <f t="shared" si="134"/>
        <v>6760839896.782278</v>
      </c>
      <c r="BT678" s="1">
        <f>SUM(BT669:BT674)</f>
        <v>4963218796.646565</v>
      </c>
      <c r="BW678" s="52"/>
      <c r="BX678" s="1">
        <f>SUM(BX669:BX674)</f>
        <v>12062438915.788134</v>
      </c>
      <c r="BY678" s="1">
        <f>SUM(BY669:BY674)</f>
        <v>10366122255.506037</v>
      </c>
    </row>
    <row r="679" spans="3:75" ht="12.75">
      <c r="C679" s="18"/>
      <c r="D679" s="1"/>
      <c r="Z679" s="12"/>
      <c r="AF679" s="51"/>
      <c r="AH679" s="9"/>
      <c r="AI679" s="9"/>
      <c r="AJ679" s="9"/>
      <c r="AK679" s="9"/>
      <c r="BW679" s="52"/>
    </row>
    <row r="680" spans="1:77" ht="12.75">
      <c r="A680" t="s">
        <v>1400</v>
      </c>
      <c r="B680" t="s">
        <v>1337</v>
      </c>
      <c r="C680" s="18"/>
      <c r="D680" s="1">
        <f aca="true" t="shared" si="135" ref="D680:AC680">SUM(D676:D678)+D426</f>
        <v>6487779048.015617</v>
      </c>
      <c r="E680" s="1">
        <f t="shared" si="135"/>
        <v>6611749348.296171</v>
      </c>
      <c r="F680" s="1">
        <f t="shared" si="135"/>
        <v>1725734745.4701157</v>
      </c>
      <c r="G680" s="1">
        <f t="shared" si="135"/>
        <v>1758710568.6319654</v>
      </c>
      <c r="H680" s="1">
        <f t="shared" si="135"/>
        <v>505065795.599657</v>
      </c>
      <c r="I680" s="1">
        <f t="shared" si="135"/>
        <v>514716734.3690772</v>
      </c>
      <c r="J680" s="1">
        <f>SUM(J676:J678)+J426</f>
        <v>241647492.552595</v>
      </c>
      <c r="K680" s="1">
        <f t="shared" si="135"/>
        <v>246264960.5631541</v>
      </c>
      <c r="L680" s="1">
        <f>SUM(L676:L678)+L426</f>
        <v>695815599.8217499</v>
      </c>
      <c r="M680" s="1">
        <f t="shared" si="135"/>
        <v>709111439.3087897</v>
      </c>
      <c r="N680" s="1">
        <f t="shared" si="135"/>
        <v>18617183.105124</v>
      </c>
      <c r="O680" s="1">
        <f t="shared" si="135"/>
        <v>18972925.45745121</v>
      </c>
      <c r="P680" s="1">
        <f t="shared" si="135"/>
        <v>773225000</v>
      </c>
      <c r="Q680" s="1">
        <f t="shared" si="135"/>
        <v>788000000</v>
      </c>
      <c r="R680" s="1">
        <f t="shared" si="135"/>
        <v>45188474.025974</v>
      </c>
      <c r="S680" s="1">
        <f t="shared" si="135"/>
        <v>46051948.051948026</v>
      </c>
      <c r="T680" s="1">
        <f>SUM(T676:T678)+T426</f>
        <v>32562051.545398995</v>
      </c>
      <c r="U680" s="1">
        <f t="shared" si="135"/>
        <v>33184256.351998977</v>
      </c>
      <c r="V680" s="1">
        <f>SUM(V676:V678)+V426</f>
        <v>8507512.218282</v>
      </c>
      <c r="W680" s="1">
        <f t="shared" si="135"/>
        <v>8670076.14601987</v>
      </c>
      <c r="X680" s="1">
        <f>SUM(X676:X678)+X426</f>
        <v>575363402.397603</v>
      </c>
      <c r="Y680" s="1">
        <f t="shared" si="135"/>
        <v>586357607.5389585</v>
      </c>
      <c r="Z680" s="12">
        <f>SUM(Z676:Z678)+Z426</f>
        <v>11110863946.057573</v>
      </c>
      <c r="AC680" s="12">
        <f t="shared" si="135"/>
        <v>11323173448.21154</v>
      </c>
      <c r="AF680" s="51"/>
      <c r="AG680" s="1">
        <f>SUM(AG676:AG678)+AG426</f>
        <v>172127442</v>
      </c>
      <c r="AH680" s="9">
        <f>LWP_RSG</f>
        <v>129600000</v>
      </c>
      <c r="AI680" s="9">
        <f>SUM(AI676:AI678)+AI426</f>
        <v>7751998140</v>
      </c>
      <c r="AJ680" s="9">
        <v>5313612078</v>
      </c>
      <c r="AK680" s="9">
        <f>SUM(AK676:AK678)+AK426</f>
        <v>5184012078</v>
      </c>
      <c r="AL680" s="1">
        <f>SUM(AL676:AL678)+AL426</f>
        <v>1906555181.999994</v>
      </c>
      <c r="AM680" s="1">
        <f>LT_RSG</f>
        <v>1276518313</v>
      </c>
      <c r="AN680" s="1">
        <f>SUM(AN676:AN678)+AN426</f>
        <v>638098509.0000021</v>
      </c>
      <c r="AO680" s="1">
        <v>526149703</v>
      </c>
      <c r="AP680" s="1">
        <f>SUM(AP676:AP678)+AP426</f>
        <v>-2152904</v>
      </c>
      <c r="AQ680" s="1">
        <f>SUM(AQ676:AQ678)+AQ426</f>
        <v>523996798.99999994</v>
      </c>
      <c r="AR680" s="1">
        <f>SUM(AR676:AR678)+AR426</f>
        <v>349038086.999997</v>
      </c>
      <c r="AS680" s="1">
        <f>CTF_RSG</f>
        <v>342170317</v>
      </c>
      <c r="AT680" s="1">
        <f>SUM(AT676:AT678)+AT426</f>
        <v>880393512</v>
      </c>
      <c r="AU680" s="1">
        <f>EI_RSG</f>
        <v>726591897</v>
      </c>
      <c r="AV680" s="1">
        <f>SUM(AV676:AV678)+AV426</f>
        <v>23394704</v>
      </c>
      <c r="AW680" s="1">
        <f>GLAGen_RSG</f>
        <v>21580834</v>
      </c>
      <c r="AX680" s="1">
        <f>SUM(AX676:AX678)+AX426</f>
        <v>46220755.00000002</v>
      </c>
      <c r="AY680" s="1">
        <f>HLP_RSG</f>
        <v>45294790</v>
      </c>
      <c r="AZ680" s="1">
        <f>SUM(AZ676:AZ678)+AZ426</f>
        <v>12132947.000001999</v>
      </c>
      <c r="BA680" s="1">
        <f>LLF_RSG</f>
        <v>11889881</v>
      </c>
      <c r="BB680" s="1">
        <f>SUM(BB676:BB678)+BB426</f>
        <v>850782943.0000011</v>
      </c>
      <c r="BC680" s="1">
        <f>LDHR_RSG</f>
        <v>834431462</v>
      </c>
      <c r="BD680" s="1">
        <f>SUM(BD676:BD678)+BD426</f>
        <v>9500006.705888</v>
      </c>
      <c r="BE680" s="1">
        <v>13500011</v>
      </c>
      <c r="BF680" s="1">
        <v>2000000</v>
      </c>
      <c r="BG680" s="1">
        <f>SUM(BG676:BG678)+BG426</f>
        <v>15500011</v>
      </c>
      <c r="BH680" s="1">
        <f>SUM(BH676:BH678)+BH426</f>
        <v>173963370</v>
      </c>
      <c r="BI680" s="1">
        <f>SUM(BI676:BI678)+BI426</f>
        <v>40733643</v>
      </c>
      <c r="BK680" s="1">
        <f>SUM(BK676:BK678)+BK426</f>
        <v>145215319.00000012</v>
      </c>
      <c r="BL680" s="1">
        <f>SUM(BL676:BL678)+BL426</f>
        <v>319164775.0000001</v>
      </c>
      <c r="BM680" s="1">
        <f>SUM(BM676:BM678)+BM426</f>
        <v>9386434</v>
      </c>
      <c r="BN680" s="1">
        <f>ESG_total</f>
        <v>9386434</v>
      </c>
      <c r="BO680" s="1">
        <f>SUM(BO676:BO678)+BO426</f>
        <v>31110492.999998998</v>
      </c>
      <c r="BP680" s="1">
        <f>SUM(BP676:BP678)+BP426</f>
        <v>-6355569</v>
      </c>
      <c r="BQ680" s="1">
        <f>SUM(BQ676:BQ678)+BQ426</f>
        <v>13001330998.7721</v>
      </c>
      <c r="BT680" s="1">
        <f>SUM(BT676:BT678)+BT426</f>
        <v>9435365359.558416</v>
      </c>
      <c r="BW680" s="52"/>
      <c r="BX680" s="1">
        <f>SUM(BX676:BX678)+BX426</f>
        <v>24112194944.829674</v>
      </c>
      <c r="BY680" s="1">
        <f>SUM(BY676:BY678)+BY426</f>
        <v>20758538807.76996</v>
      </c>
    </row>
    <row r="681" spans="32:75" ht="12.75">
      <c r="AF681" s="51"/>
      <c r="AH681" s="9"/>
      <c r="AI681" s="9"/>
      <c r="AJ681" s="9"/>
      <c r="AK681" s="9"/>
      <c r="BW681" s="52"/>
    </row>
    <row r="682" spans="1:79" ht="12.75">
      <c r="A682" s="53" t="s">
        <v>1451</v>
      </c>
      <c r="AF682" s="51"/>
      <c r="BF682" s="57"/>
      <c r="BG682" s="57"/>
      <c r="BW682" s="52"/>
      <c r="CA682" s="1"/>
    </row>
    <row r="683" spans="1:77" ht="12.75" customHeight="1">
      <c r="A683" s="67" t="s">
        <v>1452</v>
      </c>
      <c r="B683" s="67"/>
      <c r="C683" s="67"/>
      <c r="D683" s="67"/>
      <c r="E683" s="67"/>
      <c r="F683" s="67"/>
      <c r="G683" s="67"/>
      <c r="H683" s="67"/>
      <c r="I683" s="67"/>
      <c r="J683" s="67"/>
      <c r="K683" s="67"/>
      <c r="L683" s="67"/>
      <c r="M683" s="67"/>
      <c r="N683" s="67"/>
      <c r="O683" s="67"/>
      <c r="P683" s="67"/>
      <c r="Q683" s="67"/>
      <c r="R683" s="67"/>
      <c r="S683" s="67"/>
      <c r="T683" s="67"/>
      <c r="U683" s="67"/>
      <c r="V683" s="67"/>
      <c r="W683" s="67"/>
      <c r="X683" s="67"/>
      <c r="Y683" s="67"/>
      <c r="Z683" s="67"/>
      <c r="AA683" s="67"/>
      <c r="AB683" s="67"/>
      <c r="AC683" s="67"/>
      <c r="AD683" s="67"/>
      <c r="AE683" s="67"/>
      <c r="AF683" s="67"/>
      <c r="AG683" s="67"/>
      <c r="AH683" s="67"/>
      <c r="AI683" s="67"/>
      <c r="AJ683" s="67"/>
      <c r="AK683" s="67"/>
      <c r="AL683" s="67"/>
      <c r="AM683" s="67"/>
      <c r="AN683" s="67"/>
      <c r="AO683" s="67"/>
      <c r="AP683" s="67"/>
      <c r="AQ683" s="67"/>
      <c r="AR683" s="67"/>
      <c r="AS683" s="67"/>
      <c r="AT683" s="67"/>
      <c r="AU683" s="67"/>
      <c r="AV683" s="67"/>
      <c r="AW683" s="67"/>
      <c r="AX683" s="67"/>
      <c r="AY683" s="67"/>
      <c r="AZ683" s="67"/>
      <c r="BA683" s="67"/>
      <c r="BB683" s="67"/>
      <c r="BC683" s="67"/>
      <c r="BD683" s="67"/>
      <c r="BE683" s="67"/>
      <c r="BF683" s="67"/>
      <c r="BG683" s="67"/>
      <c r="BH683" s="67"/>
      <c r="BI683" s="67"/>
      <c r="BJ683" s="67"/>
      <c r="BK683" s="67"/>
      <c r="BL683" s="67"/>
      <c r="BM683" s="67"/>
      <c r="BN683" s="67"/>
      <c r="BO683" s="67"/>
      <c r="BP683" s="67"/>
      <c r="BQ683" s="67"/>
      <c r="BR683" s="67"/>
      <c r="BS683" s="67"/>
      <c r="BT683" s="67"/>
      <c r="BU683" s="67"/>
      <c r="BV683" s="67"/>
      <c r="BW683" s="67"/>
      <c r="BX683" s="67"/>
      <c r="BY683" s="67"/>
    </row>
    <row r="684" spans="1:37" ht="12.75">
      <c r="A684" s="61" t="s">
        <v>1453</v>
      </c>
      <c r="B684" s="61"/>
      <c r="C684" s="61"/>
      <c r="D684" s="61"/>
      <c r="E684" s="61"/>
      <c r="F684" s="61"/>
      <c r="G684" s="61"/>
      <c r="AH684" s="60"/>
      <c r="AJ684" s="60"/>
      <c r="AK684" s="60"/>
    </row>
    <row r="685" spans="34:37" ht="12.75">
      <c r="AH685" s="60"/>
      <c r="AJ685" s="60"/>
      <c r="AK685" s="60"/>
    </row>
    <row r="686" spans="34:37" ht="12.75">
      <c r="AH686" s="60"/>
      <c r="AJ686" s="60"/>
      <c r="AK686" s="60"/>
    </row>
  </sheetData>
  <sheetProtection/>
  <mergeCells count="2">
    <mergeCell ref="A684:G684"/>
    <mergeCell ref="A683:BY68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ksussex</dc:creator>
  <cp:keywords/>
  <dc:description/>
  <cp:lastModifiedBy>Kerry Mac Hale</cp:lastModifiedBy>
  <cp:lastPrinted>2014-12-15T10:01:46Z</cp:lastPrinted>
  <dcterms:created xsi:type="dcterms:W3CDTF">2013-01-04T09:47:04Z</dcterms:created>
  <dcterms:modified xsi:type="dcterms:W3CDTF">2014-12-17T18:29:38Z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936d0052-883b-4056-9296-034c04e3bc21</vt:lpwstr>
  </property>
  <property fmtid="{D5CDD505-2E9C-101B-9397-08002B2CF9AE}" pid="3" name="bjSaver">
    <vt:lpwstr>m5jS0LVHdCX04/2siV3Kk/yXBjUuMvBB</vt:lpwstr>
  </property>
  <property fmtid="{D5CDD505-2E9C-101B-9397-08002B2CF9AE}" pid="4" name="bjDocumentSecurityLabel">
    <vt:lpwstr>No Marking</vt:lpwstr>
  </property>
</Properties>
</file>